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7"/>
  <workbookPr codeName="ThisWorkbook"/>
  <mc:AlternateContent xmlns:mc="http://schemas.openxmlformats.org/markup-compatibility/2006">
    <mc:Choice Requires="x15">
      <x15ac:absPath xmlns:x15ac="http://schemas.microsoft.com/office/spreadsheetml/2010/11/ac" url="/Users/Howard/Desktop/Research/Publications/2020-24_PhD/PhD_Thesis/Ch3_SSC Highstand /4_Supplementary information/"/>
    </mc:Choice>
  </mc:AlternateContent>
  <xr:revisionPtr revIDLastSave="0" documentId="13_ncr:1_{5317122D-2363-7247-891C-DEF49B6D0EC3}" xr6:coauthVersionLast="47" xr6:coauthVersionMax="47" xr10:uidLastSave="{00000000-0000-0000-0000-000000000000}"/>
  <bookViews>
    <workbookView xWindow="0" yWindow="500" windowWidth="28800" windowHeight="15920" tabRatio="500" activeTab="4" xr2:uid="{00000000-000D-0000-FFFF-FFFF00000000}"/>
    <workbookView xWindow="60" yWindow="-21100" windowWidth="18900" windowHeight="21100" activeTab="1" xr2:uid="{EDF5E7F3-2BD2-6F4F-939A-D454FF6F3710}"/>
  </bookViews>
  <sheets>
    <sheet name="Explanation" sheetId="7" r:id="rId1"/>
    <sheet name="Long-form" sheetId="1" r:id="rId2"/>
    <sheet name="Short-form" sheetId="2" r:id="rId3"/>
    <sheet name="Radiocarbon" sheetId="3" r:id="rId4"/>
    <sheet name="Reference" sheetId="8" r:id="rId5"/>
  </sheets>
  <definedNames>
    <definedName name="_xlnm._FilterDatabase" localSheetId="1" hidden="1">'Long-form'!$A$3:$CD$295</definedName>
    <definedName name="_xlnm._FilterDatabase" localSheetId="3" hidden="1">Radiocarbon!$A$2:$AG$279</definedName>
    <definedName name="DatingMeth">'Long-form'!#REF!</definedName>
    <definedName name="PrimaryIndicator">'Long-form'!#REF!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95" i="2" l="1"/>
  <c r="B295" i="2"/>
  <c r="C295" i="2"/>
  <c r="D295" i="2"/>
  <c r="E295" i="2"/>
  <c r="F295" i="2"/>
  <c r="G295" i="2"/>
  <c r="H295" i="2"/>
  <c r="I295" i="2"/>
  <c r="J295" i="2"/>
  <c r="K295" i="2"/>
  <c r="L295" i="2"/>
  <c r="M295" i="2"/>
  <c r="N295" i="2"/>
  <c r="O295" i="2"/>
  <c r="P295" i="2"/>
  <c r="Q295" i="2"/>
  <c r="R295" i="2"/>
  <c r="V295" i="2"/>
  <c r="W295" i="2"/>
  <c r="X295" i="2"/>
  <c r="AC295" i="2"/>
  <c r="AD295" i="2"/>
  <c r="AE295" i="2"/>
  <c r="AF295" i="2"/>
  <c r="AG295" i="2"/>
  <c r="AH295" i="2"/>
  <c r="A296" i="2"/>
  <c r="B296" i="2"/>
  <c r="C296" i="2"/>
  <c r="D296" i="2"/>
  <c r="E296" i="2"/>
  <c r="F296" i="2"/>
  <c r="G296" i="2"/>
  <c r="H296" i="2"/>
  <c r="I296" i="2"/>
  <c r="J296" i="2"/>
  <c r="K296" i="2"/>
  <c r="L296" i="2"/>
  <c r="M296" i="2"/>
  <c r="N296" i="2"/>
  <c r="O296" i="2"/>
  <c r="P296" i="2"/>
  <c r="Q296" i="2"/>
  <c r="R296" i="2"/>
  <c r="S296" i="2"/>
  <c r="T296" i="2"/>
  <c r="U296" i="2"/>
  <c r="V296" i="2"/>
  <c r="W296" i="2"/>
  <c r="X296" i="2"/>
  <c r="Y296" i="2"/>
  <c r="Z296" i="2"/>
  <c r="AA296" i="2"/>
  <c r="AB296" i="2"/>
  <c r="AC296" i="2"/>
  <c r="AD296" i="2"/>
  <c r="AE296" i="2"/>
  <c r="AF296" i="2"/>
  <c r="AG296" i="2"/>
  <c r="AH296" i="2"/>
  <c r="A297" i="2"/>
  <c r="B297" i="2"/>
  <c r="C297" i="2"/>
  <c r="D297" i="2"/>
  <c r="E297" i="2"/>
  <c r="F297" i="2"/>
  <c r="G297" i="2"/>
  <c r="H297" i="2"/>
  <c r="I297" i="2"/>
  <c r="J297" i="2"/>
  <c r="K297" i="2"/>
  <c r="L297" i="2"/>
  <c r="M297" i="2"/>
  <c r="N297" i="2"/>
  <c r="O297" i="2"/>
  <c r="P297" i="2"/>
  <c r="Q297" i="2"/>
  <c r="R297" i="2"/>
  <c r="S297" i="2"/>
  <c r="T297" i="2"/>
  <c r="U297" i="2"/>
  <c r="V297" i="2"/>
  <c r="W297" i="2"/>
  <c r="X297" i="2"/>
  <c r="Y297" i="2"/>
  <c r="Z297" i="2"/>
  <c r="AA297" i="2"/>
  <c r="AB297" i="2"/>
  <c r="AC297" i="2"/>
  <c r="AD297" i="2"/>
  <c r="AE297" i="2"/>
  <c r="AF297" i="2"/>
  <c r="AG297" i="2"/>
  <c r="AH297" i="2"/>
  <c r="A298" i="2"/>
  <c r="B298" i="2"/>
  <c r="C298" i="2"/>
  <c r="D298" i="2"/>
  <c r="E298" i="2"/>
  <c r="F298" i="2"/>
  <c r="G298" i="2"/>
  <c r="H298" i="2"/>
  <c r="I298" i="2"/>
  <c r="J298" i="2"/>
  <c r="K298" i="2"/>
  <c r="L298" i="2"/>
  <c r="M298" i="2"/>
  <c r="N298" i="2"/>
  <c r="O298" i="2"/>
  <c r="P298" i="2"/>
  <c r="Q298" i="2"/>
  <c r="R298" i="2"/>
  <c r="S298" i="2"/>
  <c r="T298" i="2"/>
  <c r="U298" i="2"/>
  <c r="V298" i="2"/>
  <c r="W298" i="2"/>
  <c r="X298" i="2"/>
  <c r="Y298" i="2"/>
  <c r="Z298" i="2"/>
  <c r="AA298" i="2"/>
  <c r="AB298" i="2"/>
  <c r="AC298" i="2"/>
  <c r="AD298" i="2"/>
  <c r="AE298" i="2"/>
  <c r="AF298" i="2"/>
  <c r="AG298" i="2"/>
  <c r="AH298" i="2"/>
  <c r="A299" i="2"/>
  <c r="B299" i="2"/>
  <c r="C299" i="2"/>
  <c r="D299" i="2"/>
  <c r="E299" i="2"/>
  <c r="F299" i="2"/>
  <c r="G299" i="2"/>
  <c r="H299" i="2"/>
  <c r="I299" i="2"/>
  <c r="J299" i="2"/>
  <c r="K299" i="2"/>
  <c r="L299" i="2"/>
  <c r="M299" i="2"/>
  <c r="N299" i="2"/>
  <c r="O299" i="2"/>
  <c r="P299" i="2"/>
  <c r="Q299" i="2"/>
  <c r="R299" i="2"/>
  <c r="S299" i="2"/>
  <c r="T299" i="2"/>
  <c r="U299" i="2"/>
  <c r="V299" i="2"/>
  <c r="W299" i="2"/>
  <c r="X299" i="2"/>
  <c r="Y299" i="2"/>
  <c r="Z299" i="2"/>
  <c r="AA299" i="2"/>
  <c r="AB299" i="2"/>
  <c r="AC299" i="2"/>
  <c r="AD299" i="2"/>
  <c r="AE299" i="2"/>
  <c r="AF299" i="2"/>
  <c r="AG299" i="2"/>
  <c r="AH299" i="2"/>
  <c r="A291" i="2"/>
  <c r="B291" i="2"/>
  <c r="C291" i="2"/>
  <c r="D291" i="2"/>
  <c r="E291" i="2"/>
  <c r="F291" i="2"/>
  <c r="G291" i="2"/>
  <c r="H291" i="2"/>
  <c r="I291" i="2"/>
  <c r="J291" i="2"/>
  <c r="K291" i="2"/>
  <c r="L291" i="2"/>
  <c r="M291" i="2"/>
  <c r="N291" i="2"/>
  <c r="O291" i="2"/>
  <c r="P291" i="2"/>
  <c r="Q291" i="2"/>
  <c r="R291" i="2"/>
  <c r="V291" i="2"/>
  <c r="W291" i="2"/>
  <c r="X291" i="2"/>
  <c r="AC291" i="2"/>
  <c r="AD291" i="2"/>
  <c r="AE291" i="2"/>
  <c r="AF291" i="2"/>
  <c r="AG291" i="2"/>
  <c r="AH291" i="2"/>
  <c r="A292" i="2"/>
  <c r="B292" i="2"/>
  <c r="C292" i="2"/>
  <c r="D292" i="2"/>
  <c r="E292" i="2"/>
  <c r="F292" i="2"/>
  <c r="G292" i="2"/>
  <c r="H292" i="2"/>
  <c r="I292" i="2"/>
  <c r="J292" i="2"/>
  <c r="K292" i="2"/>
  <c r="L292" i="2"/>
  <c r="M292" i="2"/>
  <c r="N292" i="2"/>
  <c r="O292" i="2"/>
  <c r="P292" i="2"/>
  <c r="Q292" i="2"/>
  <c r="R292" i="2"/>
  <c r="V292" i="2"/>
  <c r="W292" i="2"/>
  <c r="X292" i="2"/>
  <c r="AC292" i="2"/>
  <c r="AD292" i="2"/>
  <c r="AE292" i="2"/>
  <c r="AF292" i="2"/>
  <c r="AG292" i="2"/>
  <c r="AH292" i="2"/>
  <c r="A293" i="2"/>
  <c r="B293" i="2"/>
  <c r="C293" i="2"/>
  <c r="D293" i="2"/>
  <c r="E293" i="2"/>
  <c r="F293" i="2"/>
  <c r="G293" i="2"/>
  <c r="H293" i="2"/>
  <c r="I293" i="2"/>
  <c r="J293" i="2"/>
  <c r="K293" i="2"/>
  <c r="L293" i="2"/>
  <c r="M293" i="2"/>
  <c r="N293" i="2"/>
  <c r="O293" i="2"/>
  <c r="P293" i="2"/>
  <c r="Q293" i="2"/>
  <c r="R293" i="2"/>
  <c r="V293" i="2"/>
  <c r="W293" i="2"/>
  <c r="X293" i="2"/>
  <c r="AC293" i="2"/>
  <c r="AD293" i="2"/>
  <c r="AE293" i="2"/>
  <c r="AF293" i="2"/>
  <c r="AG293" i="2"/>
  <c r="AH293" i="2"/>
  <c r="A294" i="2"/>
  <c r="B294" i="2"/>
  <c r="C294" i="2"/>
  <c r="D294" i="2"/>
  <c r="E294" i="2"/>
  <c r="F294" i="2"/>
  <c r="G294" i="2"/>
  <c r="H294" i="2"/>
  <c r="I294" i="2"/>
  <c r="J294" i="2"/>
  <c r="K294" i="2"/>
  <c r="L294" i="2"/>
  <c r="M294" i="2"/>
  <c r="N294" i="2"/>
  <c r="O294" i="2"/>
  <c r="P294" i="2"/>
  <c r="Q294" i="2"/>
  <c r="R294" i="2"/>
  <c r="V294" i="2"/>
  <c r="W294" i="2"/>
  <c r="X294" i="2"/>
  <c r="AC294" i="2"/>
  <c r="AD294" i="2"/>
  <c r="AE294" i="2"/>
  <c r="AF294" i="2"/>
  <c r="AG294" i="2"/>
  <c r="AH294" i="2"/>
  <c r="A285" i="2"/>
  <c r="B285" i="2"/>
  <c r="C285" i="2"/>
  <c r="D285" i="2"/>
  <c r="E285" i="2"/>
  <c r="F285" i="2"/>
  <c r="G285" i="2"/>
  <c r="H285" i="2"/>
  <c r="I285" i="2"/>
  <c r="J285" i="2"/>
  <c r="K285" i="2"/>
  <c r="L285" i="2"/>
  <c r="M285" i="2"/>
  <c r="N285" i="2"/>
  <c r="O285" i="2"/>
  <c r="P285" i="2"/>
  <c r="Q285" i="2"/>
  <c r="R285" i="2"/>
  <c r="V285" i="2"/>
  <c r="W285" i="2"/>
  <c r="X285" i="2"/>
  <c r="AC285" i="2"/>
  <c r="AD285" i="2"/>
  <c r="AE285" i="2"/>
  <c r="AF285" i="2"/>
  <c r="AG285" i="2"/>
  <c r="AH285" i="2"/>
  <c r="A286" i="2"/>
  <c r="B286" i="2"/>
  <c r="C286" i="2"/>
  <c r="D286" i="2"/>
  <c r="E286" i="2"/>
  <c r="F286" i="2"/>
  <c r="G286" i="2"/>
  <c r="H286" i="2"/>
  <c r="I286" i="2"/>
  <c r="J286" i="2"/>
  <c r="K286" i="2"/>
  <c r="L286" i="2"/>
  <c r="M286" i="2"/>
  <c r="N286" i="2"/>
  <c r="O286" i="2"/>
  <c r="P286" i="2"/>
  <c r="Q286" i="2"/>
  <c r="R286" i="2"/>
  <c r="V286" i="2"/>
  <c r="W286" i="2"/>
  <c r="X286" i="2"/>
  <c r="AC286" i="2"/>
  <c r="AD286" i="2"/>
  <c r="AE286" i="2"/>
  <c r="AF286" i="2"/>
  <c r="AG286" i="2"/>
  <c r="AH286" i="2"/>
  <c r="A287" i="2"/>
  <c r="B287" i="2"/>
  <c r="C287" i="2"/>
  <c r="D287" i="2"/>
  <c r="E287" i="2"/>
  <c r="F287" i="2"/>
  <c r="G287" i="2"/>
  <c r="H287" i="2"/>
  <c r="I287" i="2"/>
  <c r="J287" i="2"/>
  <c r="K287" i="2"/>
  <c r="L287" i="2"/>
  <c r="M287" i="2"/>
  <c r="N287" i="2"/>
  <c r="O287" i="2"/>
  <c r="P287" i="2"/>
  <c r="Q287" i="2"/>
  <c r="R287" i="2"/>
  <c r="V287" i="2"/>
  <c r="W287" i="2"/>
  <c r="X287" i="2"/>
  <c r="AC287" i="2"/>
  <c r="AD287" i="2"/>
  <c r="AE287" i="2"/>
  <c r="AF287" i="2"/>
  <c r="AG287" i="2"/>
  <c r="AH287" i="2"/>
  <c r="A288" i="2"/>
  <c r="B288" i="2"/>
  <c r="C288" i="2"/>
  <c r="D288" i="2"/>
  <c r="E288" i="2"/>
  <c r="F288" i="2"/>
  <c r="G288" i="2"/>
  <c r="H288" i="2"/>
  <c r="I288" i="2"/>
  <c r="J288" i="2"/>
  <c r="K288" i="2"/>
  <c r="L288" i="2"/>
  <c r="M288" i="2"/>
  <c r="N288" i="2"/>
  <c r="O288" i="2"/>
  <c r="P288" i="2"/>
  <c r="Q288" i="2"/>
  <c r="R288" i="2"/>
  <c r="V288" i="2"/>
  <c r="W288" i="2"/>
  <c r="X288" i="2"/>
  <c r="AC288" i="2"/>
  <c r="AD288" i="2"/>
  <c r="AE288" i="2"/>
  <c r="AF288" i="2"/>
  <c r="AG288" i="2"/>
  <c r="AH288" i="2"/>
  <c r="A289" i="2"/>
  <c r="B289" i="2"/>
  <c r="C289" i="2"/>
  <c r="D289" i="2"/>
  <c r="E289" i="2"/>
  <c r="F289" i="2"/>
  <c r="G289" i="2"/>
  <c r="H289" i="2"/>
  <c r="I289" i="2"/>
  <c r="J289" i="2"/>
  <c r="K289" i="2"/>
  <c r="L289" i="2"/>
  <c r="M289" i="2"/>
  <c r="N289" i="2"/>
  <c r="O289" i="2"/>
  <c r="P289" i="2"/>
  <c r="Q289" i="2"/>
  <c r="R289" i="2"/>
  <c r="V289" i="2"/>
  <c r="W289" i="2"/>
  <c r="X289" i="2"/>
  <c r="AC289" i="2"/>
  <c r="AD289" i="2"/>
  <c r="AE289" i="2"/>
  <c r="AF289" i="2"/>
  <c r="AG289" i="2"/>
  <c r="AH289" i="2"/>
  <c r="A290" i="2"/>
  <c r="B290" i="2"/>
  <c r="C290" i="2"/>
  <c r="D290" i="2"/>
  <c r="E290" i="2"/>
  <c r="F290" i="2"/>
  <c r="G290" i="2"/>
  <c r="H290" i="2"/>
  <c r="I290" i="2"/>
  <c r="J290" i="2"/>
  <c r="K290" i="2"/>
  <c r="L290" i="2"/>
  <c r="M290" i="2"/>
  <c r="N290" i="2"/>
  <c r="O290" i="2"/>
  <c r="P290" i="2"/>
  <c r="Q290" i="2"/>
  <c r="R290" i="2"/>
  <c r="V290" i="2"/>
  <c r="W290" i="2"/>
  <c r="X290" i="2"/>
  <c r="AC290" i="2"/>
  <c r="AD290" i="2"/>
  <c r="AE290" i="2"/>
  <c r="AF290" i="2"/>
  <c r="AG290" i="2"/>
  <c r="AH290" i="2"/>
  <c r="A275" i="2"/>
  <c r="B275" i="2"/>
  <c r="C275" i="2"/>
  <c r="D275" i="2"/>
  <c r="E275" i="2"/>
  <c r="F275" i="2"/>
  <c r="G275" i="2"/>
  <c r="H275" i="2"/>
  <c r="I275" i="2"/>
  <c r="J275" i="2"/>
  <c r="K275" i="2"/>
  <c r="L275" i="2"/>
  <c r="M275" i="2"/>
  <c r="N275" i="2"/>
  <c r="P275" i="2"/>
  <c r="Q275" i="2"/>
  <c r="R275" i="2"/>
  <c r="V275" i="2"/>
  <c r="W275" i="2"/>
  <c r="X275" i="2"/>
  <c r="AC275" i="2"/>
  <c r="AD275" i="2"/>
  <c r="AE275" i="2"/>
  <c r="AF275" i="2"/>
  <c r="AG275" i="2"/>
  <c r="AH275" i="2"/>
  <c r="A276" i="2"/>
  <c r="B276" i="2"/>
  <c r="C276" i="2"/>
  <c r="D276" i="2"/>
  <c r="E276" i="2"/>
  <c r="F276" i="2"/>
  <c r="G276" i="2"/>
  <c r="H276" i="2"/>
  <c r="I276" i="2"/>
  <c r="J276" i="2"/>
  <c r="K276" i="2"/>
  <c r="L276" i="2"/>
  <c r="M276" i="2"/>
  <c r="N276" i="2"/>
  <c r="O276" i="2"/>
  <c r="P276" i="2"/>
  <c r="Q276" i="2"/>
  <c r="R276" i="2"/>
  <c r="V276" i="2"/>
  <c r="W276" i="2"/>
  <c r="X276" i="2"/>
  <c r="AC276" i="2"/>
  <c r="AD276" i="2"/>
  <c r="AE276" i="2"/>
  <c r="AF276" i="2"/>
  <c r="AG276" i="2"/>
  <c r="AH276" i="2"/>
  <c r="A277" i="2"/>
  <c r="B277" i="2"/>
  <c r="C277" i="2"/>
  <c r="D277" i="2"/>
  <c r="E277" i="2"/>
  <c r="F277" i="2"/>
  <c r="G277" i="2"/>
  <c r="H277" i="2"/>
  <c r="I277" i="2"/>
  <c r="J277" i="2"/>
  <c r="K277" i="2"/>
  <c r="L277" i="2"/>
  <c r="M277" i="2"/>
  <c r="N277" i="2"/>
  <c r="O277" i="2"/>
  <c r="P277" i="2"/>
  <c r="Q277" i="2"/>
  <c r="R277" i="2"/>
  <c r="V277" i="2"/>
  <c r="W277" i="2"/>
  <c r="X277" i="2"/>
  <c r="AC277" i="2"/>
  <c r="AD277" i="2"/>
  <c r="AE277" i="2"/>
  <c r="AF277" i="2"/>
  <c r="AG277" i="2"/>
  <c r="AH277" i="2"/>
  <c r="A278" i="2"/>
  <c r="B278" i="2"/>
  <c r="C278" i="2"/>
  <c r="D278" i="2"/>
  <c r="E278" i="2"/>
  <c r="F278" i="2"/>
  <c r="G278" i="2"/>
  <c r="H278" i="2"/>
  <c r="I278" i="2"/>
  <c r="J278" i="2"/>
  <c r="K278" i="2"/>
  <c r="L278" i="2"/>
  <c r="M278" i="2"/>
  <c r="N278" i="2"/>
  <c r="O278" i="2"/>
  <c r="P278" i="2"/>
  <c r="Q278" i="2"/>
  <c r="R278" i="2"/>
  <c r="V278" i="2"/>
  <c r="W278" i="2"/>
  <c r="X278" i="2"/>
  <c r="AC278" i="2"/>
  <c r="AD278" i="2"/>
  <c r="AE278" i="2"/>
  <c r="AF278" i="2"/>
  <c r="AG278" i="2"/>
  <c r="AH278" i="2"/>
  <c r="A279" i="2"/>
  <c r="B279" i="2"/>
  <c r="C279" i="2"/>
  <c r="D279" i="2"/>
  <c r="E279" i="2"/>
  <c r="F279" i="2"/>
  <c r="G279" i="2"/>
  <c r="H279" i="2"/>
  <c r="I279" i="2"/>
  <c r="J279" i="2"/>
  <c r="K279" i="2"/>
  <c r="L279" i="2"/>
  <c r="M279" i="2"/>
  <c r="N279" i="2"/>
  <c r="O279" i="2"/>
  <c r="P279" i="2"/>
  <c r="Q279" i="2"/>
  <c r="R279" i="2"/>
  <c r="V279" i="2"/>
  <c r="W279" i="2"/>
  <c r="X279" i="2"/>
  <c r="AC279" i="2"/>
  <c r="AD279" i="2"/>
  <c r="AE279" i="2"/>
  <c r="AF279" i="2"/>
  <c r="AG279" i="2"/>
  <c r="AH279" i="2"/>
  <c r="A280" i="2"/>
  <c r="B280" i="2"/>
  <c r="C280" i="2"/>
  <c r="D280" i="2"/>
  <c r="E280" i="2"/>
  <c r="F280" i="2"/>
  <c r="G280" i="2"/>
  <c r="H280" i="2"/>
  <c r="I280" i="2"/>
  <c r="J280" i="2"/>
  <c r="K280" i="2"/>
  <c r="L280" i="2"/>
  <c r="M280" i="2"/>
  <c r="N280" i="2"/>
  <c r="O280" i="2"/>
  <c r="P280" i="2"/>
  <c r="Q280" i="2"/>
  <c r="R280" i="2"/>
  <c r="V280" i="2"/>
  <c r="W280" i="2"/>
  <c r="X280" i="2"/>
  <c r="AC280" i="2"/>
  <c r="AD280" i="2"/>
  <c r="AE280" i="2"/>
  <c r="AF280" i="2"/>
  <c r="AG280" i="2"/>
  <c r="AH280" i="2"/>
  <c r="A281" i="2"/>
  <c r="B281" i="2"/>
  <c r="C281" i="2"/>
  <c r="D281" i="2"/>
  <c r="E281" i="2"/>
  <c r="F281" i="2"/>
  <c r="G281" i="2"/>
  <c r="H281" i="2"/>
  <c r="I281" i="2"/>
  <c r="J281" i="2"/>
  <c r="K281" i="2"/>
  <c r="L281" i="2"/>
  <c r="M281" i="2"/>
  <c r="N281" i="2"/>
  <c r="O281" i="2"/>
  <c r="P281" i="2"/>
  <c r="Q281" i="2"/>
  <c r="R281" i="2"/>
  <c r="V281" i="2"/>
  <c r="W281" i="2"/>
  <c r="X281" i="2"/>
  <c r="AC281" i="2"/>
  <c r="AD281" i="2"/>
  <c r="AE281" i="2"/>
  <c r="AF281" i="2"/>
  <c r="AG281" i="2"/>
  <c r="AH281" i="2"/>
  <c r="A282" i="2"/>
  <c r="B282" i="2"/>
  <c r="C282" i="2"/>
  <c r="D282" i="2"/>
  <c r="E282" i="2"/>
  <c r="F282" i="2"/>
  <c r="G282" i="2"/>
  <c r="H282" i="2"/>
  <c r="I282" i="2"/>
  <c r="J282" i="2"/>
  <c r="K282" i="2"/>
  <c r="L282" i="2"/>
  <c r="M282" i="2"/>
  <c r="N282" i="2"/>
  <c r="O282" i="2"/>
  <c r="P282" i="2"/>
  <c r="Q282" i="2"/>
  <c r="R282" i="2"/>
  <c r="V282" i="2"/>
  <c r="W282" i="2"/>
  <c r="X282" i="2"/>
  <c r="AC282" i="2"/>
  <c r="AD282" i="2"/>
  <c r="AE282" i="2"/>
  <c r="AF282" i="2"/>
  <c r="AG282" i="2"/>
  <c r="AH282" i="2"/>
  <c r="A283" i="2"/>
  <c r="B283" i="2"/>
  <c r="C283" i="2"/>
  <c r="D283" i="2"/>
  <c r="E283" i="2"/>
  <c r="F283" i="2"/>
  <c r="G283" i="2"/>
  <c r="H283" i="2"/>
  <c r="I283" i="2"/>
  <c r="J283" i="2"/>
  <c r="K283" i="2"/>
  <c r="L283" i="2"/>
  <c r="M283" i="2"/>
  <c r="N283" i="2"/>
  <c r="O283" i="2"/>
  <c r="P283" i="2"/>
  <c r="Q283" i="2"/>
  <c r="R283" i="2"/>
  <c r="V283" i="2"/>
  <c r="W283" i="2"/>
  <c r="X283" i="2"/>
  <c r="AC283" i="2"/>
  <c r="AD283" i="2"/>
  <c r="AE283" i="2"/>
  <c r="AF283" i="2"/>
  <c r="AG283" i="2"/>
  <c r="AH283" i="2"/>
  <c r="A284" i="2"/>
  <c r="B284" i="2"/>
  <c r="C284" i="2"/>
  <c r="D284" i="2"/>
  <c r="E284" i="2"/>
  <c r="F284" i="2"/>
  <c r="G284" i="2"/>
  <c r="H284" i="2"/>
  <c r="I284" i="2"/>
  <c r="J284" i="2"/>
  <c r="K284" i="2"/>
  <c r="L284" i="2"/>
  <c r="M284" i="2"/>
  <c r="N284" i="2"/>
  <c r="O284" i="2"/>
  <c r="P284" i="2"/>
  <c r="Q284" i="2"/>
  <c r="R284" i="2"/>
  <c r="V284" i="2"/>
  <c r="W284" i="2"/>
  <c r="X284" i="2"/>
  <c r="AC284" i="2"/>
  <c r="AD284" i="2"/>
  <c r="AE284" i="2"/>
  <c r="AF284" i="2"/>
  <c r="AG284" i="2"/>
  <c r="AH284" i="2"/>
  <c r="A261" i="2"/>
  <c r="B261" i="2"/>
  <c r="C261" i="2"/>
  <c r="D261" i="2"/>
  <c r="E261" i="2"/>
  <c r="F261" i="2"/>
  <c r="G261" i="2"/>
  <c r="H261" i="2"/>
  <c r="I261" i="2"/>
  <c r="J261" i="2"/>
  <c r="K261" i="2"/>
  <c r="L261" i="2"/>
  <c r="M261" i="2"/>
  <c r="N261" i="2"/>
  <c r="O261" i="2"/>
  <c r="P261" i="2"/>
  <c r="Q261" i="2"/>
  <c r="R261" i="2"/>
  <c r="V261" i="2"/>
  <c r="W261" i="2"/>
  <c r="X261" i="2"/>
  <c r="AC261" i="2"/>
  <c r="AD261" i="2"/>
  <c r="AE261" i="2"/>
  <c r="AF261" i="2"/>
  <c r="AG261" i="2"/>
  <c r="AH261" i="2"/>
  <c r="A262" i="2"/>
  <c r="B262" i="2"/>
  <c r="C262" i="2"/>
  <c r="D262" i="2"/>
  <c r="E262" i="2"/>
  <c r="F262" i="2"/>
  <c r="G262" i="2"/>
  <c r="H262" i="2"/>
  <c r="I262" i="2"/>
  <c r="J262" i="2"/>
  <c r="K262" i="2"/>
  <c r="L262" i="2"/>
  <c r="M262" i="2"/>
  <c r="N262" i="2"/>
  <c r="O262" i="2"/>
  <c r="P262" i="2"/>
  <c r="Q262" i="2"/>
  <c r="R262" i="2"/>
  <c r="V262" i="2"/>
  <c r="W262" i="2"/>
  <c r="X262" i="2"/>
  <c r="AC262" i="2"/>
  <c r="AD262" i="2"/>
  <c r="AE262" i="2"/>
  <c r="AF262" i="2"/>
  <c r="AG262" i="2"/>
  <c r="AH262" i="2"/>
  <c r="A263" i="2"/>
  <c r="B263" i="2"/>
  <c r="C263" i="2"/>
  <c r="D263" i="2"/>
  <c r="E263" i="2"/>
  <c r="F263" i="2"/>
  <c r="G263" i="2"/>
  <c r="H263" i="2"/>
  <c r="I263" i="2"/>
  <c r="J263" i="2"/>
  <c r="K263" i="2"/>
  <c r="L263" i="2"/>
  <c r="M263" i="2"/>
  <c r="N263" i="2"/>
  <c r="P263" i="2"/>
  <c r="Q263" i="2"/>
  <c r="R263" i="2"/>
  <c r="V263" i="2"/>
  <c r="W263" i="2"/>
  <c r="X263" i="2"/>
  <c r="AC263" i="2"/>
  <c r="AD263" i="2"/>
  <c r="AE263" i="2"/>
  <c r="AF263" i="2"/>
  <c r="AG263" i="2"/>
  <c r="AH263" i="2"/>
  <c r="A264" i="2"/>
  <c r="B264" i="2"/>
  <c r="C264" i="2"/>
  <c r="D264" i="2"/>
  <c r="E264" i="2"/>
  <c r="F264" i="2"/>
  <c r="G264" i="2"/>
  <c r="H264" i="2"/>
  <c r="I264" i="2"/>
  <c r="J264" i="2"/>
  <c r="K264" i="2"/>
  <c r="L264" i="2"/>
  <c r="M264" i="2"/>
  <c r="N264" i="2"/>
  <c r="O264" i="2"/>
  <c r="P264" i="2"/>
  <c r="Q264" i="2"/>
  <c r="R264" i="2"/>
  <c r="V264" i="2"/>
  <c r="W264" i="2"/>
  <c r="X264" i="2"/>
  <c r="AC264" i="2"/>
  <c r="AD264" i="2"/>
  <c r="AE264" i="2"/>
  <c r="AF264" i="2"/>
  <c r="AG264" i="2"/>
  <c r="AH264" i="2"/>
  <c r="A265" i="2"/>
  <c r="B265" i="2"/>
  <c r="C265" i="2"/>
  <c r="D265" i="2"/>
  <c r="E265" i="2"/>
  <c r="F265" i="2"/>
  <c r="G265" i="2"/>
  <c r="H265" i="2"/>
  <c r="I265" i="2"/>
  <c r="J265" i="2"/>
  <c r="K265" i="2"/>
  <c r="L265" i="2"/>
  <c r="M265" i="2"/>
  <c r="N265" i="2"/>
  <c r="O265" i="2"/>
  <c r="P265" i="2"/>
  <c r="Q265" i="2"/>
  <c r="R265" i="2"/>
  <c r="V265" i="2"/>
  <c r="W265" i="2"/>
  <c r="X265" i="2"/>
  <c r="AC265" i="2"/>
  <c r="AD265" i="2"/>
  <c r="AE265" i="2"/>
  <c r="AF265" i="2"/>
  <c r="AG265" i="2"/>
  <c r="AH265" i="2"/>
  <c r="A266" i="2"/>
  <c r="B266" i="2"/>
  <c r="C266" i="2"/>
  <c r="D266" i="2"/>
  <c r="E266" i="2"/>
  <c r="F266" i="2"/>
  <c r="G266" i="2"/>
  <c r="H266" i="2"/>
  <c r="I266" i="2"/>
  <c r="J266" i="2"/>
  <c r="K266" i="2"/>
  <c r="L266" i="2"/>
  <c r="M266" i="2"/>
  <c r="N266" i="2"/>
  <c r="O266" i="2"/>
  <c r="P266" i="2"/>
  <c r="Q266" i="2"/>
  <c r="R266" i="2"/>
  <c r="V266" i="2"/>
  <c r="W266" i="2"/>
  <c r="X266" i="2"/>
  <c r="AC266" i="2"/>
  <c r="AD266" i="2"/>
  <c r="AE266" i="2"/>
  <c r="AF266" i="2"/>
  <c r="AG266" i="2"/>
  <c r="AH266" i="2"/>
  <c r="A267" i="2"/>
  <c r="B267" i="2"/>
  <c r="C267" i="2"/>
  <c r="D267" i="2"/>
  <c r="E267" i="2"/>
  <c r="F267" i="2"/>
  <c r="G267" i="2"/>
  <c r="H267" i="2"/>
  <c r="I267" i="2"/>
  <c r="J267" i="2"/>
  <c r="K267" i="2"/>
  <c r="L267" i="2"/>
  <c r="M267" i="2"/>
  <c r="N267" i="2"/>
  <c r="O267" i="2"/>
  <c r="P267" i="2"/>
  <c r="Q267" i="2"/>
  <c r="R267" i="2"/>
  <c r="V267" i="2"/>
  <c r="W267" i="2"/>
  <c r="X267" i="2"/>
  <c r="AC267" i="2"/>
  <c r="AD267" i="2"/>
  <c r="AE267" i="2"/>
  <c r="AF267" i="2"/>
  <c r="AG267" i="2"/>
  <c r="AH267" i="2"/>
  <c r="A268" i="2"/>
  <c r="B268" i="2"/>
  <c r="C268" i="2"/>
  <c r="D268" i="2"/>
  <c r="E268" i="2"/>
  <c r="F268" i="2"/>
  <c r="G268" i="2"/>
  <c r="H268" i="2"/>
  <c r="I268" i="2"/>
  <c r="J268" i="2"/>
  <c r="K268" i="2"/>
  <c r="L268" i="2"/>
  <c r="M268" i="2"/>
  <c r="N268" i="2"/>
  <c r="P268" i="2"/>
  <c r="Q268" i="2"/>
  <c r="R268" i="2"/>
  <c r="V268" i="2"/>
  <c r="W268" i="2"/>
  <c r="X268" i="2"/>
  <c r="AC268" i="2"/>
  <c r="AD268" i="2"/>
  <c r="AE268" i="2"/>
  <c r="AF268" i="2"/>
  <c r="AG268" i="2"/>
  <c r="AH268" i="2"/>
  <c r="A269" i="2"/>
  <c r="B269" i="2"/>
  <c r="C269" i="2"/>
  <c r="D269" i="2"/>
  <c r="E269" i="2"/>
  <c r="F269" i="2"/>
  <c r="G269" i="2"/>
  <c r="H269" i="2"/>
  <c r="I269" i="2"/>
  <c r="J269" i="2"/>
  <c r="K269" i="2"/>
  <c r="L269" i="2"/>
  <c r="M269" i="2"/>
  <c r="N269" i="2"/>
  <c r="P269" i="2"/>
  <c r="Q269" i="2"/>
  <c r="R269" i="2"/>
  <c r="V269" i="2"/>
  <c r="W269" i="2"/>
  <c r="X269" i="2"/>
  <c r="AC269" i="2"/>
  <c r="AD269" i="2"/>
  <c r="AE269" i="2"/>
  <c r="AF269" i="2"/>
  <c r="AG269" i="2"/>
  <c r="AH269" i="2"/>
  <c r="A270" i="2"/>
  <c r="B270" i="2"/>
  <c r="C270" i="2"/>
  <c r="D270" i="2"/>
  <c r="E270" i="2"/>
  <c r="F270" i="2"/>
  <c r="G270" i="2"/>
  <c r="H270" i="2"/>
  <c r="I270" i="2"/>
  <c r="J270" i="2"/>
  <c r="K270" i="2"/>
  <c r="L270" i="2"/>
  <c r="M270" i="2"/>
  <c r="N270" i="2"/>
  <c r="P270" i="2"/>
  <c r="Q270" i="2"/>
  <c r="R270" i="2"/>
  <c r="V270" i="2"/>
  <c r="W270" i="2"/>
  <c r="X270" i="2"/>
  <c r="AC270" i="2"/>
  <c r="AD270" i="2"/>
  <c r="AE270" i="2"/>
  <c r="AF270" i="2"/>
  <c r="AG270" i="2"/>
  <c r="AH270" i="2"/>
  <c r="A271" i="2"/>
  <c r="B271" i="2"/>
  <c r="C271" i="2"/>
  <c r="D271" i="2"/>
  <c r="E271" i="2"/>
  <c r="F271" i="2"/>
  <c r="G271" i="2"/>
  <c r="H271" i="2"/>
  <c r="I271" i="2"/>
  <c r="J271" i="2"/>
  <c r="K271" i="2"/>
  <c r="L271" i="2"/>
  <c r="M271" i="2"/>
  <c r="N271" i="2"/>
  <c r="P271" i="2"/>
  <c r="Q271" i="2"/>
  <c r="R271" i="2"/>
  <c r="V271" i="2"/>
  <c r="W271" i="2"/>
  <c r="X271" i="2"/>
  <c r="AC271" i="2"/>
  <c r="AD271" i="2"/>
  <c r="AE271" i="2"/>
  <c r="AF271" i="2"/>
  <c r="AG271" i="2"/>
  <c r="AH271" i="2"/>
  <c r="A272" i="2"/>
  <c r="B272" i="2"/>
  <c r="C272" i="2"/>
  <c r="D272" i="2"/>
  <c r="E272" i="2"/>
  <c r="F272" i="2"/>
  <c r="G272" i="2"/>
  <c r="H272" i="2"/>
  <c r="I272" i="2"/>
  <c r="J272" i="2"/>
  <c r="K272" i="2"/>
  <c r="L272" i="2"/>
  <c r="M272" i="2"/>
  <c r="N272" i="2"/>
  <c r="P272" i="2"/>
  <c r="Q272" i="2"/>
  <c r="R272" i="2"/>
  <c r="V272" i="2"/>
  <c r="W272" i="2"/>
  <c r="X272" i="2"/>
  <c r="AC272" i="2"/>
  <c r="AD272" i="2"/>
  <c r="AE272" i="2"/>
  <c r="AF272" i="2"/>
  <c r="AG272" i="2"/>
  <c r="AH272" i="2"/>
  <c r="A273" i="2"/>
  <c r="B273" i="2"/>
  <c r="C273" i="2"/>
  <c r="D273" i="2"/>
  <c r="E273" i="2"/>
  <c r="F273" i="2"/>
  <c r="G273" i="2"/>
  <c r="H273" i="2"/>
  <c r="I273" i="2"/>
  <c r="J273" i="2"/>
  <c r="K273" i="2"/>
  <c r="L273" i="2"/>
  <c r="M273" i="2"/>
  <c r="N273" i="2"/>
  <c r="P273" i="2"/>
  <c r="Q273" i="2"/>
  <c r="R273" i="2"/>
  <c r="V273" i="2"/>
  <c r="W273" i="2"/>
  <c r="X273" i="2"/>
  <c r="AC273" i="2"/>
  <c r="AD273" i="2"/>
  <c r="AE273" i="2"/>
  <c r="AF273" i="2"/>
  <c r="AG273" i="2"/>
  <c r="AH273" i="2"/>
  <c r="A274" i="2"/>
  <c r="B274" i="2"/>
  <c r="C274" i="2"/>
  <c r="D274" i="2"/>
  <c r="E274" i="2"/>
  <c r="F274" i="2"/>
  <c r="G274" i="2"/>
  <c r="H274" i="2"/>
  <c r="I274" i="2"/>
  <c r="J274" i="2"/>
  <c r="K274" i="2"/>
  <c r="L274" i="2"/>
  <c r="M274" i="2"/>
  <c r="N274" i="2"/>
  <c r="P274" i="2"/>
  <c r="Q274" i="2"/>
  <c r="R274" i="2"/>
  <c r="V274" i="2"/>
  <c r="W274" i="2"/>
  <c r="X274" i="2"/>
  <c r="AC274" i="2"/>
  <c r="AD274" i="2"/>
  <c r="AE274" i="2"/>
  <c r="AF274" i="2"/>
  <c r="AG274" i="2"/>
  <c r="AH274" i="2"/>
  <c r="A243" i="2"/>
  <c r="B243" i="2"/>
  <c r="C243" i="2"/>
  <c r="D243" i="2"/>
  <c r="E243" i="2"/>
  <c r="F243" i="2"/>
  <c r="G243" i="2"/>
  <c r="H243" i="2"/>
  <c r="I243" i="2"/>
  <c r="J243" i="2"/>
  <c r="K243" i="2"/>
  <c r="L243" i="2"/>
  <c r="M243" i="2"/>
  <c r="N243" i="2"/>
  <c r="O243" i="2"/>
  <c r="P243" i="2"/>
  <c r="R243" i="2"/>
  <c r="V243" i="2"/>
  <c r="W243" i="2"/>
  <c r="X243" i="2"/>
  <c r="AC243" i="2"/>
  <c r="AD243" i="2"/>
  <c r="AE243" i="2"/>
  <c r="AF243" i="2"/>
  <c r="AG243" i="2"/>
  <c r="AH243" i="2"/>
  <c r="A244" i="2"/>
  <c r="B244" i="2"/>
  <c r="C244" i="2"/>
  <c r="D244" i="2"/>
  <c r="E244" i="2"/>
  <c r="F244" i="2"/>
  <c r="G244" i="2"/>
  <c r="H244" i="2"/>
  <c r="I244" i="2"/>
  <c r="J244" i="2"/>
  <c r="K244" i="2"/>
  <c r="L244" i="2"/>
  <c r="M244" i="2"/>
  <c r="N244" i="2"/>
  <c r="O244" i="2"/>
  <c r="P244" i="2"/>
  <c r="R244" i="2"/>
  <c r="V244" i="2"/>
  <c r="W244" i="2"/>
  <c r="X244" i="2"/>
  <c r="AC244" i="2"/>
  <c r="AD244" i="2"/>
  <c r="AE244" i="2"/>
  <c r="AF244" i="2"/>
  <c r="AG244" i="2"/>
  <c r="AH244" i="2"/>
  <c r="A245" i="2"/>
  <c r="B245" i="2"/>
  <c r="C245" i="2"/>
  <c r="D245" i="2"/>
  <c r="E245" i="2"/>
  <c r="F245" i="2"/>
  <c r="G245" i="2"/>
  <c r="H245" i="2"/>
  <c r="I245" i="2"/>
  <c r="J245" i="2"/>
  <c r="K245" i="2"/>
  <c r="L245" i="2"/>
  <c r="M245" i="2"/>
  <c r="N245" i="2"/>
  <c r="O245" i="2"/>
  <c r="P245" i="2"/>
  <c r="Q245" i="2"/>
  <c r="R245" i="2"/>
  <c r="V245" i="2"/>
  <c r="W245" i="2"/>
  <c r="X245" i="2"/>
  <c r="AC245" i="2"/>
  <c r="AD245" i="2"/>
  <c r="AE245" i="2"/>
  <c r="AF245" i="2"/>
  <c r="AG245" i="2"/>
  <c r="AH245" i="2"/>
  <c r="A246" i="2"/>
  <c r="B246" i="2"/>
  <c r="C246" i="2"/>
  <c r="D246" i="2"/>
  <c r="E246" i="2"/>
  <c r="F246" i="2"/>
  <c r="G246" i="2"/>
  <c r="H246" i="2"/>
  <c r="I246" i="2"/>
  <c r="J246" i="2"/>
  <c r="K246" i="2"/>
  <c r="L246" i="2"/>
  <c r="M246" i="2"/>
  <c r="N246" i="2"/>
  <c r="O246" i="2"/>
  <c r="P246" i="2"/>
  <c r="Q246" i="2"/>
  <c r="R246" i="2"/>
  <c r="V246" i="2"/>
  <c r="W246" i="2"/>
  <c r="X246" i="2"/>
  <c r="AC246" i="2"/>
  <c r="AD246" i="2"/>
  <c r="AE246" i="2"/>
  <c r="AF246" i="2"/>
  <c r="AG246" i="2"/>
  <c r="AH246" i="2"/>
  <c r="A247" i="2"/>
  <c r="B247" i="2"/>
  <c r="C247" i="2"/>
  <c r="D247" i="2"/>
  <c r="E247" i="2"/>
  <c r="F247" i="2"/>
  <c r="G247" i="2"/>
  <c r="H247" i="2"/>
  <c r="I247" i="2"/>
  <c r="J247" i="2"/>
  <c r="K247" i="2"/>
  <c r="L247" i="2"/>
  <c r="M247" i="2"/>
  <c r="N247" i="2"/>
  <c r="O247" i="2"/>
  <c r="P247" i="2"/>
  <c r="Q247" i="2"/>
  <c r="R247" i="2"/>
  <c r="V247" i="2"/>
  <c r="W247" i="2"/>
  <c r="X247" i="2"/>
  <c r="AC247" i="2"/>
  <c r="AD247" i="2"/>
  <c r="AE247" i="2"/>
  <c r="AF247" i="2"/>
  <c r="AG247" i="2"/>
  <c r="AH247" i="2"/>
  <c r="A248" i="2"/>
  <c r="B248" i="2"/>
  <c r="C248" i="2"/>
  <c r="D248" i="2"/>
  <c r="E248" i="2"/>
  <c r="F248" i="2"/>
  <c r="G248" i="2"/>
  <c r="H248" i="2"/>
  <c r="I248" i="2"/>
  <c r="J248" i="2"/>
  <c r="K248" i="2"/>
  <c r="L248" i="2"/>
  <c r="M248" i="2"/>
  <c r="N248" i="2"/>
  <c r="O248" i="2"/>
  <c r="P248" i="2"/>
  <c r="Q248" i="2"/>
  <c r="R248" i="2"/>
  <c r="V248" i="2"/>
  <c r="W248" i="2"/>
  <c r="X248" i="2"/>
  <c r="AC248" i="2"/>
  <c r="AD248" i="2"/>
  <c r="AE248" i="2"/>
  <c r="AF248" i="2"/>
  <c r="AG248" i="2"/>
  <c r="AH248" i="2"/>
  <c r="A249" i="2"/>
  <c r="B249" i="2"/>
  <c r="C249" i="2"/>
  <c r="D249" i="2"/>
  <c r="E249" i="2"/>
  <c r="F249" i="2"/>
  <c r="G249" i="2"/>
  <c r="H249" i="2"/>
  <c r="I249" i="2"/>
  <c r="J249" i="2"/>
  <c r="K249" i="2"/>
  <c r="L249" i="2"/>
  <c r="M249" i="2"/>
  <c r="N249" i="2"/>
  <c r="O249" i="2"/>
  <c r="P249" i="2"/>
  <c r="Q249" i="2"/>
  <c r="R249" i="2"/>
  <c r="V249" i="2"/>
  <c r="W249" i="2"/>
  <c r="X249" i="2"/>
  <c r="AC249" i="2"/>
  <c r="AD249" i="2"/>
  <c r="AE249" i="2"/>
  <c r="AF249" i="2"/>
  <c r="AG249" i="2"/>
  <c r="AH249" i="2"/>
  <c r="A250" i="2"/>
  <c r="B250" i="2"/>
  <c r="C250" i="2"/>
  <c r="D250" i="2"/>
  <c r="E250" i="2"/>
  <c r="F250" i="2"/>
  <c r="G250" i="2"/>
  <c r="H250" i="2"/>
  <c r="I250" i="2"/>
  <c r="J250" i="2"/>
  <c r="K250" i="2"/>
  <c r="L250" i="2"/>
  <c r="M250" i="2"/>
  <c r="N250" i="2"/>
  <c r="O250" i="2"/>
  <c r="P250" i="2"/>
  <c r="Q250" i="2"/>
  <c r="R250" i="2"/>
  <c r="V250" i="2"/>
  <c r="W250" i="2"/>
  <c r="X250" i="2"/>
  <c r="AC250" i="2"/>
  <c r="AD250" i="2"/>
  <c r="AE250" i="2"/>
  <c r="AF250" i="2"/>
  <c r="AG250" i="2"/>
  <c r="AH250" i="2"/>
  <c r="A251" i="2"/>
  <c r="B251" i="2"/>
  <c r="C251" i="2"/>
  <c r="D251" i="2"/>
  <c r="E251" i="2"/>
  <c r="F251" i="2"/>
  <c r="G251" i="2"/>
  <c r="H251" i="2"/>
  <c r="I251" i="2"/>
  <c r="J251" i="2"/>
  <c r="K251" i="2"/>
  <c r="L251" i="2"/>
  <c r="M251" i="2"/>
  <c r="N251" i="2"/>
  <c r="O251" i="2"/>
  <c r="P251" i="2"/>
  <c r="R251" i="2"/>
  <c r="V251" i="2"/>
  <c r="W251" i="2"/>
  <c r="X251" i="2"/>
  <c r="AC251" i="2"/>
  <c r="AD251" i="2"/>
  <c r="AE251" i="2"/>
  <c r="AF251" i="2"/>
  <c r="AG251" i="2"/>
  <c r="AH251" i="2"/>
  <c r="A252" i="2"/>
  <c r="B252" i="2"/>
  <c r="C252" i="2"/>
  <c r="D252" i="2"/>
  <c r="E252" i="2"/>
  <c r="F252" i="2"/>
  <c r="G252" i="2"/>
  <c r="H252" i="2"/>
  <c r="I252" i="2"/>
  <c r="J252" i="2"/>
  <c r="K252" i="2"/>
  <c r="L252" i="2"/>
  <c r="M252" i="2"/>
  <c r="N252" i="2"/>
  <c r="O252" i="2"/>
  <c r="P252" i="2"/>
  <c r="R252" i="2"/>
  <c r="V252" i="2"/>
  <c r="W252" i="2"/>
  <c r="X252" i="2"/>
  <c r="AC252" i="2"/>
  <c r="AD252" i="2"/>
  <c r="AE252" i="2"/>
  <c r="AF252" i="2"/>
  <c r="AG252" i="2"/>
  <c r="AH252" i="2"/>
  <c r="A253" i="2"/>
  <c r="B253" i="2"/>
  <c r="C253" i="2"/>
  <c r="D253" i="2"/>
  <c r="E253" i="2"/>
  <c r="F253" i="2"/>
  <c r="G253" i="2"/>
  <c r="H253" i="2"/>
  <c r="I253" i="2"/>
  <c r="J253" i="2"/>
  <c r="K253" i="2"/>
  <c r="L253" i="2"/>
  <c r="M253" i="2"/>
  <c r="N253" i="2"/>
  <c r="O253" i="2"/>
  <c r="P253" i="2"/>
  <c r="Q253" i="2"/>
  <c r="R253" i="2"/>
  <c r="V253" i="2"/>
  <c r="W253" i="2"/>
  <c r="X253" i="2"/>
  <c r="AC253" i="2"/>
  <c r="AD253" i="2"/>
  <c r="AE253" i="2"/>
  <c r="AF253" i="2"/>
  <c r="AG253" i="2"/>
  <c r="AH253" i="2"/>
  <c r="A254" i="2"/>
  <c r="B254" i="2"/>
  <c r="C254" i="2"/>
  <c r="D254" i="2"/>
  <c r="E254" i="2"/>
  <c r="F254" i="2"/>
  <c r="G254" i="2"/>
  <c r="H254" i="2"/>
  <c r="I254" i="2"/>
  <c r="J254" i="2"/>
  <c r="K254" i="2"/>
  <c r="L254" i="2"/>
  <c r="M254" i="2"/>
  <c r="N254" i="2"/>
  <c r="O254" i="2"/>
  <c r="P254" i="2"/>
  <c r="R254" i="2"/>
  <c r="V254" i="2"/>
  <c r="W254" i="2"/>
  <c r="X254" i="2"/>
  <c r="AC254" i="2"/>
  <c r="AD254" i="2"/>
  <c r="AE254" i="2"/>
  <c r="AF254" i="2"/>
  <c r="AG254" i="2"/>
  <c r="AH254" i="2"/>
  <c r="A255" i="2"/>
  <c r="B255" i="2"/>
  <c r="C255" i="2"/>
  <c r="D255" i="2"/>
  <c r="E255" i="2"/>
  <c r="F255" i="2"/>
  <c r="G255" i="2"/>
  <c r="H255" i="2"/>
  <c r="I255" i="2"/>
  <c r="J255" i="2"/>
  <c r="K255" i="2"/>
  <c r="L255" i="2"/>
  <c r="M255" i="2"/>
  <c r="N255" i="2"/>
  <c r="O255" i="2"/>
  <c r="P255" i="2"/>
  <c r="Q255" i="2"/>
  <c r="R255" i="2"/>
  <c r="V255" i="2"/>
  <c r="W255" i="2"/>
  <c r="X255" i="2"/>
  <c r="AC255" i="2"/>
  <c r="AD255" i="2"/>
  <c r="AE255" i="2"/>
  <c r="AF255" i="2"/>
  <c r="AG255" i="2"/>
  <c r="AH255" i="2"/>
  <c r="A256" i="2"/>
  <c r="B256" i="2"/>
  <c r="C256" i="2"/>
  <c r="D256" i="2"/>
  <c r="E256" i="2"/>
  <c r="F256" i="2"/>
  <c r="G256" i="2"/>
  <c r="H256" i="2"/>
  <c r="I256" i="2"/>
  <c r="J256" i="2"/>
  <c r="K256" i="2"/>
  <c r="L256" i="2"/>
  <c r="M256" i="2"/>
  <c r="N256" i="2"/>
  <c r="O256" i="2"/>
  <c r="P256" i="2"/>
  <c r="Q256" i="2"/>
  <c r="R256" i="2"/>
  <c r="V256" i="2"/>
  <c r="W256" i="2"/>
  <c r="X256" i="2"/>
  <c r="AC256" i="2"/>
  <c r="AD256" i="2"/>
  <c r="AE256" i="2"/>
  <c r="AF256" i="2"/>
  <c r="AG256" i="2"/>
  <c r="AH256" i="2"/>
  <c r="A257" i="2"/>
  <c r="B257" i="2"/>
  <c r="C257" i="2"/>
  <c r="D257" i="2"/>
  <c r="E257" i="2"/>
  <c r="F257" i="2"/>
  <c r="G257" i="2"/>
  <c r="H257" i="2"/>
  <c r="I257" i="2"/>
  <c r="J257" i="2"/>
  <c r="K257" i="2"/>
  <c r="L257" i="2"/>
  <c r="M257" i="2"/>
  <c r="N257" i="2"/>
  <c r="O257" i="2"/>
  <c r="P257" i="2"/>
  <c r="Q257" i="2"/>
  <c r="R257" i="2"/>
  <c r="V257" i="2"/>
  <c r="W257" i="2"/>
  <c r="X257" i="2"/>
  <c r="AC257" i="2"/>
  <c r="AD257" i="2"/>
  <c r="AE257" i="2"/>
  <c r="AF257" i="2"/>
  <c r="AG257" i="2"/>
  <c r="AH257" i="2"/>
  <c r="A258" i="2"/>
  <c r="B258" i="2"/>
  <c r="C258" i="2"/>
  <c r="D258" i="2"/>
  <c r="E258" i="2"/>
  <c r="F258" i="2"/>
  <c r="G258" i="2"/>
  <c r="H258" i="2"/>
  <c r="I258" i="2"/>
  <c r="J258" i="2"/>
  <c r="K258" i="2"/>
  <c r="L258" i="2"/>
  <c r="M258" i="2"/>
  <c r="N258" i="2"/>
  <c r="O258" i="2"/>
  <c r="P258" i="2"/>
  <c r="Q258" i="2"/>
  <c r="R258" i="2"/>
  <c r="V258" i="2"/>
  <c r="W258" i="2"/>
  <c r="X258" i="2"/>
  <c r="AC258" i="2"/>
  <c r="AD258" i="2"/>
  <c r="AE258" i="2"/>
  <c r="AF258" i="2"/>
  <c r="AG258" i="2"/>
  <c r="AH258" i="2"/>
  <c r="A259" i="2"/>
  <c r="B259" i="2"/>
  <c r="C259" i="2"/>
  <c r="D259" i="2"/>
  <c r="E259" i="2"/>
  <c r="F259" i="2"/>
  <c r="G259" i="2"/>
  <c r="H259" i="2"/>
  <c r="I259" i="2"/>
  <c r="J259" i="2"/>
  <c r="K259" i="2"/>
  <c r="L259" i="2"/>
  <c r="M259" i="2"/>
  <c r="N259" i="2"/>
  <c r="O259" i="2"/>
  <c r="P259" i="2"/>
  <c r="Q259" i="2"/>
  <c r="R259" i="2"/>
  <c r="V259" i="2"/>
  <c r="W259" i="2"/>
  <c r="X259" i="2"/>
  <c r="AC259" i="2"/>
  <c r="AD259" i="2"/>
  <c r="AE259" i="2"/>
  <c r="AF259" i="2"/>
  <c r="AG259" i="2"/>
  <c r="AH259" i="2"/>
  <c r="A260" i="2"/>
  <c r="B260" i="2"/>
  <c r="C260" i="2"/>
  <c r="D260" i="2"/>
  <c r="E260" i="2"/>
  <c r="F260" i="2"/>
  <c r="G260" i="2"/>
  <c r="H260" i="2"/>
  <c r="I260" i="2"/>
  <c r="J260" i="2"/>
  <c r="K260" i="2"/>
  <c r="L260" i="2"/>
  <c r="M260" i="2"/>
  <c r="N260" i="2"/>
  <c r="O260" i="2"/>
  <c r="P260" i="2"/>
  <c r="Q260" i="2"/>
  <c r="R260" i="2"/>
  <c r="V260" i="2"/>
  <c r="W260" i="2"/>
  <c r="X260" i="2"/>
  <c r="AC260" i="2"/>
  <c r="AD260" i="2"/>
  <c r="AE260" i="2"/>
  <c r="AF260" i="2"/>
  <c r="AG260" i="2"/>
  <c r="AH260" i="2"/>
  <c r="A220" i="2"/>
  <c r="B220" i="2"/>
  <c r="C220" i="2"/>
  <c r="D220" i="2"/>
  <c r="E220" i="2"/>
  <c r="F220" i="2"/>
  <c r="G220" i="2"/>
  <c r="H220" i="2"/>
  <c r="I220" i="2"/>
  <c r="J220" i="2"/>
  <c r="K220" i="2"/>
  <c r="L220" i="2"/>
  <c r="M220" i="2"/>
  <c r="N220" i="2"/>
  <c r="P220" i="2"/>
  <c r="R220" i="2"/>
  <c r="V220" i="2"/>
  <c r="W220" i="2"/>
  <c r="X220" i="2"/>
  <c r="AC220" i="2"/>
  <c r="AD220" i="2"/>
  <c r="AE220" i="2"/>
  <c r="AF220" i="2"/>
  <c r="AG220" i="2"/>
  <c r="AH220" i="2"/>
  <c r="A221" i="2"/>
  <c r="B221" i="2"/>
  <c r="C221" i="2"/>
  <c r="D221" i="2"/>
  <c r="E221" i="2"/>
  <c r="F221" i="2"/>
  <c r="G221" i="2"/>
  <c r="H221" i="2"/>
  <c r="I221" i="2"/>
  <c r="J221" i="2"/>
  <c r="K221" i="2"/>
  <c r="L221" i="2"/>
  <c r="M221" i="2"/>
  <c r="N221" i="2"/>
  <c r="O221" i="2"/>
  <c r="P221" i="2"/>
  <c r="Q221" i="2"/>
  <c r="R221" i="2"/>
  <c r="V221" i="2"/>
  <c r="W221" i="2"/>
  <c r="X221" i="2"/>
  <c r="AC221" i="2"/>
  <c r="AD221" i="2"/>
  <c r="AE221" i="2"/>
  <c r="AF221" i="2"/>
  <c r="AG221" i="2"/>
  <c r="AH221" i="2"/>
  <c r="A222" i="2"/>
  <c r="B222" i="2"/>
  <c r="C222" i="2"/>
  <c r="D222" i="2"/>
  <c r="E222" i="2"/>
  <c r="F222" i="2"/>
  <c r="G222" i="2"/>
  <c r="H222" i="2"/>
  <c r="I222" i="2"/>
  <c r="J222" i="2"/>
  <c r="K222" i="2"/>
  <c r="L222" i="2"/>
  <c r="M222" i="2"/>
  <c r="N222" i="2"/>
  <c r="O222" i="2"/>
  <c r="P222" i="2"/>
  <c r="Q222" i="2"/>
  <c r="R222" i="2"/>
  <c r="V222" i="2"/>
  <c r="W222" i="2"/>
  <c r="X222" i="2"/>
  <c r="AC222" i="2"/>
  <c r="AD222" i="2"/>
  <c r="AE222" i="2"/>
  <c r="AF222" i="2"/>
  <c r="AG222" i="2"/>
  <c r="AH222" i="2"/>
  <c r="A223" i="2"/>
  <c r="B223" i="2"/>
  <c r="C223" i="2"/>
  <c r="D223" i="2"/>
  <c r="E223" i="2"/>
  <c r="F223" i="2"/>
  <c r="G223" i="2"/>
  <c r="H223" i="2"/>
  <c r="I223" i="2"/>
  <c r="J223" i="2"/>
  <c r="K223" i="2"/>
  <c r="L223" i="2"/>
  <c r="M223" i="2"/>
  <c r="N223" i="2"/>
  <c r="O223" i="2"/>
  <c r="P223" i="2"/>
  <c r="R223" i="2"/>
  <c r="V223" i="2"/>
  <c r="W223" i="2"/>
  <c r="X223" i="2"/>
  <c r="AC223" i="2"/>
  <c r="AD223" i="2"/>
  <c r="AE223" i="2"/>
  <c r="AF223" i="2"/>
  <c r="AG223" i="2"/>
  <c r="AH223" i="2"/>
  <c r="A224" i="2"/>
  <c r="B224" i="2"/>
  <c r="C224" i="2"/>
  <c r="D224" i="2"/>
  <c r="E224" i="2"/>
  <c r="F224" i="2"/>
  <c r="G224" i="2"/>
  <c r="H224" i="2"/>
  <c r="I224" i="2"/>
  <c r="J224" i="2"/>
  <c r="K224" i="2"/>
  <c r="L224" i="2"/>
  <c r="M224" i="2"/>
  <c r="N224" i="2"/>
  <c r="O224" i="2"/>
  <c r="P224" i="2"/>
  <c r="R224" i="2"/>
  <c r="V224" i="2"/>
  <c r="W224" i="2"/>
  <c r="X224" i="2"/>
  <c r="AC224" i="2"/>
  <c r="AD224" i="2"/>
  <c r="AE224" i="2"/>
  <c r="AF224" i="2"/>
  <c r="AG224" i="2"/>
  <c r="AH224" i="2"/>
  <c r="A225" i="2"/>
  <c r="B225" i="2"/>
  <c r="C225" i="2"/>
  <c r="D225" i="2"/>
  <c r="E225" i="2"/>
  <c r="F225" i="2"/>
  <c r="G225" i="2"/>
  <c r="H225" i="2"/>
  <c r="I225" i="2"/>
  <c r="J225" i="2"/>
  <c r="K225" i="2"/>
  <c r="L225" i="2"/>
  <c r="M225" i="2"/>
  <c r="N225" i="2"/>
  <c r="O225" i="2"/>
  <c r="P225" i="2"/>
  <c r="R225" i="2"/>
  <c r="V225" i="2"/>
  <c r="W225" i="2"/>
  <c r="X225" i="2"/>
  <c r="AC225" i="2"/>
  <c r="AD225" i="2"/>
  <c r="AE225" i="2"/>
  <c r="AF225" i="2"/>
  <c r="AG225" i="2"/>
  <c r="AH225" i="2"/>
  <c r="A226" i="2"/>
  <c r="B226" i="2"/>
  <c r="C226" i="2"/>
  <c r="D226" i="2"/>
  <c r="E226" i="2"/>
  <c r="F226" i="2"/>
  <c r="G226" i="2"/>
  <c r="H226" i="2"/>
  <c r="I226" i="2"/>
  <c r="J226" i="2"/>
  <c r="K226" i="2"/>
  <c r="L226" i="2"/>
  <c r="M226" i="2"/>
  <c r="N226" i="2"/>
  <c r="O226" i="2"/>
  <c r="P226" i="2"/>
  <c r="Q226" i="2"/>
  <c r="R226" i="2"/>
  <c r="V226" i="2"/>
  <c r="W226" i="2"/>
  <c r="X226" i="2"/>
  <c r="AC226" i="2"/>
  <c r="AD226" i="2"/>
  <c r="AE226" i="2"/>
  <c r="AF226" i="2"/>
  <c r="AG226" i="2"/>
  <c r="AH226" i="2"/>
  <c r="A227" i="2"/>
  <c r="B227" i="2"/>
  <c r="C227" i="2"/>
  <c r="D227" i="2"/>
  <c r="E227" i="2"/>
  <c r="F227" i="2"/>
  <c r="G227" i="2"/>
  <c r="H227" i="2"/>
  <c r="I227" i="2"/>
  <c r="J227" i="2"/>
  <c r="K227" i="2"/>
  <c r="L227" i="2"/>
  <c r="M227" i="2"/>
  <c r="N227" i="2"/>
  <c r="O227" i="2"/>
  <c r="P227" i="2"/>
  <c r="Q227" i="2"/>
  <c r="R227" i="2"/>
  <c r="V227" i="2"/>
  <c r="W227" i="2"/>
  <c r="X227" i="2"/>
  <c r="AC227" i="2"/>
  <c r="AD227" i="2"/>
  <c r="AE227" i="2"/>
  <c r="AF227" i="2"/>
  <c r="AG227" i="2"/>
  <c r="AH227" i="2"/>
  <c r="A228" i="2"/>
  <c r="B228" i="2"/>
  <c r="C228" i="2"/>
  <c r="D228" i="2"/>
  <c r="E228" i="2"/>
  <c r="F228" i="2"/>
  <c r="G228" i="2"/>
  <c r="H228" i="2"/>
  <c r="I228" i="2"/>
  <c r="J228" i="2"/>
  <c r="K228" i="2"/>
  <c r="L228" i="2"/>
  <c r="M228" i="2"/>
  <c r="N228" i="2"/>
  <c r="O228" i="2"/>
  <c r="P228" i="2"/>
  <c r="Q228" i="2"/>
  <c r="R228" i="2"/>
  <c r="V228" i="2"/>
  <c r="W228" i="2"/>
  <c r="X228" i="2"/>
  <c r="AC228" i="2"/>
  <c r="AD228" i="2"/>
  <c r="AE228" i="2"/>
  <c r="AF228" i="2"/>
  <c r="AG228" i="2"/>
  <c r="AH228" i="2"/>
  <c r="A229" i="2"/>
  <c r="B229" i="2"/>
  <c r="C229" i="2"/>
  <c r="D229" i="2"/>
  <c r="E229" i="2"/>
  <c r="F229" i="2"/>
  <c r="G229" i="2"/>
  <c r="H229" i="2"/>
  <c r="I229" i="2"/>
  <c r="J229" i="2"/>
  <c r="K229" i="2"/>
  <c r="L229" i="2"/>
  <c r="M229" i="2"/>
  <c r="N229" i="2"/>
  <c r="O229" i="2"/>
  <c r="P229" i="2"/>
  <c r="Q229" i="2"/>
  <c r="R229" i="2"/>
  <c r="V229" i="2"/>
  <c r="W229" i="2"/>
  <c r="X229" i="2"/>
  <c r="AC229" i="2"/>
  <c r="AD229" i="2"/>
  <c r="AE229" i="2"/>
  <c r="AF229" i="2"/>
  <c r="AG229" i="2"/>
  <c r="AH229" i="2"/>
  <c r="A230" i="2"/>
  <c r="B230" i="2"/>
  <c r="C230" i="2"/>
  <c r="D230" i="2"/>
  <c r="E230" i="2"/>
  <c r="F230" i="2"/>
  <c r="G230" i="2"/>
  <c r="H230" i="2"/>
  <c r="I230" i="2"/>
  <c r="J230" i="2"/>
  <c r="K230" i="2"/>
  <c r="L230" i="2"/>
  <c r="M230" i="2"/>
  <c r="N230" i="2"/>
  <c r="O230" i="2"/>
  <c r="P230" i="2"/>
  <c r="Q230" i="2"/>
  <c r="R230" i="2"/>
  <c r="V230" i="2"/>
  <c r="W230" i="2"/>
  <c r="X230" i="2"/>
  <c r="AC230" i="2"/>
  <c r="AD230" i="2"/>
  <c r="AE230" i="2"/>
  <c r="AF230" i="2"/>
  <c r="AG230" i="2"/>
  <c r="AH230" i="2"/>
  <c r="A231" i="2"/>
  <c r="B231" i="2"/>
  <c r="C231" i="2"/>
  <c r="D231" i="2"/>
  <c r="E231" i="2"/>
  <c r="F231" i="2"/>
  <c r="G231" i="2"/>
  <c r="H231" i="2"/>
  <c r="I231" i="2"/>
  <c r="J231" i="2"/>
  <c r="K231" i="2"/>
  <c r="L231" i="2"/>
  <c r="M231" i="2"/>
  <c r="N231" i="2"/>
  <c r="O231" i="2"/>
  <c r="P231" i="2"/>
  <c r="Q231" i="2"/>
  <c r="R231" i="2"/>
  <c r="V231" i="2"/>
  <c r="W231" i="2"/>
  <c r="X231" i="2"/>
  <c r="AC231" i="2"/>
  <c r="AD231" i="2"/>
  <c r="AE231" i="2"/>
  <c r="AF231" i="2"/>
  <c r="AG231" i="2"/>
  <c r="AH231" i="2"/>
  <c r="A232" i="2"/>
  <c r="B232" i="2"/>
  <c r="C232" i="2"/>
  <c r="D232" i="2"/>
  <c r="E232" i="2"/>
  <c r="F232" i="2"/>
  <c r="G232" i="2"/>
  <c r="H232" i="2"/>
  <c r="I232" i="2"/>
  <c r="J232" i="2"/>
  <c r="K232" i="2"/>
  <c r="L232" i="2"/>
  <c r="M232" i="2"/>
  <c r="N232" i="2"/>
  <c r="O232" i="2"/>
  <c r="P232" i="2"/>
  <c r="Q232" i="2"/>
  <c r="R232" i="2"/>
  <c r="V232" i="2"/>
  <c r="W232" i="2"/>
  <c r="X232" i="2"/>
  <c r="AC232" i="2"/>
  <c r="AD232" i="2"/>
  <c r="AE232" i="2"/>
  <c r="AF232" i="2"/>
  <c r="AG232" i="2"/>
  <c r="AH232" i="2"/>
  <c r="A233" i="2"/>
  <c r="B233" i="2"/>
  <c r="C233" i="2"/>
  <c r="D233" i="2"/>
  <c r="E233" i="2"/>
  <c r="F233" i="2"/>
  <c r="G233" i="2"/>
  <c r="H233" i="2"/>
  <c r="I233" i="2"/>
  <c r="J233" i="2"/>
  <c r="K233" i="2"/>
  <c r="L233" i="2"/>
  <c r="M233" i="2"/>
  <c r="N233" i="2"/>
  <c r="O233" i="2"/>
  <c r="P233" i="2"/>
  <c r="Q233" i="2"/>
  <c r="R233" i="2"/>
  <c r="V233" i="2"/>
  <c r="W233" i="2"/>
  <c r="X233" i="2"/>
  <c r="AC233" i="2"/>
  <c r="AD233" i="2"/>
  <c r="AE233" i="2"/>
  <c r="AF233" i="2"/>
  <c r="AG233" i="2"/>
  <c r="AH233" i="2"/>
  <c r="A234" i="2"/>
  <c r="B234" i="2"/>
  <c r="C234" i="2"/>
  <c r="D234" i="2"/>
  <c r="E234" i="2"/>
  <c r="F234" i="2"/>
  <c r="G234" i="2"/>
  <c r="H234" i="2"/>
  <c r="I234" i="2"/>
  <c r="J234" i="2"/>
  <c r="K234" i="2"/>
  <c r="L234" i="2"/>
  <c r="M234" i="2"/>
  <c r="N234" i="2"/>
  <c r="O234" i="2"/>
  <c r="P234" i="2"/>
  <c r="Q234" i="2"/>
  <c r="R234" i="2"/>
  <c r="V234" i="2"/>
  <c r="W234" i="2"/>
  <c r="X234" i="2"/>
  <c r="AC234" i="2"/>
  <c r="AD234" i="2"/>
  <c r="AE234" i="2"/>
  <c r="AF234" i="2"/>
  <c r="AG234" i="2"/>
  <c r="AH234" i="2"/>
  <c r="A235" i="2"/>
  <c r="B235" i="2"/>
  <c r="C235" i="2"/>
  <c r="D235" i="2"/>
  <c r="E235" i="2"/>
  <c r="F235" i="2"/>
  <c r="G235" i="2"/>
  <c r="H235" i="2"/>
  <c r="I235" i="2"/>
  <c r="J235" i="2"/>
  <c r="K235" i="2"/>
  <c r="L235" i="2"/>
  <c r="M235" i="2"/>
  <c r="N235" i="2"/>
  <c r="O235" i="2"/>
  <c r="P235" i="2"/>
  <c r="Q235" i="2"/>
  <c r="R235" i="2"/>
  <c r="V235" i="2"/>
  <c r="W235" i="2"/>
  <c r="X235" i="2"/>
  <c r="AC235" i="2"/>
  <c r="AD235" i="2"/>
  <c r="AE235" i="2"/>
  <c r="AF235" i="2"/>
  <c r="AG235" i="2"/>
  <c r="AH235" i="2"/>
  <c r="A236" i="2"/>
  <c r="B236" i="2"/>
  <c r="C236" i="2"/>
  <c r="D236" i="2"/>
  <c r="E236" i="2"/>
  <c r="F236" i="2"/>
  <c r="G236" i="2"/>
  <c r="H236" i="2"/>
  <c r="I236" i="2"/>
  <c r="J236" i="2"/>
  <c r="K236" i="2"/>
  <c r="L236" i="2"/>
  <c r="M236" i="2"/>
  <c r="N236" i="2"/>
  <c r="O236" i="2"/>
  <c r="P236" i="2"/>
  <c r="R236" i="2"/>
  <c r="V236" i="2"/>
  <c r="W236" i="2"/>
  <c r="X236" i="2"/>
  <c r="AC236" i="2"/>
  <c r="AD236" i="2"/>
  <c r="AE236" i="2"/>
  <c r="AF236" i="2"/>
  <c r="AG236" i="2"/>
  <c r="AH236" i="2"/>
  <c r="A237" i="2"/>
  <c r="B237" i="2"/>
  <c r="C237" i="2"/>
  <c r="D237" i="2"/>
  <c r="E237" i="2"/>
  <c r="F237" i="2"/>
  <c r="G237" i="2"/>
  <c r="H237" i="2"/>
  <c r="I237" i="2"/>
  <c r="J237" i="2"/>
  <c r="K237" i="2"/>
  <c r="L237" i="2"/>
  <c r="M237" i="2"/>
  <c r="N237" i="2"/>
  <c r="O237" i="2"/>
  <c r="P237" i="2"/>
  <c r="R237" i="2"/>
  <c r="V237" i="2"/>
  <c r="W237" i="2"/>
  <c r="X237" i="2"/>
  <c r="AC237" i="2"/>
  <c r="AD237" i="2"/>
  <c r="AE237" i="2"/>
  <c r="AF237" i="2"/>
  <c r="AG237" i="2"/>
  <c r="AH237" i="2"/>
  <c r="A238" i="2"/>
  <c r="B238" i="2"/>
  <c r="C238" i="2"/>
  <c r="D238" i="2"/>
  <c r="E238" i="2"/>
  <c r="F238" i="2"/>
  <c r="G238" i="2"/>
  <c r="H238" i="2"/>
  <c r="I238" i="2"/>
  <c r="J238" i="2"/>
  <c r="K238" i="2"/>
  <c r="L238" i="2"/>
  <c r="M238" i="2"/>
  <c r="N238" i="2"/>
  <c r="O238" i="2"/>
  <c r="P238" i="2"/>
  <c r="R238" i="2"/>
  <c r="V238" i="2"/>
  <c r="W238" i="2"/>
  <c r="X238" i="2"/>
  <c r="AC238" i="2"/>
  <c r="AD238" i="2"/>
  <c r="AE238" i="2"/>
  <c r="AF238" i="2"/>
  <c r="AG238" i="2"/>
  <c r="AH238" i="2"/>
  <c r="A239" i="2"/>
  <c r="B239" i="2"/>
  <c r="C239" i="2"/>
  <c r="D239" i="2"/>
  <c r="E239" i="2"/>
  <c r="F239" i="2"/>
  <c r="G239" i="2"/>
  <c r="H239" i="2"/>
  <c r="I239" i="2"/>
  <c r="J239" i="2"/>
  <c r="K239" i="2"/>
  <c r="L239" i="2"/>
  <c r="M239" i="2"/>
  <c r="N239" i="2"/>
  <c r="O239" i="2"/>
  <c r="P239" i="2"/>
  <c r="R239" i="2"/>
  <c r="V239" i="2"/>
  <c r="W239" i="2"/>
  <c r="X239" i="2"/>
  <c r="AC239" i="2"/>
  <c r="AD239" i="2"/>
  <c r="AE239" i="2"/>
  <c r="AF239" i="2"/>
  <c r="AG239" i="2"/>
  <c r="AH239" i="2"/>
  <c r="A240" i="2"/>
  <c r="B240" i="2"/>
  <c r="C240" i="2"/>
  <c r="D240" i="2"/>
  <c r="E240" i="2"/>
  <c r="F240" i="2"/>
  <c r="G240" i="2"/>
  <c r="H240" i="2"/>
  <c r="I240" i="2"/>
  <c r="J240" i="2"/>
  <c r="K240" i="2"/>
  <c r="L240" i="2"/>
  <c r="M240" i="2"/>
  <c r="N240" i="2"/>
  <c r="O240" i="2"/>
  <c r="P240" i="2"/>
  <c r="R240" i="2"/>
  <c r="V240" i="2"/>
  <c r="W240" i="2"/>
  <c r="X240" i="2"/>
  <c r="AC240" i="2"/>
  <c r="AD240" i="2"/>
  <c r="AE240" i="2"/>
  <c r="AF240" i="2"/>
  <c r="AG240" i="2"/>
  <c r="AH240" i="2"/>
  <c r="A241" i="2"/>
  <c r="B241" i="2"/>
  <c r="C241" i="2"/>
  <c r="D241" i="2"/>
  <c r="E241" i="2"/>
  <c r="F241" i="2"/>
  <c r="G241" i="2"/>
  <c r="H241" i="2"/>
  <c r="I241" i="2"/>
  <c r="J241" i="2"/>
  <c r="K241" i="2"/>
  <c r="L241" i="2"/>
  <c r="M241" i="2"/>
  <c r="N241" i="2"/>
  <c r="O241" i="2"/>
  <c r="P241" i="2"/>
  <c r="R241" i="2"/>
  <c r="V241" i="2"/>
  <c r="W241" i="2"/>
  <c r="X241" i="2"/>
  <c r="AC241" i="2"/>
  <c r="AD241" i="2"/>
  <c r="AE241" i="2"/>
  <c r="AF241" i="2"/>
  <c r="AG241" i="2"/>
  <c r="AH241" i="2"/>
  <c r="A242" i="2"/>
  <c r="B242" i="2"/>
  <c r="C242" i="2"/>
  <c r="D242" i="2"/>
  <c r="E242" i="2"/>
  <c r="F242" i="2"/>
  <c r="G242" i="2"/>
  <c r="H242" i="2"/>
  <c r="I242" i="2"/>
  <c r="J242" i="2"/>
  <c r="K242" i="2"/>
  <c r="L242" i="2"/>
  <c r="M242" i="2"/>
  <c r="N242" i="2"/>
  <c r="O242" i="2"/>
  <c r="P242" i="2"/>
  <c r="R242" i="2"/>
  <c r="V242" i="2"/>
  <c r="W242" i="2"/>
  <c r="X242" i="2"/>
  <c r="AC242" i="2"/>
  <c r="AD242" i="2"/>
  <c r="AE242" i="2"/>
  <c r="AF242" i="2"/>
  <c r="AG242" i="2"/>
  <c r="AH242" i="2"/>
  <c r="A4" i="2"/>
  <c r="B4" i="2"/>
  <c r="C4" i="2"/>
  <c r="D4" i="2"/>
  <c r="E4" i="2"/>
  <c r="F4" i="2"/>
  <c r="G4" i="2"/>
  <c r="H4" i="2"/>
  <c r="I4" i="2"/>
  <c r="J4" i="2"/>
  <c r="K4" i="2"/>
  <c r="L4" i="2"/>
  <c r="M4" i="2"/>
  <c r="N4" i="2"/>
  <c r="O4" i="2"/>
  <c r="P4" i="2"/>
  <c r="Q4" i="2"/>
  <c r="R4" i="2"/>
  <c r="V4" i="2"/>
  <c r="W4" i="2"/>
  <c r="X4" i="2"/>
  <c r="AC4" i="2"/>
  <c r="AD4" i="2"/>
  <c r="AE4" i="2"/>
  <c r="AF4" i="2"/>
  <c r="AG4" i="2"/>
  <c r="AH4" i="2"/>
  <c r="A5" i="2"/>
  <c r="B5" i="2"/>
  <c r="C5" i="2"/>
  <c r="D5" i="2"/>
  <c r="E5" i="2"/>
  <c r="F5" i="2"/>
  <c r="G5" i="2"/>
  <c r="H5" i="2"/>
  <c r="I5" i="2"/>
  <c r="J5" i="2"/>
  <c r="K5" i="2"/>
  <c r="L5" i="2"/>
  <c r="M5" i="2"/>
  <c r="N5" i="2"/>
  <c r="O5" i="2"/>
  <c r="P5" i="2"/>
  <c r="Q5" i="2"/>
  <c r="R5" i="2"/>
  <c r="V5" i="2"/>
  <c r="W5" i="2"/>
  <c r="X5" i="2"/>
  <c r="AC5" i="2"/>
  <c r="AD5" i="2"/>
  <c r="AE5" i="2"/>
  <c r="AF5" i="2"/>
  <c r="AG5" i="2"/>
  <c r="AH5" i="2"/>
  <c r="A6" i="2"/>
  <c r="B6" i="2"/>
  <c r="C6" i="2"/>
  <c r="D6" i="2"/>
  <c r="E6" i="2"/>
  <c r="F6" i="2"/>
  <c r="G6" i="2"/>
  <c r="H6" i="2"/>
  <c r="I6" i="2"/>
  <c r="J6" i="2"/>
  <c r="K6" i="2"/>
  <c r="L6" i="2"/>
  <c r="M6" i="2"/>
  <c r="N6" i="2"/>
  <c r="O6" i="2"/>
  <c r="P6" i="2"/>
  <c r="Q6" i="2"/>
  <c r="R6" i="2"/>
  <c r="V6" i="2"/>
  <c r="W6" i="2"/>
  <c r="X6" i="2"/>
  <c r="AC6" i="2"/>
  <c r="AD6" i="2"/>
  <c r="AE6" i="2"/>
  <c r="AF6" i="2"/>
  <c r="AG6" i="2"/>
  <c r="AH6" i="2"/>
  <c r="A7" i="2"/>
  <c r="B7" i="2"/>
  <c r="C7" i="2"/>
  <c r="D7" i="2"/>
  <c r="E7" i="2"/>
  <c r="F7" i="2"/>
  <c r="G7" i="2"/>
  <c r="H7" i="2"/>
  <c r="I7" i="2"/>
  <c r="J7" i="2"/>
  <c r="K7" i="2"/>
  <c r="L7" i="2"/>
  <c r="M7" i="2"/>
  <c r="N7" i="2"/>
  <c r="O7" i="2"/>
  <c r="P7" i="2"/>
  <c r="Q7" i="2"/>
  <c r="R7" i="2"/>
  <c r="V7" i="2"/>
  <c r="W7" i="2"/>
  <c r="X7" i="2"/>
  <c r="AC7" i="2"/>
  <c r="AD7" i="2"/>
  <c r="AE7" i="2"/>
  <c r="AF7" i="2"/>
  <c r="AG7" i="2"/>
  <c r="AH7" i="2"/>
  <c r="A8" i="2"/>
  <c r="B8" i="2"/>
  <c r="C8" i="2"/>
  <c r="D8" i="2"/>
  <c r="E8" i="2"/>
  <c r="F8" i="2"/>
  <c r="G8" i="2"/>
  <c r="H8" i="2"/>
  <c r="I8" i="2"/>
  <c r="J8" i="2"/>
  <c r="K8" i="2"/>
  <c r="L8" i="2"/>
  <c r="M8" i="2"/>
  <c r="N8" i="2"/>
  <c r="O8" i="2"/>
  <c r="P8" i="2"/>
  <c r="Q8" i="2"/>
  <c r="R8" i="2"/>
  <c r="V8" i="2"/>
  <c r="W8" i="2"/>
  <c r="X8" i="2"/>
  <c r="AC8" i="2"/>
  <c r="AD8" i="2"/>
  <c r="AE8" i="2"/>
  <c r="AF8" i="2"/>
  <c r="AG8" i="2"/>
  <c r="AH8" i="2"/>
  <c r="A9" i="2"/>
  <c r="B9" i="2"/>
  <c r="C9" i="2"/>
  <c r="D9" i="2"/>
  <c r="E9" i="2"/>
  <c r="F9" i="2"/>
  <c r="G9" i="2"/>
  <c r="H9" i="2"/>
  <c r="I9" i="2"/>
  <c r="J9" i="2"/>
  <c r="K9" i="2"/>
  <c r="L9" i="2"/>
  <c r="M9" i="2"/>
  <c r="N9" i="2"/>
  <c r="O9" i="2"/>
  <c r="P9" i="2"/>
  <c r="Q9" i="2"/>
  <c r="R9" i="2"/>
  <c r="V9" i="2"/>
  <c r="W9" i="2"/>
  <c r="X9" i="2"/>
  <c r="AC9" i="2"/>
  <c r="AD9" i="2"/>
  <c r="AE9" i="2"/>
  <c r="AF9" i="2"/>
  <c r="AG9" i="2"/>
  <c r="AH9" i="2"/>
  <c r="A10" i="2"/>
  <c r="B10" i="2"/>
  <c r="C10" i="2"/>
  <c r="D10" i="2"/>
  <c r="E10" i="2"/>
  <c r="F10" i="2"/>
  <c r="G10" i="2"/>
  <c r="H10" i="2"/>
  <c r="I10" i="2"/>
  <c r="J10" i="2"/>
  <c r="K10" i="2"/>
  <c r="L10" i="2"/>
  <c r="M10" i="2"/>
  <c r="N10" i="2"/>
  <c r="O10" i="2"/>
  <c r="P10" i="2"/>
  <c r="Q10" i="2"/>
  <c r="R10" i="2"/>
  <c r="V10" i="2"/>
  <c r="W10" i="2"/>
  <c r="X10" i="2"/>
  <c r="AC10" i="2"/>
  <c r="AD10" i="2"/>
  <c r="AE10" i="2"/>
  <c r="AF10" i="2"/>
  <c r="AG10" i="2"/>
  <c r="AH10" i="2"/>
  <c r="A11" i="2"/>
  <c r="B11" i="2"/>
  <c r="C11" i="2"/>
  <c r="D11" i="2"/>
  <c r="E11" i="2"/>
  <c r="F11" i="2"/>
  <c r="G11" i="2"/>
  <c r="H11" i="2"/>
  <c r="I11" i="2"/>
  <c r="J11" i="2"/>
  <c r="K11" i="2"/>
  <c r="L11" i="2"/>
  <c r="M11" i="2"/>
  <c r="N11" i="2"/>
  <c r="O11" i="2"/>
  <c r="P11" i="2"/>
  <c r="Q11" i="2"/>
  <c r="R11" i="2"/>
  <c r="V11" i="2"/>
  <c r="W11" i="2"/>
  <c r="X11" i="2"/>
  <c r="AC11" i="2"/>
  <c r="AD11" i="2"/>
  <c r="AE11" i="2"/>
  <c r="AF11" i="2"/>
  <c r="AG11" i="2"/>
  <c r="AH11" i="2"/>
  <c r="A12" i="2"/>
  <c r="B12" i="2"/>
  <c r="C12" i="2"/>
  <c r="D12" i="2"/>
  <c r="E12" i="2"/>
  <c r="F12" i="2"/>
  <c r="G12" i="2"/>
  <c r="H12" i="2"/>
  <c r="I12" i="2"/>
  <c r="J12" i="2"/>
  <c r="K12" i="2"/>
  <c r="L12" i="2"/>
  <c r="M12" i="2"/>
  <c r="N12" i="2"/>
  <c r="O12" i="2"/>
  <c r="P12" i="2"/>
  <c r="Q12" i="2"/>
  <c r="R12" i="2"/>
  <c r="V12" i="2"/>
  <c r="W12" i="2"/>
  <c r="X12" i="2"/>
  <c r="AC12" i="2"/>
  <c r="AD12" i="2"/>
  <c r="AE12" i="2"/>
  <c r="AF12" i="2"/>
  <c r="AG12" i="2"/>
  <c r="AH12" i="2"/>
  <c r="A13" i="2"/>
  <c r="B13" i="2"/>
  <c r="C13" i="2"/>
  <c r="D13" i="2"/>
  <c r="E13" i="2"/>
  <c r="F13" i="2"/>
  <c r="G13" i="2"/>
  <c r="H13" i="2"/>
  <c r="I13" i="2"/>
  <c r="J13" i="2"/>
  <c r="K13" i="2"/>
  <c r="L13" i="2"/>
  <c r="M13" i="2"/>
  <c r="N13" i="2"/>
  <c r="O13" i="2"/>
  <c r="P13" i="2"/>
  <c r="Q13" i="2"/>
  <c r="R13" i="2"/>
  <c r="V13" i="2"/>
  <c r="W13" i="2"/>
  <c r="X13" i="2"/>
  <c r="AC13" i="2"/>
  <c r="AD13" i="2"/>
  <c r="AE13" i="2"/>
  <c r="AF13" i="2"/>
  <c r="AG13" i="2"/>
  <c r="AH13" i="2"/>
  <c r="A14" i="2"/>
  <c r="B14" i="2"/>
  <c r="C14" i="2"/>
  <c r="D14" i="2"/>
  <c r="E14" i="2"/>
  <c r="F14" i="2"/>
  <c r="G14" i="2"/>
  <c r="H14" i="2"/>
  <c r="I14" i="2"/>
  <c r="J14" i="2"/>
  <c r="K14" i="2"/>
  <c r="L14" i="2"/>
  <c r="M14" i="2"/>
  <c r="N14" i="2"/>
  <c r="O14" i="2"/>
  <c r="P14" i="2"/>
  <c r="Q14" i="2"/>
  <c r="R14" i="2"/>
  <c r="V14" i="2"/>
  <c r="W14" i="2"/>
  <c r="X14" i="2"/>
  <c r="AC14" i="2"/>
  <c r="AD14" i="2"/>
  <c r="AE14" i="2"/>
  <c r="AF14" i="2"/>
  <c r="AG14" i="2"/>
  <c r="AH14" i="2"/>
  <c r="A15" i="2"/>
  <c r="B15" i="2"/>
  <c r="C15" i="2"/>
  <c r="D15" i="2"/>
  <c r="E15" i="2"/>
  <c r="F15" i="2"/>
  <c r="G15" i="2"/>
  <c r="H15" i="2"/>
  <c r="I15" i="2"/>
  <c r="J15" i="2"/>
  <c r="K15" i="2"/>
  <c r="L15" i="2"/>
  <c r="M15" i="2"/>
  <c r="N15" i="2"/>
  <c r="O15" i="2"/>
  <c r="P15" i="2"/>
  <c r="Q15" i="2"/>
  <c r="R15" i="2"/>
  <c r="V15" i="2"/>
  <c r="W15" i="2"/>
  <c r="X15" i="2"/>
  <c r="AC15" i="2"/>
  <c r="AD15" i="2"/>
  <c r="AE15" i="2"/>
  <c r="AF15" i="2"/>
  <c r="AG15" i="2"/>
  <c r="AH15" i="2"/>
  <c r="A16" i="2"/>
  <c r="B16" i="2"/>
  <c r="C16" i="2"/>
  <c r="D16" i="2"/>
  <c r="E16" i="2"/>
  <c r="F16" i="2"/>
  <c r="G16" i="2"/>
  <c r="H16" i="2"/>
  <c r="I16" i="2"/>
  <c r="J16" i="2"/>
  <c r="K16" i="2"/>
  <c r="L16" i="2"/>
  <c r="M16" i="2"/>
  <c r="N16" i="2"/>
  <c r="O16" i="2"/>
  <c r="P16" i="2"/>
  <c r="Q16" i="2"/>
  <c r="R16" i="2"/>
  <c r="V16" i="2"/>
  <c r="W16" i="2"/>
  <c r="X16" i="2"/>
  <c r="AC16" i="2"/>
  <c r="AD16" i="2"/>
  <c r="AE16" i="2"/>
  <c r="AF16" i="2"/>
  <c r="AG16" i="2"/>
  <c r="AH16" i="2"/>
  <c r="A17" i="2"/>
  <c r="B17" i="2"/>
  <c r="C17" i="2"/>
  <c r="D17" i="2"/>
  <c r="E17" i="2"/>
  <c r="F17" i="2"/>
  <c r="G17" i="2"/>
  <c r="H17" i="2"/>
  <c r="I17" i="2"/>
  <c r="J17" i="2"/>
  <c r="K17" i="2"/>
  <c r="L17" i="2"/>
  <c r="M17" i="2"/>
  <c r="N17" i="2"/>
  <c r="O17" i="2"/>
  <c r="P17" i="2"/>
  <c r="Q17" i="2"/>
  <c r="R17" i="2"/>
  <c r="V17" i="2"/>
  <c r="W17" i="2"/>
  <c r="X17" i="2"/>
  <c r="AC17" i="2"/>
  <c r="AD17" i="2"/>
  <c r="AE17" i="2"/>
  <c r="AF17" i="2"/>
  <c r="AG17" i="2"/>
  <c r="AH17" i="2"/>
  <c r="A18" i="2"/>
  <c r="B18" i="2"/>
  <c r="C18" i="2"/>
  <c r="D18" i="2"/>
  <c r="E18" i="2"/>
  <c r="F18" i="2"/>
  <c r="G18" i="2"/>
  <c r="H18" i="2"/>
  <c r="I18" i="2"/>
  <c r="J18" i="2"/>
  <c r="K18" i="2"/>
  <c r="L18" i="2"/>
  <c r="M18" i="2"/>
  <c r="N18" i="2"/>
  <c r="O18" i="2"/>
  <c r="P18" i="2"/>
  <c r="Q18" i="2"/>
  <c r="R18" i="2"/>
  <c r="V18" i="2"/>
  <c r="W18" i="2"/>
  <c r="X18" i="2"/>
  <c r="AC18" i="2"/>
  <c r="AD18" i="2"/>
  <c r="AE18" i="2"/>
  <c r="AF18" i="2"/>
  <c r="AG18" i="2"/>
  <c r="AH18" i="2"/>
  <c r="A19" i="2"/>
  <c r="B19" i="2"/>
  <c r="C19" i="2"/>
  <c r="D19" i="2"/>
  <c r="E19" i="2"/>
  <c r="F19" i="2"/>
  <c r="G19" i="2"/>
  <c r="H19" i="2"/>
  <c r="I19" i="2"/>
  <c r="J19" i="2"/>
  <c r="K19" i="2"/>
  <c r="L19" i="2"/>
  <c r="M19" i="2"/>
  <c r="N19" i="2"/>
  <c r="O19" i="2"/>
  <c r="P19" i="2"/>
  <c r="Q19" i="2"/>
  <c r="R19" i="2"/>
  <c r="U19" i="2"/>
  <c r="V19" i="2"/>
  <c r="W19" i="2"/>
  <c r="X19" i="2"/>
  <c r="AC19" i="2"/>
  <c r="AD19" i="2"/>
  <c r="AE19" i="2"/>
  <c r="AF19" i="2"/>
  <c r="AG19" i="2"/>
  <c r="AH19" i="2"/>
  <c r="A20" i="2"/>
  <c r="B20" i="2"/>
  <c r="C20" i="2"/>
  <c r="D20" i="2"/>
  <c r="E20" i="2"/>
  <c r="F20" i="2"/>
  <c r="G20" i="2"/>
  <c r="H20" i="2"/>
  <c r="I20" i="2"/>
  <c r="J20" i="2"/>
  <c r="K20" i="2"/>
  <c r="L20" i="2"/>
  <c r="M20" i="2"/>
  <c r="N20" i="2"/>
  <c r="O20" i="2"/>
  <c r="P20" i="2"/>
  <c r="Q20" i="2"/>
  <c r="R20" i="2"/>
  <c r="V20" i="2"/>
  <c r="W20" i="2"/>
  <c r="X20" i="2"/>
  <c r="AC20" i="2"/>
  <c r="AD20" i="2"/>
  <c r="AE20" i="2"/>
  <c r="AF20" i="2"/>
  <c r="AG20" i="2"/>
  <c r="AH20" i="2"/>
  <c r="A21" i="2"/>
  <c r="B21" i="2"/>
  <c r="C21" i="2"/>
  <c r="D21" i="2"/>
  <c r="E21" i="2"/>
  <c r="F21" i="2"/>
  <c r="G21" i="2"/>
  <c r="H21" i="2"/>
  <c r="I21" i="2"/>
  <c r="J21" i="2"/>
  <c r="K21" i="2"/>
  <c r="L21" i="2"/>
  <c r="M21" i="2"/>
  <c r="N21" i="2"/>
  <c r="O21" i="2"/>
  <c r="P21" i="2"/>
  <c r="Q21" i="2"/>
  <c r="R21" i="2"/>
  <c r="V21" i="2"/>
  <c r="W21" i="2"/>
  <c r="X21" i="2"/>
  <c r="AC21" i="2"/>
  <c r="AD21" i="2"/>
  <c r="AE21" i="2"/>
  <c r="AF21" i="2"/>
  <c r="AG21" i="2"/>
  <c r="AH21" i="2"/>
  <c r="A22" i="2"/>
  <c r="B22" i="2"/>
  <c r="C22" i="2"/>
  <c r="D22" i="2"/>
  <c r="E22" i="2"/>
  <c r="F22" i="2"/>
  <c r="G22" i="2"/>
  <c r="H22" i="2"/>
  <c r="I22" i="2"/>
  <c r="J22" i="2"/>
  <c r="K22" i="2"/>
  <c r="L22" i="2"/>
  <c r="M22" i="2"/>
  <c r="N22" i="2"/>
  <c r="O22" i="2"/>
  <c r="P22" i="2"/>
  <c r="Q22" i="2"/>
  <c r="R22" i="2"/>
  <c r="V22" i="2"/>
  <c r="W22" i="2"/>
  <c r="X22" i="2"/>
  <c r="AC22" i="2"/>
  <c r="AD22" i="2"/>
  <c r="AE22" i="2"/>
  <c r="AF22" i="2"/>
  <c r="AG22" i="2"/>
  <c r="AH22" i="2"/>
  <c r="A23" i="2"/>
  <c r="B23" i="2"/>
  <c r="C23" i="2"/>
  <c r="D23" i="2"/>
  <c r="E23" i="2"/>
  <c r="F23" i="2"/>
  <c r="G23" i="2"/>
  <c r="H23" i="2"/>
  <c r="I23" i="2"/>
  <c r="J23" i="2"/>
  <c r="K23" i="2"/>
  <c r="L23" i="2"/>
  <c r="M23" i="2"/>
  <c r="N23" i="2"/>
  <c r="O23" i="2"/>
  <c r="P23" i="2"/>
  <c r="Q23" i="2"/>
  <c r="R23" i="2"/>
  <c r="V23" i="2"/>
  <c r="W23" i="2"/>
  <c r="X23" i="2"/>
  <c r="AC23" i="2"/>
  <c r="AD23" i="2"/>
  <c r="AE23" i="2"/>
  <c r="AF23" i="2"/>
  <c r="AG23" i="2"/>
  <c r="AH23" i="2"/>
  <c r="A24" i="2"/>
  <c r="B24" i="2"/>
  <c r="C24" i="2"/>
  <c r="D24" i="2"/>
  <c r="E24" i="2"/>
  <c r="F24" i="2"/>
  <c r="G24" i="2"/>
  <c r="H24" i="2"/>
  <c r="I24" i="2"/>
  <c r="J24" i="2"/>
  <c r="K24" i="2"/>
  <c r="L24" i="2"/>
  <c r="M24" i="2"/>
  <c r="N24" i="2"/>
  <c r="O24" i="2"/>
  <c r="P24" i="2"/>
  <c r="Q24" i="2"/>
  <c r="R24" i="2"/>
  <c r="V24" i="2"/>
  <c r="W24" i="2"/>
  <c r="X24" i="2"/>
  <c r="AC24" i="2"/>
  <c r="AD24" i="2"/>
  <c r="AE24" i="2"/>
  <c r="AF24" i="2"/>
  <c r="AG24" i="2"/>
  <c r="AH24" i="2"/>
  <c r="A25" i="2"/>
  <c r="B25" i="2"/>
  <c r="C25" i="2"/>
  <c r="D25" i="2"/>
  <c r="E25" i="2"/>
  <c r="F25" i="2"/>
  <c r="G25" i="2"/>
  <c r="H25" i="2"/>
  <c r="I25" i="2"/>
  <c r="J25" i="2"/>
  <c r="K25" i="2"/>
  <c r="L25" i="2"/>
  <c r="M25" i="2"/>
  <c r="N25" i="2"/>
  <c r="O25" i="2"/>
  <c r="P25" i="2"/>
  <c r="Q25" i="2"/>
  <c r="R25" i="2"/>
  <c r="V25" i="2"/>
  <c r="W25" i="2"/>
  <c r="X25" i="2"/>
  <c r="AC25" i="2"/>
  <c r="AD25" i="2"/>
  <c r="AE25" i="2"/>
  <c r="AF25" i="2"/>
  <c r="AG25" i="2"/>
  <c r="AH25" i="2"/>
  <c r="A26" i="2"/>
  <c r="B26" i="2"/>
  <c r="C26" i="2"/>
  <c r="D26" i="2"/>
  <c r="E26" i="2"/>
  <c r="F26" i="2"/>
  <c r="G26" i="2"/>
  <c r="H26" i="2"/>
  <c r="I26" i="2"/>
  <c r="J26" i="2"/>
  <c r="K26" i="2"/>
  <c r="L26" i="2"/>
  <c r="M26" i="2"/>
  <c r="N26" i="2"/>
  <c r="O26" i="2"/>
  <c r="P26" i="2"/>
  <c r="Q26" i="2"/>
  <c r="R26" i="2"/>
  <c r="V26" i="2"/>
  <c r="W26" i="2"/>
  <c r="X26" i="2"/>
  <c r="AC26" i="2"/>
  <c r="AD26" i="2"/>
  <c r="AE26" i="2"/>
  <c r="AF26" i="2"/>
  <c r="AG26" i="2"/>
  <c r="AH26" i="2"/>
  <c r="A27" i="2"/>
  <c r="B27" i="2"/>
  <c r="C27" i="2"/>
  <c r="D27" i="2"/>
  <c r="E27" i="2"/>
  <c r="F27" i="2"/>
  <c r="G27" i="2"/>
  <c r="H27" i="2"/>
  <c r="I27" i="2"/>
  <c r="J27" i="2"/>
  <c r="K27" i="2"/>
  <c r="L27" i="2"/>
  <c r="M27" i="2"/>
  <c r="N27" i="2"/>
  <c r="O27" i="2"/>
  <c r="P27" i="2"/>
  <c r="Q27" i="2"/>
  <c r="R27" i="2"/>
  <c r="V27" i="2"/>
  <c r="W27" i="2"/>
  <c r="X27" i="2"/>
  <c r="AC27" i="2"/>
  <c r="AD27" i="2"/>
  <c r="AE27" i="2"/>
  <c r="AF27" i="2"/>
  <c r="AG27" i="2"/>
  <c r="AH27" i="2"/>
  <c r="A28" i="2"/>
  <c r="B28" i="2"/>
  <c r="C28" i="2"/>
  <c r="D28" i="2"/>
  <c r="E28" i="2"/>
  <c r="F28" i="2"/>
  <c r="G28" i="2"/>
  <c r="H28" i="2"/>
  <c r="I28" i="2"/>
  <c r="J28" i="2"/>
  <c r="K28" i="2"/>
  <c r="L28" i="2"/>
  <c r="M28" i="2"/>
  <c r="N28" i="2"/>
  <c r="O28" i="2"/>
  <c r="P28" i="2"/>
  <c r="Q28" i="2"/>
  <c r="R28" i="2"/>
  <c r="V28" i="2"/>
  <c r="W28" i="2"/>
  <c r="X28" i="2"/>
  <c r="AC28" i="2"/>
  <c r="AD28" i="2"/>
  <c r="AE28" i="2"/>
  <c r="AF28" i="2"/>
  <c r="AG28" i="2"/>
  <c r="AH28" i="2"/>
  <c r="A29" i="2"/>
  <c r="B29" i="2"/>
  <c r="C29" i="2"/>
  <c r="D29" i="2"/>
  <c r="E29" i="2"/>
  <c r="F29" i="2"/>
  <c r="G29" i="2"/>
  <c r="H29" i="2"/>
  <c r="I29" i="2"/>
  <c r="J29" i="2"/>
  <c r="K29" i="2"/>
  <c r="L29" i="2"/>
  <c r="M29" i="2"/>
  <c r="N29" i="2"/>
  <c r="O29" i="2"/>
  <c r="P29" i="2"/>
  <c r="Q29" i="2"/>
  <c r="R29" i="2"/>
  <c r="V29" i="2"/>
  <c r="W29" i="2"/>
  <c r="X29" i="2"/>
  <c r="AC29" i="2"/>
  <c r="AD29" i="2"/>
  <c r="AE29" i="2"/>
  <c r="AF29" i="2"/>
  <c r="AG29" i="2"/>
  <c r="AH29" i="2"/>
  <c r="A30" i="2"/>
  <c r="B30" i="2"/>
  <c r="C30" i="2"/>
  <c r="D30" i="2"/>
  <c r="E30" i="2"/>
  <c r="F30" i="2"/>
  <c r="G30" i="2"/>
  <c r="H30" i="2"/>
  <c r="I30" i="2"/>
  <c r="J30" i="2"/>
  <c r="K30" i="2"/>
  <c r="L30" i="2"/>
  <c r="M30" i="2"/>
  <c r="N30" i="2"/>
  <c r="O30" i="2"/>
  <c r="P30" i="2"/>
  <c r="Q30" i="2"/>
  <c r="R30" i="2"/>
  <c r="V30" i="2"/>
  <c r="W30" i="2"/>
  <c r="X30" i="2"/>
  <c r="AC30" i="2"/>
  <c r="AD30" i="2"/>
  <c r="AE30" i="2"/>
  <c r="AF30" i="2"/>
  <c r="AG30" i="2"/>
  <c r="AH30" i="2"/>
  <c r="A31" i="2"/>
  <c r="B31" i="2"/>
  <c r="C31" i="2"/>
  <c r="D31" i="2"/>
  <c r="E31" i="2"/>
  <c r="F31" i="2"/>
  <c r="G31" i="2"/>
  <c r="H31" i="2"/>
  <c r="I31" i="2"/>
  <c r="J31" i="2"/>
  <c r="K31" i="2"/>
  <c r="L31" i="2"/>
  <c r="M31" i="2"/>
  <c r="N31" i="2"/>
  <c r="O31" i="2"/>
  <c r="P31" i="2"/>
  <c r="Q31" i="2"/>
  <c r="R31" i="2"/>
  <c r="V31" i="2"/>
  <c r="W31" i="2"/>
  <c r="X31" i="2"/>
  <c r="AC31" i="2"/>
  <c r="AD31" i="2"/>
  <c r="AE31" i="2"/>
  <c r="AF31" i="2"/>
  <c r="AG31" i="2"/>
  <c r="AH31" i="2"/>
  <c r="A32" i="2"/>
  <c r="B32" i="2"/>
  <c r="C32" i="2"/>
  <c r="D32" i="2"/>
  <c r="E32" i="2"/>
  <c r="F32" i="2"/>
  <c r="G32" i="2"/>
  <c r="H32" i="2"/>
  <c r="I32" i="2"/>
  <c r="J32" i="2"/>
  <c r="K32" i="2"/>
  <c r="L32" i="2"/>
  <c r="M32" i="2"/>
  <c r="N32" i="2"/>
  <c r="O32" i="2"/>
  <c r="P32" i="2"/>
  <c r="Q32" i="2"/>
  <c r="R32" i="2"/>
  <c r="V32" i="2"/>
  <c r="W32" i="2"/>
  <c r="X32" i="2"/>
  <c r="AC32" i="2"/>
  <c r="AD32" i="2"/>
  <c r="AE32" i="2"/>
  <c r="AF32" i="2"/>
  <c r="AG32" i="2"/>
  <c r="AH32" i="2"/>
  <c r="A33" i="2"/>
  <c r="B33" i="2"/>
  <c r="C33" i="2"/>
  <c r="D33" i="2"/>
  <c r="E33" i="2"/>
  <c r="F33" i="2"/>
  <c r="G33" i="2"/>
  <c r="H33" i="2"/>
  <c r="I33" i="2"/>
  <c r="J33" i="2"/>
  <c r="K33" i="2"/>
  <c r="L33" i="2"/>
  <c r="M33" i="2"/>
  <c r="N33" i="2"/>
  <c r="O33" i="2"/>
  <c r="P33" i="2"/>
  <c r="Q33" i="2"/>
  <c r="R33" i="2"/>
  <c r="V33" i="2"/>
  <c r="W33" i="2"/>
  <c r="X33" i="2"/>
  <c r="AC33" i="2"/>
  <c r="AD33" i="2"/>
  <c r="AE33" i="2"/>
  <c r="AF33" i="2"/>
  <c r="AG33" i="2"/>
  <c r="AH33" i="2"/>
  <c r="A34" i="2"/>
  <c r="B34" i="2"/>
  <c r="C34" i="2"/>
  <c r="D34" i="2"/>
  <c r="E34" i="2"/>
  <c r="F34" i="2"/>
  <c r="G34" i="2"/>
  <c r="H34" i="2"/>
  <c r="I34" i="2"/>
  <c r="J34" i="2"/>
  <c r="K34" i="2"/>
  <c r="L34" i="2"/>
  <c r="M34" i="2"/>
  <c r="N34" i="2"/>
  <c r="O34" i="2"/>
  <c r="P34" i="2"/>
  <c r="Q34" i="2"/>
  <c r="R34" i="2"/>
  <c r="V34" i="2"/>
  <c r="W34" i="2"/>
  <c r="X34" i="2"/>
  <c r="AC34" i="2"/>
  <c r="AD34" i="2"/>
  <c r="AE34" i="2"/>
  <c r="AF34" i="2"/>
  <c r="AG34" i="2"/>
  <c r="AH34" i="2"/>
  <c r="A35" i="2"/>
  <c r="B35" i="2"/>
  <c r="C35" i="2"/>
  <c r="D35" i="2"/>
  <c r="E35" i="2"/>
  <c r="F35" i="2"/>
  <c r="G35" i="2"/>
  <c r="H35" i="2"/>
  <c r="I35" i="2"/>
  <c r="J35" i="2"/>
  <c r="K35" i="2"/>
  <c r="L35" i="2"/>
  <c r="M35" i="2"/>
  <c r="N35" i="2"/>
  <c r="O35" i="2"/>
  <c r="P35" i="2"/>
  <c r="Q35" i="2"/>
  <c r="R35" i="2"/>
  <c r="V35" i="2"/>
  <c r="W35" i="2"/>
  <c r="X35" i="2"/>
  <c r="AC35" i="2"/>
  <c r="AD35" i="2"/>
  <c r="AE35" i="2"/>
  <c r="AF35" i="2"/>
  <c r="AG35" i="2"/>
  <c r="AH35" i="2"/>
  <c r="A36" i="2"/>
  <c r="B36" i="2"/>
  <c r="C36" i="2"/>
  <c r="D36" i="2"/>
  <c r="E36" i="2"/>
  <c r="F36" i="2"/>
  <c r="G36" i="2"/>
  <c r="H36" i="2"/>
  <c r="I36" i="2"/>
  <c r="J36" i="2"/>
  <c r="K36" i="2"/>
  <c r="L36" i="2"/>
  <c r="M36" i="2"/>
  <c r="N36" i="2"/>
  <c r="O36" i="2"/>
  <c r="P36" i="2"/>
  <c r="Q36" i="2"/>
  <c r="R36" i="2"/>
  <c r="V36" i="2"/>
  <c r="W36" i="2"/>
  <c r="X36" i="2"/>
  <c r="AC36" i="2"/>
  <c r="AD36" i="2"/>
  <c r="AE36" i="2"/>
  <c r="AF36" i="2"/>
  <c r="AG36" i="2"/>
  <c r="AH36" i="2"/>
  <c r="A37" i="2"/>
  <c r="B37" i="2"/>
  <c r="C37" i="2"/>
  <c r="D37" i="2"/>
  <c r="E37" i="2"/>
  <c r="F37" i="2"/>
  <c r="G37" i="2"/>
  <c r="H37" i="2"/>
  <c r="I37" i="2"/>
  <c r="J37" i="2"/>
  <c r="K37" i="2"/>
  <c r="L37" i="2"/>
  <c r="M37" i="2"/>
  <c r="N37" i="2"/>
  <c r="O37" i="2"/>
  <c r="P37" i="2"/>
  <c r="Q37" i="2"/>
  <c r="R37" i="2"/>
  <c r="V37" i="2"/>
  <c r="W37" i="2"/>
  <c r="X37" i="2"/>
  <c r="AC37" i="2"/>
  <c r="AD37" i="2"/>
  <c r="AE37" i="2"/>
  <c r="AF37" i="2"/>
  <c r="AG37" i="2"/>
  <c r="AH37" i="2"/>
  <c r="A38" i="2"/>
  <c r="B38" i="2"/>
  <c r="C38" i="2"/>
  <c r="D38" i="2"/>
  <c r="E38" i="2"/>
  <c r="F38" i="2"/>
  <c r="G38" i="2"/>
  <c r="H38" i="2"/>
  <c r="I38" i="2"/>
  <c r="J38" i="2"/>
  <c r="K38" i="2"/>
  <c r="L38" i="2"/>
  <c r="M38" i="2"/>
  <c r="N38" i="2"/>
  <c r="O38" i="2"/>
  <c r="P38" i="2"/>
  <c r="Q38" i="2"/>
  <c r="R38" i="2"/>
  <c r="V38" i="2"/>
  <c r="W38" i="2"/>
  <c r="X38" i="2"/>
  <c r="AC38" i="2"/>
  <c r="AD38" i="2"/>
  <c r="AE38" i="2"/>
  <c r="AF38" i="2"/>
  <c r="AG38" i="2"/>
  <c r="AH38" i="2"/>
  <c r="A39" i="2"/>
  <c r="B39" i="2"/>
  <c r="C39" i="2"/>
  <c r="D39" i="2"/>
  <c r="E39" i="2"/>
  <c r="F39" i="2"/>
  <c r="G39" i="2"/>
  <c r="H39" i="2"/>
  <c r="I39" i="2"/>
  <c r="J39" i="2"/>
  <c r="K39" i="2"/>
  <c r="L39" i="2"/>
  <c r="M39" i="2"/>
  <c r="N39" i="2"/>
  <c r="O39" i="2"/>
  <c r="P39" i="2"/>
  <c r="Q39" i="2"/>
  <c r="R39" i="2"/>
  <c r="V39" i="2"/>
  <c r="W39" i="2"/>
  <c r="X39" i="2"/>
  <c r="AC39" i="2"/>
  <c r="AD39" i="2"/>
  <c r="AE39" i="2"/>
  <c r="AF39" i="2"/>
  <c r="AG39" i="2"/>
  <c r="AH39" i="2"/>
  <c r="A40" i="2"/>
  <c r="B40" i="2"/>
  <c r="C40" i="2"/>
  <c r="D40" i="2"/>
  <c r="E40" i="2"/>
  <c r="F40" i="2"/>
  <c r="G40" i="2"/>
  <c r="H40" i="2"/>
  <c r="I40" i="2"/>
  <c r="J40" i="2"/>
  <c r="K40" i="2"/>
  <c r="L40" i="2"/>
  <c r="M40" i="2"/>
  <c r="N40" i="2"/>
  <c r="O40" i="2"/>
  <c r="P40" i="2"/>
  <c r="Q40" i="2"/>
  <c r="R40" i="2"/>
  <c r="V40" i="2"/>
  <c r="W40" i="2"/>
  <c r="X40" i="2"/>
  <c r="AC40" i="2"/>
  <c r="AD40" i="2"/>
  <c r="AE40" i="2"/>
  <c r="AF40" i="2"/>
  <c r="AG40" i="2"/>
  <c r="AH40" i="2"/>
  <c r="A41" i="2"/>
  <c r="B41" i="2"/>
  <c r="C41" i="2"/>
  <c r="D41" i="2"/>
  <c r="E41" i="2"/>
  <c r="F41" i="2"/>
  <c r="G41" i="2"/>
  <c r="H41" i="2"/>
  <c r="I41" i="2"/>
  <c r="J41" i="2"/>
  <c r="K41" i="2"/>
  <c r="L41" i="2"/>
  <c r="M41" i="2"/>
  <c r="N41" i="2"/>
  <c r="O41" i="2"/>
  <c r="P41" i="2"/>
  <c r="Q41" i="2"/>
  <c r="R41" i="2"/>
  <c r="V41" i="2"/>
  <c r="W41" i="2"/>
  <c r="X41" i="2"/>
  <c r="AC41" i="2"/>
  <c r="AD41" i="2"/>
  <c r="AE41" i="2"/>
  <c r="AF41" i="2"/>
  <c r="AG41" i="2"/>
  <c r="AH41" i="2"/>
  <c r="A42" i="2"/>
  <c r="B42" i="2"/>
  <c r="C42" i="2"/>
  <c r="D42" i="2"/>
  <c r="E42" i="2"/>
  <c r="F42" i="2"/>
  <c r="G42" i="2"/>
  <c r="H42" i="2"/>
  <c r="I42" i="2"/>
  <c r="J42" i="2"/>
  <c r="K42" i="2"/>
  <c r="L42" i="2"/>
  <c r="M42" i="2"/>
  <c r="N42" i="2"/>
  <c r="O42" i="2"/>
  <c r="P42" i="2"/>
  <c r="Q42" i="2"/>
  <c r="R42" i="2"/>
  <c r="V42" i="2"/>
  <c r="W42" i="2"/>
  <c r="X42" i="2"/>
  <c r="AC42" i="2"/>
  <c r="AD42" i="2"/>
  <c r="AE42" i="2"/>
  <c r="AF42" i="2"/>
  <c r="AG42" i="2"/>
  <c r="AH42" i="2"/>
  <c r="A43" i="2"/>
  <c r="B43" i="2"/>
  <c r="C43" i="2"/>
  <c r="D43" i="2"/>
  <c r="E43" i="2"/>
  <c r="F43" i="2"/>
  <c r="G43" i="2"/>
  <c r="H43" i="2"/>
  <c r="I43" i="2"/>
  <c r="J43" i="2"/>
  <c r="K43" i="2"/>
  <c r="L43" i="2"/>
  <c r="M43" i="2"/>
  <c r="N43" i="2"/>
  <c r="O43" i="2"/>
  <c r="P43" i="2"/>
  <c r="Q43" i="2"/>
  <c r="R43" i="2"/>
  <c r="V43" i="2"/>
  <c r="W43" i="2"/>
  <c r="X43" i="2"/>
  <c r="AC43" i="2"/>
  <c r="AD43" i="2"/>
  <c r="AE43" i="2"/>
  <c r="AF43" i="2"/>
  <c r="AG43" i="2"/>
  <c r="AH43" i="2"/>
  <c r="A44" i="2"/>
  <c r="B44" i="2"/>
  <c r="C44" i="2"/>
  <c r="D44" i="2"/>
  <c r="E44" i="2"/>
  <c r="F44" i="2"/>
  <c r="G44" i="2"/>
  <c r="H44" i="2"/>
  <c r="I44" i="2"/>
  <c r="J44" i="2"/>
  <c r="K44" i="2"/>
  <c r="L44" i="2"/>
  <c r="M44" i="2"/>
  <c r="N44" i="2"/>
  <c r="O44" i="2"/>
  <c r="P44" i="2"/>
  <c r="Q44" i="2"/>
  <c r="R44" i="2"/>
  <c r="V44" i="2"/>
  <c r="W44" i="2"/>
  <c r="X44" i="2"/>
  <c r="AC44" i="2"/>
  <c r="AD44" i="2"/>
  <c r="AE44" i="2"/>
  <c r="AF44" i="2"/>
  <c r="AG44" i="2"/>
  <c r="AH44" i="2"/>
  <c r="A45" i="2"/>
  <c r="B45" i="2"/>
  <c r="C45" i="2"/>
  <c r="D45" i="2"/>
  <c r="E45" i="2"/>
  <c r="F45" i="2"/>
  <c r="G45" i="2"/>
  <c r="H45" i="2"/>
  <c r="I45" i="2"/>
  <c r="J45" i="2"/>
  <c r="K45" i="2"/>
  <c r="L45" i="2"/>
  <c r="M45" i="2"/>
  <c r="N45" i="2"/>
  <c r="O45" i="2"/>
  <c r="P45" i="2"/>
  <c r="Q45" i="2"/>
  <c r="R45" i="2"/>
  <c r="V45" i="2"/>
  <c r="W45" i="2"/>
  <c r="X45" i="2"/>
  <c r="AC45" i="2"/>
  <c r="AD45" i="2"/>
  <c r="AE45" i="2"/>
  <c r="AF45" i="2"/>
  <c r="AG45" i="2"/>
  <c r="AH45" i="2"/>
  <c r="A46" i="2"/>
  <c r="B46" i="2"/>
  <c r="C46" i="2"/>
  <c r="D46" i="2"/>
  <c r="E46" i="2"/>
  <c r="F46" i="2"/>
  <c r="G46" i="2"/>
  <c r="H46" i="2"/>
  <c r="I46" i="2"/>
  <c r="J46" i="2"/>
  <c r="K46" i="2"/>
  <c r="L46" i="2"/>
  <c r="M46" i="2"/>
  <c r="N46" i="2"/>
  <c r="O46" i="2"/>
  <c r="P46" i="2"/>
  <c r="Q46" i="2"/>
  <c r="R46" i="2"/>
  <c r="V46" i="2"/>
  <c r="W46" i="2"/>
  <c r="X46" i="2"/>
  <c r="AC46" i="2"/>
  <c r="AD46" i="2"/>
  <c r="AE46" i="2"/>
  <c r="AF46" i="2"/>
  <c r="AG46" i="2"/>
  <c r="AH46" i="2"/>
  <c r="A47" i="2"/>
  <c r="B47" i="2"/>
  <c r="C47" i="2"/>
  <c r="D47" i="2"/>
  <c r="E47" i="2"/>
  <c r="F47" i="2"/>
  <c r="G47" i="2"/>
  <c r="H47" i="2"/>
  <c r="I47" i="2"/>
  <c r="J47" i="2"/>
  <c r="K47" i="2"/>
  <c r="L47" i="2"/>
  <c r="M47" i="2"/>
  <c r="N47" i="2"/>
  <c r="P47" i="2"/>
  <c r="Q47" i="2"/>
  <c r="R47" i="2"/>
  <c r="V47" i="2"/>
  <c r="W47" i="2"/>
  <c r="X47" i="2"/>
  <c r="AC47" i="2"/>
  <c r="AD47" i="2"/>
  <c r="AE47" i="2"/>
  <c r="AF47" i="2"/>
  <c r="AG47" i="2"/>
  <c r="AH47" i="2"/>
  <c r="A48" i="2"/>
  <c r="B48" i="2"/>
  <c r="C48" i="2"/>
  <c r="D48" i="2"/>
  <c r="E48" i="2"/>
  <c r="F48" i="2"/>
  <c r="G48" i="2"/>
  <c r="H48" i="2"/>
  <c r="I48" i="2"/>
  <c r="J48" i="2"/>
  <c r="K48" i="2"/>
  <c r="L48" i="2"/>
  <c r="M48" i="2"/>
  <c r="N48" i="2"/>
  <c r="O48" i="2"/>
  <c r="P48" i="2"/>
  <c r="Q48" i="2"/>
  <c r="R48" i="2"/>
  <c r="V48" i="2"/>
  <c r="W48" i="2"/>
  <c r="X48" i="2"/>
  <c r="AC48" i="2"/>
  <c r="AD48" i="2"/>
  <c r="AE48" i="2"/>
  <c r="AF48" i="2"/>
  <c r="AG48" i="2"/>
  <c r="AH48" i="2"/>
  <c r="A49" i="2"/>
  <c r="B49" i="2"/>
  <c r="C49" i="2"/>
  <c r="D49" i="2"/>
  <c r="E49" i="2"/>
  <c r="F49" i="2"/>
  <c r="G49" i="2"/>
  <c r="H49" i="2"/>
  <c r="I49" i="2"/>
  <c r="J49" i="2"/>
  <c r="K49" i="2"/>
  <c r="L49" i="2"/>
  <c r="M49" i="2"/>
  <c r="N49" i="2"/>
  <c r="O49" i="2"/>
  <c r="P49" i="2"/>
  <c r="Q49" i="2"/>
  <c r="R49" i="2"/>
  <c r="V49" i="2"/>
  <c r="W49" i="2"/>
  <c r="X49" i="2"/>
  <c r="AC49" i="2"/>
  <c r="AD49" i="2"/>
  <c r="AE49" i="2"/>
  <c r="AF49" i="2"/>
  <c r="AG49" i="2"/>
  <c r="AH49" i="2"/>
  <c r="A50" i="2"/>
  <c r="B50" i="2"/>
  <c r="C50" i="2"/>
  <c r="D50" i="2"/>
  <c r="E50" i="2"/>
  <c r="F50" i="2"/>
  <c r="G50" i="2"/>
  <c r="H50" i="2"/>
  <c r="I50" i="2"/>
  <c r="J50" i="2"/>
  <c r="K50" i="2"/>
  <c r="L50" i="2"/>
  <c r="M50" i="2"/>
  <c r="N50" i="2"/>
  <c r="O50" i="2"/>
  <c r="P50" i="2"/>
  <c r="Q50" i="2"/>
  <c r="R50" i="2"/>
  <c r="V50" i="2"/>
  <c r="W50" i="2"/>
  <c r="X50" i="2"/>
  <c r="AC50" i="2"/>
  <c r="AD50" i="2"/>
  <c r="AE50" i="2"/>
  <c r="AF50" i="2"/>
  <c r="AG50" i="2"/>
  <c r="AH50" i="2"/>
  <c r="A51" i="2"/>
  <c r="B51" i="2"/>
  <c r="C51" i="2"/>
  <c r="D51" i="2"/>
  <c r="E51" i="2"/>
  <c r="F51" i="2"/>
  <c r="G51" i="2"/>
  <c r="H51" i="2"/>
  <c r="I51" i="2"/>
  <c r="J51" i="2"/>
  <c r="K51" i="2"/>
  <c r="L51" i="2"/>
  <c r="M51" i="2"/>
  <c r="N51" i="2"/>
  <c r="O51" i="2"/>
  <c r="P51" i="2"/>
  <c r="Q51" i="2"/>
  <c r="R51" i="2"/>
  <c r="V51" i="2"/>
  <c r="W51" i="2"/>
  <c r="X51" i="2"/>
  <c r="AC51" i="2"/>
  <c r="AD51" i="2"/>
  <c r="AE51" i="2"/>
  <c r="AF51" i="2"/>
  <c r="AG51" i="2"/>
  <c r="AH51" i="2"/>
  <c r="A52" i="2"/>
  <c r="B52" i="2"/>
  <c r="C52" i="2"/>
  <c r="D52" i="2"/>
  <c r="E52" i="2"/>
  <c r="F52" i="2"/>
  <c r="G52" i="2"/>
  <c r="H52" i="2"/>
  <c r="I52" i="2"/>
  <c r="J52" i="2"/>
  <c r="K52" i="2"/>
  <c r="L52" i="2"/>
  <c r="M52" i="2"/>
  <c r="N52" i="2"/>
  <c r="O52" i="2"/>
  <c r="P52" i="2"/>
  <c r="Q52" i="2"/>
  <c r="R52" i="2"/>
  <c r="V52" i="2"/>
  <c r="W52" i="2"/>
  <c r="X52" i="2"/>
  <c r="AC52" i="2"/>
  <c r="AD52" i="2"/>
  <c r="AE52" i="2"/>
  <c r="AF52" i="2"/>
  <c r="AG52" i="2"/>
  <c r="AH52" i="2"/>
  <c r="A53" i="2"/>
  <c r="B53" i="2"/>
  <c r="C53" i="2"/>
  <c r="D53" i="2"/>
  <c r="E53" i="2"/>
  <c r="F53" i="2"/>
  <c r="G53" i="2"/>
  <c r="H53" i="2"/>
  <c r="I53" i="2"/>
  <c r="J53" i="2"/>
  <c r="K53" i="2"/>
  <c r="L53" i="2"/>
  <c r="M53" i="2"/>
  <c r="N53" i="2"/>
  <c r="O53" i="2"/>
  <c r="P53" i="2"/>
  <c r="Q53" i="2"/>
  <c r="R53" i="2"/>
  <c r="V53" i="2"/>
  <c r="W53" i="2"/>
  <c r="X53" i="2"/>
  <c r="AC53" i="2"/>
  <c r="AD53" i="2"/>
  <c r="AE53" i="2"/>
  <c r="AF53" i="2"/>
  <c r="AG53" i="2"/>
  <c r="AH53" i="2"/>
  <c r="A54" i="2"/>
  <c r="B54" i="2"/>
  <c r="C54" i="2"/>
  <c r="D54" i="2"/>
  <c r="E54" i="2"/>
  <c r="F54" i="2"/>
  <c r="G54" i="2"/>
  <c r="H54" i="2"/>
  <c r="I54" i="2"/>
  <c r="J54" i="2"/>
  <c r="K54" i="2"/>
  <c r="L54" i="2"/>
  <c r="M54" i="2"/>
  <c r="N54" i="2"/>
  <c r="O54" i="2"/>
  <c r="P54" i="2"/>
  <c r="Q54" i="2"/>
  <c r="R54" i="2"/>
  <c r="V54" i="2"/>
  <c r="W54" i="2"/>
  <c r="X54" i="2"/>
  <c r="AC54" i="2"/>
  <c r="AD54" i="2"/>
  <c r="AE54" i="2"/>
  <c r="AF54" i="2"/>
  <c r="AG54" i="2"/>
  <c r="AH54" i="2"/>
  <c r="A55" i="2"/>
  <c r="B55" i="2"/>
  <c r="C55" i="2"/>
  <c r="D55" i="2"/>
  <c r="E55" i="2"/>
  <c r="F55" i="2"/>
  <c r="G55" i="2"/>
  <c r="H55" i="2"/>
  <c r="I55" i="2"/>
  <c r="J55" i="2"/>
  <c r="K55" i="2"/>
  <c r="L55" i="2"/>
  <c r="M55" i="2"/>
  <c r="O55" i="2"/>
  <c r="P55" i="2"/>
  <c r="Q55" i="2"/>
  <c r="R55" i="2"/>
  <c r="V55" i="2"/>
  <c r="W55" i="2"/>
  <c r="X55" i="2"/>
  <c r="AC55" i="2"/>
  <c r="AD55" i="2"/>
  <c r="AE55" i="2"/>
  <c r="AF55" i="2"/>
  <c r="AG55" i="2"/>
  <c r="AH55" i="2"/>
  <c r="A56" i="2"/>
  <c r="B56" i="2"/>
  <c r="C56" i="2"/>
  <c r="D56" i="2"/>
  <c r="E56" i="2"/>
  <c r="F56" i="2"/>
  <c r="G56" i="2"/>
  <c r="H56" i="2"/>
  <c r="I56" i="2"/>
  <c r="J56" i="2"/>
  <c r="K56" i="2"/>
  <c r="L56" i="2"/>
  <c r="M56" i="2"/>
  <c r="O56" i="2"/>
  <c r="P56" i="2"/>
  <c r="Q56" i="2"/>
  <c r="R56" i="2"/>
  <c r="V56" i="2"/>
  <c r="W56" i="2"/>
  <c r="X56" i="2"/>
  <c r="AC56" i="2"/>
  <c r="AD56" i="2"/>
  <c r="AE56" i="2"/>
  <c r="AF56" i="2"/>
  <c r="AG56" i="2"/>
  <c r="AH56" i="2"/>
  <c r="A57" i="2"/>
  <c r="B57" i="2"/>
  <c r="C57" i="2"/>
  <c r="D57" i="2"/>
  <c r="E57" i="2"/>
  <c r="F57" i="2"/>
  <c r="G57" i="2"/>
  <c r="H57" i="2"/>
  <c r="I57" i="2"/>
  <c r="J57" i="2"/>
  <c r="K57" i="2"/>
  <c r="L57" i="2"/>
  <c r="M57" i="2"/>
  <c r="N57" i="2"/>
  <c r="O57" i="2"/>
  <c r="P57" i="2"/>
  <c r="Q57" i="2"/>
  <c r="R57" i="2"/>
  <c r="V57" i="2"/>
  <c r="W57" i="2"/>
  <c r="X57" i="2"/>
  <c r="AC57" i="2"/>
  <c r="AD57" i="2"/>
  <c r="AE57" i="2"/>
  <c r="AF57" i="2"/>
  <c r="AG57" i="2"/>
  <c r="AH57" i="2"/>
  <c r="A58" i="2"/>
  <c r="B58" i="2"/>
  <c r="C58" i="2"/>
  <c r="D58" i="2"/>
  <c r="E58" i="2"/>
  <c r="F58" i="2"/>
  <c r="G58" i="2"/>
  <c r="H58" i="2"/>
  <c r="I58" i="2"/>
  <c r="J58" i="2"/>
  <c r="K58" i="2"/>
  <c r="L58" i="2"/>
  <c r="M58" i="2"/>
  <c r="N58" i="2"/>
  <c r="O58" i="2"/>
  <c r="P58" i="2"/>
  <c r="Q58" i="2"/>
  <c r="R58" i="2"/>
  <c r="V58" i="2"/>
  <c r="W58" i="2"/>
  <c r="X58" i="2"/>
  <c r="AC58" i="2"/>
  <c r="AD58" i="2"/>
  <c r="AE58" i="2"/>
  <c r="AF58" i="2"/>
  <c r="AG58" i="2"/>
  <c r="AH58" i="2"/>
  <c r="A59" i="2"/>
  <c r="B59" i="2"/>
  <c r="C59" i="2"/>
  <c r="D59" i="2"/>
  <c r="E59" i="2"/>
  <c r="F59" i="2"/>
  <c r="G59" i="2"/>
  <c r="H59" i="2"/>
  <c r="I59" i="2"/>
  <c r="J59" i="2"/>
  <c r="K59" i="2"/>
  <c r="L59" i="2"/>
  <c r="M59" i="2"/>
  <c r="N59" i="2"/>
  <c r="O59" i="2"/>
  <c r="P59" i="2"/>
  <c r="Q59" i="2"/>
  <c r="R59" i="2"/>
  <c r="V59" i="2"/>
  <c r="W59" i="2"/>
  <c r="X59" i="2"/>
  <c r="AC59" i="2"/>
  <c r="AD59" i="2"/>
  <c r="AE59" i="2"/>
  <c r="AF59" i="2"/>
  <c r="AG59" i="2"/>
  <c r="AH59" i="2"/>
  <c r="A60" i="2"/>
  <c r="B60" i="2"/>
  <c r="C60" i="2"/>
  <c r="D60" i="2"/>
  <c r="E60" i="2"/>
  <c r="F60" i="2"/>
  <c r="G60" i="2"/>
  <c r="H60" i="2"/>
  <c r="I60" i="2"/>
  <c r="J60" i="2"/>
  <c r="K60" i="2"/>
  <c r="L60" i="2"/>
  <c r="M60" i="2"/>
  <c r="N60" i="2"/>
  <c r="O60" i="2"/>
  <c r="P60" i="2"/>
  <c r="Q60" i="2"/>
  <c r="R60" i="2"/>
  <c r="V60" i="2"/>
  <c r="W60" i="2"/>
  <c r="X60" i="2"/>
  <c r="AC60" i="2"/>
  <c r="AD60" i="2"/>
  <c r="AE60" i="2"/>
  <c r="AF60" i="2"/>
  <c r="AG60" i="2"/>
  <c r="AH60" i="2"/>
  <c r="A61" i="2"/>
  <c r="B61" i="2"/>
  <c r="C61" i="2"/>
  <c r="D61" i="2"/>
  <c r="E61" i="2"/>
  <c r="F61" i="2"/>
  <c r="G61" i="2"/>
  <c r="H61" i="2"/>
  <c r="I61" i="2"/>
  <c r="J61" i="2"/>
  <c r="K61" i="2"/>
  <c r="L61" i="2"/>
  <c r="M61" i="2"/>
  <c r="N61" i="2"/>
  <c r="O61" i="2"/>
  <c r="P61" i="2"/>
  <c r="Q61" i="2"/>
  <c r="R61" i="2"/>
  <c r="V61" i="2"/>
  <c r="W61" i="2"/>
  <c r="X61" i="2"/>
  <c r="AC61" i="2"/>
  <c r="AD61" i="2"/>
  <c r="AE61" i="2"/>
  <c r="AF61" i="2"/>
  <c r="AG61" i="2"/>
  <c r="AH61" i="2"/>
  <c r="A62" i="2"/>
  <c r="B62" i="2"/>
  <c r="C62" i="2"/>
  <c r="D62" i="2"/>
  <c r="E62" i="2"/>
  <c r="F62" i="2"/>
  <c r="G62" i="2"/>
  <c r="H62" i="2"/>
  <c r="I62" i="2"/>
  <c r="J62" i="2"/>
  <c r="K62" i="2"/>
  <c r="L62" i="2"/>
  <c r="M62" i="2"/>
  <c r="N62" i="2"/>
  <c r="O62" i="2"/>
  <c r="P62" i="2"/>
  <c r="Q62" i="2"/>
  <c r="R62" i="2"/>
  <c r="V62" i="2"/>
  <c r="W62" i="2"/>
  <c r="X62" i="2"/>
  <c r="AC62" i="2"/>
  <c r="AD62" i="2"/>
  <c r="AE62" i="2"/>
  <c r="AF62" i="2"/>
  <c r="AG62" i="2"/>
  <c r="AH62" i="2"/>
  <c r="A63" i="2"/>
  <c r="B63" i="2"/>
  <c r="C63" i="2"/>
  <c r="D63" i="2"/>
  <c r="E63" i="2"/>
  <c r="F63" i="2"/>
  <c r="G63" i="2"/>
  <c r="H63" i="2"/>
  <c r="I63" i="2"/>
  <c r="J63" i="2"/>
  <c r="K63" i="2"/>
  <c r="L63" i="2"/>
  <c r="M63" i="2"/>
  <c r="N63" i="2"/>
  <c r="O63" i="2"/>
  <c r="P63" i="2"/>
  <c r="Q63" i="2"/>
  <c r="R63" i="2"/>
  <c r="V63" i="2"/>
  <c r="W63" i="2"/>
  <c r="X63" i="2"/>
  <c r="AC63" i="2"/>
  <c r="AD63" i="2"/>
  <c r="AE63" i="2"/>
  <c r="AF63" i="2"/>
  <c r="AG63" i="2"/>
  <c r="AH63" i="2"/>
  <c r="A64" i="2"/>
  <c r="B64" i="2"/>
  <c r="C64" i="2"/>
  <c r="D64" i="2"/>
  <c r="E64" i="2"/>
  <c r="F64" i="2"/>
  <c r="G64" i="2"/>
  <c r="H64" i="2"/>
  <c r="I64" i="2"/>
  <c r="J64" i="2"/>
  <c r="K64" i="2"/>
  <c r="L64" i="2"/>
  <c r="M64" i="2"/>
  <c r="N64" i="2"/>
  <c r="O64" i="2"/>
  <c r="P64" i="2"/>
  <c r="Q64" i="2"/>
  <c r="R64" i="2"/>
  <c r="V64" i="2"/>
  <c r="W64" i="2"/>
  <c r="X64" i="2"/>
  <c r="AC64" i="2"/>
  <c r="AD64" i="2"/>
  <c r="AE64" i="2"/>
  <c r="AF64" i="2"/>
  <c r="AG64" i="2"/>
  <c r="AH64" i="2"/>
  <c r="A65" i="2"/>
  <c r="B65" i="2"/>
  <c r="C65" i="2"/>
  <c r="D65" i="2"/>
  <c r="E65" i="2"/>
  <c r="F65" i="2"/>
  <c r="G65" i="2"/>
  <c r="H65" i="2"/>
  <c r="I65" i="2"/>
  <c r="J65" i="2"/>
  <c r="K65" i="2"/>
  <c r="L65" i="2"/>
  <c r="M65" i="2"/>
  <c r="N65" i="2"/>
  <c r="O65" i="2"/>
  <c r="P65" i="2"/>
  <c r="Q65" i="2"/>
  <c r="R65" i="2"/>
  <c r="V65" i="2"/>
  <c r="W65" i="2"/>
  <c r="X65" i="2"/>
  <c r="AC65" i="2"/>
  <c r="AD65" i="2"/>
  <c r="AE65" i="2"/>
  <c r="AF65" i="2"/>
  <c r="AG65" i="2"/>
  <c r="AH65" i="2"/>
  <c r="A66" i="2"/>
  <c r="B66" i="2"/>
  <c r="C66" i="2"/>
  <c r="D66" i="2"/>
  <c r="E66" i="2"/>
  <c r="F66" i="2"/>
  <c r="G66" i="2"/>
  <c r="H66" i="2"/>
  <c r="I66" i="2"/>
  <c r="J66" i="2"/>
  <c r="K66" i="2"/>
  <c r="L66" i="2"/>
  <c r="M66" i="2"/>
  <c r="N66" i="2"/>
  <c r="O66" i="2"/>
  <c r="P66" i="2"/>
  <c r="Q66" i="2"/>
  <c r="R66" i="2"/>
  <c r="V66" i="2"/>
  <c r="W66" i="2"/>
  <c r="X66" i="2"/>
  <c r="AC66" i="2"/>
  <c r="AD66" i="2"/>
  <c r="AE66" i="2"/>
  <c r="AF66" i="2"/>
  <c r="AG66" i="2"/>
  <c r="AH66" i="2"/>
  <c r="A67" i="2"/>
  <c r="B67" i="2"/>
  <c r="C67" i="2"/>
  <c r="D67" i="2"/>
  <c r="E67" i="2"/>
  <c r="F67" i="2"/>
  <c r="G67" i="2"/>
  <c r="H67" i="2"/>
  <c r="I67" i="2"/>
  <c r="J67" i="2"/>
  <c r="K67" i="2"/>
  <c r="L67" i="2"/>
  <c r="M67" i="2"/>
  <c r="N67" i="2"/>
  <c r="O67" i="2"/>
  <c r="P67" i="2"/>
  <c r="Q67" i="2"/>
  <c r="R67" i="2"/>
  <c r="V67" i="2"/>
  <c r="W67" i="2"/>
  <c r="X67" i="2"/>
  <c r="AC67" i="2"/>
  <c r="AD67" i="2"/>
  <c r="AE67" i="2"/>
  <c r="AF67" i="2"/>
  <c r="AG67" i="2"/>
  <c r="AH67" i="2"/>
  <c r="A68" i="2"/>
  <c r="B68" i="2"/>
  <c r="C68" i="2"/>
  <c r="D68" i="2"/>
  <c r="E68" i="2"/>
  <c r="F68" i="2"/>
  <c r="G68" i="2"/>
  <c r="H68" i="2"/>
  <c r="I68" i="2"/>
  <c r="J68" i="2"/>
  <c r="K68" i="2"/>
  <c r="L68" i="2"/>
  <c r="M68" i="2"/>
  <c r="N68" i="2"/>
  <c r="O68" i="2"/>
  <c r="P68" i="2"/>
  <c r="Q68" i="2"/>
  <c r="R68" i="2"/>
  <c r="V68" i="2"/>
  <c r="W68" i="2"/>
  <c r="X68" i="2"/>
  <c r="AC68" i="2"/>
  <c r="AD68" i="2"/>
  <c r="AE68" i="2"/>
  <c r="AF68" i="2"/>
  <c r="AG68" i="2"/>
  <c r="AH68" i="2"/>
  <c r="A69" i="2"/>
  <c r="B69" i="2"/>
  <c r="C69" i="2"/>
  <c r="D69" i="2"/>
  <c r="E69" i="2"/>
  <c r="F69" i="2"/>
  <c r="G69" i="2"/>
  <c r="H69" i="2"/>
  <c r="I69" i="2"/>
  <c r="J69" i="2"/>
  <c r="K69" i="2"/>
  <c r="L69" i="2"/>
  <c r="M69" i="2"/>
  <c r="N69" i="2"/>
  <c r="O69" i="2"/>
  <c r="P69" i="2"/>
  <c r="Q69" i="2"/>
  <c r="R69" i="2"/>
  <c r="V69" i="2"/>
  <c r="W69" i="2"/>
  <c r="X69" i="2"/>
  <c r="AC69" i="2"/>
  <c r="AD69" i="2"/>
  <c r="AE69" i="2"/>
  <c r="AF69" i="2"/>
  <c r="AG69" i="2"/>
  <c r="AH69" i="2"/>
  <c r="A70" i="2"/>
  <c r="B70" i="2"/>
  <c r="C70" i="2"/>
  <c r="D70" i="2"/>
  <c r="E70" i="2"/>
  <c r="F70" i="2"/>
  <c r="G70" i="2"/>
  <c r="H70" i="2"/>
  <c r="I70" i="2"/>
  <c r="J70" i="2"/>
  <c r="K70" i="2"/>
  <c r="L70" i="2"/>
  <c r="M70" i="2"/>
  <c r="N70" i="2"/>
  <c r="O70" i="2"/>
  <c r="P70" i="2"/>
  <c r="Q70" i="2"/>
  <c r="R70" i="2"/>
  <c r="V70" i="2"/>
  <c r="W70" i="2"/>
  <c r="X70" i="2"/>
  <c r="AC70" i="2"/>
  <c r="AD70" i="2"/>
  <c r="AE70" i="2"/>
  <c r="AF70" i="2"/>
  <c r="AG70" i="2"/>
  <c r="AH70" i="2"/>
  <c r="A71" i="2"/>
  <c r="B71" i="2"/>
  <c r="C71" i="2"/>
  <c r="D71" i="2"/>
  <c r="E71" i="2"/>
  <c r="F71" i="2"/>
  <c r="G71" i="2"/>
  <c r="H71" i="2"/>
  <c r="I71" i="2"/>
  <c r="J71" i="2"/>
  <c r="K71" i="2"/>
  <c r="L71" i="2"/>
  <c r="M71" i="2"/>
  <c r="N71" i="2"/>
  <c r="O71" i="2"/>
  <c r="P71" i="2"/>
  <c r="Q71" i="2"/>
  <c r="R71" i="2"/>
  <c r="V71" i="2"/>
  <c r="W71" i="2"/>
  <c r="X71" i="2"/>
  <c r="AC71" i="2"/>
  <c r="AD71" i="2"/>
  <c r="AE71" i="2"/>
  <c r="AF71" i="2"/>
  <c r="AG71" i="2"/>
  <c r="AH71" i="2"/>
  <c r="A72" i="2"/>
  <c r="B72" i="2"/>
  <c r="C72" i="2"/>
  <c r="D72" i="2"/>
  <c r="E72" i="2"/>
  <c r="F72" i="2"/>
  <c r="G72" i="2"/>
  <c r="H72" i="2"/>
  <c r="I72" i="2"/>
  <c r="J72" i="2"/>
  <c r="K72" i="2"/>
  <c r="L72" i="2"/>
  <c r="M72" i="2"/>
  <c r="N72" i="2"/>
  <c r="O72" i="2"/>
  <c r="P72" i="2"/>
  <c r="Q72" i="2"/>
  <c r="R72" i="2"/>
  <c r="V72" i="2"/>
  <c r="W72" i="2"/>
  <c r="X72" i="2"/>
  <c r="AC72" i="2"/>
  <c r="AD72" i="2"/>
  <c r="AE72" i="2"/>
  <c r="AF72" i="2"/>
  <c r="AG72" i="2"/>
  <c r="AH72" i="2"/>
  <c r="A73" i="2"/>
  <c r="B73" i="2"/>
  <c r="C73" i="2"/>
  <c r="D73" i="2"/>
  <c r="E73" i="2"/>
  <c r="F73" i="2"/>
  <c r="G73" i="2"/>
  <c r="H73" i="2"/>
  <c r="I73" i="2"/>
  <c r="J73" i="2"/>
  <c r="K73" i="2"/>
  <c r="L73" i="2"/>
  <c r="M73" i="2"/>
  <c r="N73" i="2"/>
  <c r="O73" i="2"/>
  <c r="P73" i="2"/>
  <c r="Q73" i="2"/>
  <c r="R73" i="2"/>
  <c r="V73" i="2"/>
  <c r="W73" i="2"/>
  <c r="X73" i="2"/>
  <c r="AC73" i="2"/>
  <c r="AD73" i="2"/>
  <c r="AE73" i="2"/>
  <c r="AF73" i="2"/>
  <c r="AG73" i="2"/>
  <c r="AH73" i="2"/>
  <c r="A74" i="2"/>
  <c r="B74" i="2"/>
  <c r="C74" i="2"/>
  <c r="D74" i="2"/>
  <c r="E74" i="2"/>
  <c r="F74" i="2"/>
  <c r="G74" i="2"/>
  <c r="H74" i="2"/>
  <c r="I74" i="2"/>
  <c r="J74" i="2"/>
  <c r="K74" i="2"/>
  <c r="L74" i="2"/>
  <c r="M74" i="2"/>
  <c r="N74" i="2"/>
  <c r="O74" i="2"/>
  <c r="P74" i="2"/>
  <c r="Q74" i="2"/>
  <c r="R74" i="2"/>
  <c r="V74" i="2"/>
  <c r="W74" i="2"/>
  <c r="X74" i="2"/>
  <c r="AC74" i="2"/>
  <c r="AD74" i="2"/>
  <c r="AE74" i="2"/>
  <c r="AF74" i="2"/>
  <c r="AG74" i="2"/>
  <c r="AH74" i="2"/>
  <c r="A75" i="2"/>
  <c r="B75" i="2"/>
  <c r="C75" i="2"/>
  <c r="D75" i="2"/>
  <c r="E75" i="2"/>
  <c r="F75" i="2"/>
  <c r="G75" i="2"/>
  <c r="H75" i="2"/>
  <c r="I75" i="2"/>
  <c r="J75" i="2"/>
  <c r="K75" i="2"/>
  <c r="L75" i="2"/>
  <c r="M75" i="2"/>
  <c r="N75" i="2"/>
  <c r="O75" i="2"/>
  <c r="P75" i="2"/>
  <c r="Q75" i="2"/>
  <c r="R75" i="2"/>
  <c r="V75" i="2"/>
  <c r="W75" i="2"/>
  <c r="X75" i="2"/>
  <c r="AC75" i="2"/>
  <c r="AD75" i="2"/>
  <c r="AE75" i="2"/>
  <c r="AF75" i="2"/>
  <c r="AG75" i="2"/>
  <c r="AH75" i="2"/>
  <c r="A76" i="2"/>
  <c r="B76" i="2"/>
  <c r="C76" i="2"/>
  <c r="D76" i="2"/>
  <c r="E76" i="2"/>
  <c r="F76" i="2"/>
  <c r="G76" i="2"/>
  <c r="H76" i="2"/>
  <c r="I76" i="2"/>
  <c r="J76" i="2"/>
  <c r="K76" i="2"/>
  <c r="L76" i="2"/>
  <c r="M76" i="2"/>
  <c r="N76" i="2"/>
  <c r="O76" i="2"/>
  <c r="P76" i="2"/>
  <c r="Q76" i="2"/>
  <c r="R76" i="2"/>
  <c r="V76" i="2"/>
  <c r="W76" i="2"/>
  <c r="X76" i="2"/>
  <c r="AC76" i="2"/>
  <c r="AD76" i="2"/>
  <c r="AE76" i="2"/>
  <c r="AF76" i="2"/>
  <c r="AG76" i="2"/>
  <c r="AH76" i="2"/>
  <c r="A77" i="2"/>
  <c r="B77" i="2"/>
  <c r="C77" i="2"/>
  <c r="D77" i="2"/>
  <c r="E77" i="2"/>
  <c r="F77" i="2"/>
  <c r="G77" i="2"/>
  <c r="H77" i="2"/>
  <c r="I77" i="2"/>
  <c r="J77" i="2"/>
  <c r="K77" i="2"/>
  <c r="L77" i="2"/>
  <c r="M77" i="2"/>
  <c r="N77" i="2"/>
  <c r="O77" i="2"/>
  <c r="P77" i="2"/>
  <c r="Q77" i="2"/>
  <c r="R77" i="2"/>
  <c r="V77" i="2"/>
  <c r="W77" i="2"/>
  <c r="X77" i="2"/>
  <c r="AC77" i="2"/>
  <c r="AD77" i="2"/>
  <c r="AE77" i="2"/>
  <c r="AF77" i="2"/>
  <c r="AG77" i="2"/>
  <c r="AH77" i="2"/>
  <c r="A78" i="2"/>
  <c r="B78" i="2"/>
  <c r="C78" i="2"/>
  <c r="D78" i="2"/>
  <c r="E78" i="2"/>
  <c r="F78" i="2"/>
  <c r="G78" i="2"/>
  <c r="H78" i="2"/>
  <c r="I78" i="2"/>
  <c r="J78" i="2"/>
  <c r="K78" i="2"/>
  <c r="L78" i="2"/>
  <c r="M78" i="2"/>
  <c r="N78" i="2"/>
  <c r="O78" i="2"/>
  <c r="P78" i="2"/>
  <c r="Q78" i="2"/>
  <c r="R78" i="2"/>
  <c r="V78" i="2"/>
  <c r="W78" i="2"/>
  <c r="X78" i="2"/>
  <c r="AC78" i="2"/>
  <c r="AD78" i="2"/>
  <c r="AE78" i="2"/>
  <c r="AF78" i="2"/>
  <c r="AG78" i="2"/>
  <c r="AH78" i="2"/>
  <c r="A79" i="2"/>
  <c r="B79" i="2"/>
  <c r="C79" i="2"/>
  <c r="D79" i="2"/>
  <c r="E79" i="2"/>
  <c r="F79" i="2"/>
  <c r="G79" i="2"/>
  <c r="H79" i="2"/>
  <c r="I79" i="2"/>
  <c r="J79" i="2"/>
  <c r="K79" i="2"/>
  <c r="L79" i="2"/>
  <c r="M79" i="2"/>
  <c r="N79" i="2"/>
  <c r="O79" i="2"/>
  <c r="P79" i="2"/>
  <c r="Q79" i="2"/>
  <c r="R79" i="2"/>
  <c r="V79" i="2"/>
  <c r="W79" i="2"/>
  <c r="X79" i="2"/>
  <c r="AC79" i="2"/>
  <c r="AD79" i="2"/>
  <c r="AE79" i="2"/>
  <c r="AF79" i="2"/>
  <c r="AG79" i="2"/>
  <c r="AH79" i="2"/>
  <c r="A80" i="2"/>
  <c r="B80" i="2"/>
  <c r="C80" i="2"/>
  <c r="D80" i="2"/>
  <c r="E80" i="2"/>
  <c r="F80" i="2"/>
  <c r="G80" i="2"/>
  <c r="H80" i="2"/>
  <c r="I80" i="2"/>
  <c r="J80" i="2"/>
  <c r="K80" i="2"/>
  <c r="L80" i="2"/>
  <c r="M80" i="2"/>
  <c r="O80" i="2"/>
  <c r="P80" i="2"/>
  <c r="R80" i="2"/>
  <c r="U80" i="2"/>
  <c r="V80" i="2"/>
  <c r="W80" i="2"/>
  <c r="X80" i="2"/>
  <c r="AC80" i="2"/>
  <c r="AD80" i="2"/>
  <c r="AE80" i="2"/>
  <c r="AF80" i="2"/>
  <c r="AG80" i="2"/>
  <c r="AH80" i="2"/>
  <c r="A81" i="2"/>
  <c r="B81" i="2"/>
  <c r="C81" i="2"/>
  <c r="D81" i="2"/>
  <c r="E81" i="2"/>
  <c r="F81" i="2"/>
  <c r="G81" i="2"/>
  <c r="H81" i="2"/>
  <c r="I81" i="2"/>
  <c r="J81" i="2"/>
  <c r="K81" i="2"/>
  <c r="L81" i="2"/>
  <c r="M81" i="2"/>
  <c r="O81" i="2"/>
  <c r="P81" i="2"/>
  <c r="R81" i="2"/>
  <c r="U81" i="2"/>
  <c r="V81" i="2"/>
  <c r="W81" i="2"/>
  <c r="X81" i="2"/>
  <c r="AC81" i="2"/>
  <c r="AD81" i="2"/>
  <c r="AE81" i="2"/>
  <c r="AF81" i="2"/>
  <c r="AG81" i="2"/>
  <c r="AH81" i="2"/>
  <c r="A82" i="2"/>
  <c r="B82" i="2"/>
  <c r="C82" i="2"/>
  <c r="D82" i="2"/>
  <c r="E82" i="2"/>
  <c r="F82" i="2"/>
  <c r="G82" i="2"/>
  <c r="H82" i="2"/>
  <c r="I82" i="2"/>
  <c r="J82" i="2"/>
  <c r="K82" i="2"/>
  <c r="L82" i="2"/>
  <c r="M82" i="2"/>
  <c r="O82" i="2"/>
  <c r="P82" i="2"/>
  <c r="R82" i="2"/>
  <c r="U82" i="2"/>
  <c r="V82" i="2"/>
  <c r="W82" i="2"/>
  <c r="X82" i="2"/>
  <c r="AC82" i="2"/>
  <c r="AD82" i="2"/>
  <c r="AE82" i="2"/>
  <c r="AF82" i="2"/>
  <c r="AG82" i="2"/>
  <c r="AH82" i="2"/>
  <c r="A83" i="2"/>
  <c r="B83" i="2"/>
  <c r="C83" i="2"/>
  <c r="D83" i="2"/>
  <c r="E83" i="2"/>
  <c r="F83" i="2"/>
  <c r="G83" i="2"/>
  <c r="H83" i="2"/>
  <c r="I83" i="2"/>
  <c r="J83" i="2"/>
  <c r="K83" i="2"/>
  <c r="L83" i="2"/>
  <c r="M83" i="2"/>
  <c r="N83" i="2"/>
  <c r="O83" i="2"/>
  <c r="P83" i="2"/>
  <c r="Q83" i="2"/>
  <c r="R83" i="2"/>
  <c r="U83" i="2"/>
  <c r="V83" i="2"/>
  <c r="W83" i="2"/>
  <c r="X83" i="2"/>
  <c r="AC83" i="2"/>
  <c r="AD83" i="2"/>
  <c r="AE83" i="2"/>
  <c r="AF83" i="2"/>
  <c r="AG83" i="2"/>
  <c r="AH83" i="2"/>
  <c r="A84" i="2"/>
  <c r="B84" i="2"/>
  <c r="C84" i="2"/>
  <c r="D84" i="2"/>
  <c r="E84" i="2"/>
  <c r="F84" i="2"/>
  <c r="G84" i="2"/>
  <c r="H84" i="2"/>
  <c r="I84" i="2"/>
  <c r="J84" i="2"/>
  <c r="K84" i="2"/>
  <c r="L84" i="2"/>
  <c r="M84" i="2"/>
  <c r="N84" i="2"/>
  <c r="O84" i="2"/>
  <c r="P84" i="2"/>
  <c r="R84" i="2"/>
  <c r="U84" i="2"/>
  <c r="V84" i="2"/>
  <c r="W84" i="2"/>
  <c r="X84" i="2"/>
  <c r="AC84" i="2"/>
  <c r="AD84" i="2"/>
  <c r="AE84" i="2"/>
  <c r="AF84" i="2"/>
  <c r="AG84" i="2"/>
  <c r="AH84" i="2"/>
  <c r="A85" i="2"/>
  <c r="B85" i="2"/>
  <c r="C85" i="2"/>
  <c r="D85" i="2"/>
  <c r="E85" i="2"/>
  <c r="F85" i="2"/>
  <c r="G85" i="2"/>
  <c r="H85" i="2"/>
  <c r="I85" i="2"/>
  <c r="J85" i="2"/>
  <c r="K85" i="2"/>
  <c r="L85" i="2"/>
  <c r="M85" i="2"/>
  <c r="N85" i="2"/>
  <c r="P85" i="2"/>
  <c r="R85" i="2"/>
  <c r="U85" i="2"/>
  <c r="V85" i="2"/>
  <c r="W85" i="2"/>
  <c r="X85" i="2"/>
  <c r="AC85" i="2"/>
  <c r="AD85" i="2"/>
  <c r="AE85" i="2"/>
  <c r="AF85" i="2"/>
  <c r="AG85" i="2"/>
  <c r="AH85" i="2"/>
  <c r="A86" i="2"/>
  <c r="B86" i="2"/>
  <c r="C86" i="2"/>
  <c r="D86" i="2"/>
  <c r="E86" i="2"/>
  <c r="F86" i="2"/>
  <c r="G86" i="2"/>
  <c r="H86" i="2"/>
  <c r="I86" i="2"/>
  <c r="J86" i="2"/>
  <c r="K86" i="2"/>
  <c r="L86" i="2"/>
  <c r="M86" i="2"/>
  <c r="N86" i="2"/>
  <c r="P86" i="2"/>
  <c r="R86" i="2"/>
  <c r="U86" i="2"/>
  <c r="V86" i="2"/>
  <c r="W86" i="2"/>
  <c r="X86" i="2"/>
  <c r="AC86" i="2"/>
  <c r="AD86" i="2"/>
  <c r="AE86" i="2"/>
  <c r="AF86" i="2"/>
  <c r="AG86" i="2"/>
  <c r="AH86" i="2"/>
  <c r="A87" i="2"/>
  <c r="B87" i="2"/>
  <c r="C87" i="2"/>
  <c r="D87" i="2"/>
  <c r="E87" i="2"/>
  <c r="F87" i="2"/>
  <c r="G87" i="2"/>
  <c r="H87" i="2"/>
  <c r="I87" i="2"/>
  <c r="J87" i="2"/>
  <c r="K87" i="2"/>
  <c r="L87" i="2"/>
  <c r="M87" i="2"/>
  <c r="N87" i="2"/>
  <c r="P87" i="2"/>
  <c r="R87" i="2"/>
  <c r="U87" i="2"/>
  <c r="V87" i="2"/>
  <c r="W87" i="2"/>
  <c r="X87" i="2"/>
  <c r="AC87" i="2"/>
  <c r="AD87" i="2"/>
  <c r="AE87" i="2"/>
  <c r="AF87" i="2"/>
  <c r="AG87" i="2"/>
  <c r="AH87" i="2"/>
  <c r="A88" i="2"/>
  <c r="B88" i="2"/>
  <c r="C88" i="2"/>
  <c r="D88" i="2"/>
  <c r="E88" i="2"/>
  <c r="F88" i="2"/>
  <c r="G88" i="2"/>
  <c r="H88" i="2"/>
  <c r="I88" i="2"/>
  <c r="J88" i="2"/>
  <c r="K88" i="2"/>
  <c r="L88" i="2"/>
  <c r="M88" i="2"/>
  <c r="N88" i="2"/>
  <c r="O88" i="2"/>
  <c r="P88" i="2"/>
  <c r="R88" i="2"/>
  <c r="U88" i="2"/>
  <c r="V88" i="2"/>
  <c r="W88" i="2"/>
  <c r="X88" i="2"/>
  <c r="AC88" i="2"/>
  <c r="AD88" i="2"/>
  <c r="AE88" i="2"/>
  <c r="AF88" i="2"/>
  <c r="AG88" i="2"/>
  <c r="AH88" i="2"/>
  <c r="A89" i="2"/>
  <c r="B89" i="2"/>
  <c r="C89" i="2"/>
  <c r="D89" i="2"/>
  <c r="E89" i="2"/>
  <c r="F89" i="2"/>
  <c r="G89" i="2"/>
  <c r="H89" i="2"/>
  <c r="I89" i="2"/>
  <c r="J89" i="2"/>
  <c r="K89" i="2"/>
  <c r="L89" i="2"/>
  <c r="M89" i="2"/>
  <c r="N89" i="2"/>
  <c r="O89" i="2"/>
  <c r="P89" i="2"/>
  <c r="R89" i="2"/>
  <c r="U89" i="2"/>
  <c r="V89" i="2"/>
  <c r="W89" i="2"/>
  <c r="X89" i="2"/>
  <c r="AC89" i="2"/>
  <c r="AD89" i="2"/>
  <c r="AE89" i="2"/>
  <c r="AF89" i="2"/>
  <c r="AG89" i="2"/>
  <c r="AH89" i="2"/>
  <c r="A90" i="2"/>
  <c r="B90" i="2"/>
  <c r="C90" i="2"/>
  <c r="D90" i="2"/>
  <c r="E90" i="2"/>
  <c r="F90" i="2"/>
  <c r="G90" i="2"/>
  <c r="H90" i="2"/>
  <c r="I90" i="2"/>
  <c r="J90" i="2"/>
  <c r="K90" i="2"/>
  <c r="L90" i="2"/>
  <c r="M90" i="2"/>
  <c r="N90" i="2"/>
  <c r="O90" i="2"/>
  <c r="P90" i="2"/>
  <c r="R90" i="2"/>
  <c r="U90" i="2"/>
  <c r="V90" i="2"/>
  <c r="W90" i="2"/>
  <c r="X90" i="2"/>
  <c r="AC90" i="2"/>
  <c r="AD90" i="2"/>
  <c r="AE90" i="2"/>
  <c r="AF90" i="2"/>
  <c r="AG90" i="2"/>
  <c r="AH90" i="2"/>
  <c r="A91" i="2"/>
  <c r="B91" i="2"/>
  <c r="C91" i="2"/>
  <c r="D91" i="2"/>
  <c r="E91" i="2"/>
  <c r="F91" i="2"/>
  <c r="G91" i="2"/>
  <c r="H91" i="2"/>
  <c r="I91" i="2"/>
  <c r="J91" i="2"/>
  <c r="K91" i="2"/>
  <c r="L91" i="2"/>
  <c r="M91" i="2"/>
  <c r="N91" i="2"/>
  <c r="O91" i="2"/>
  <c r="P91" i="2"/>
  <c r="R91" i="2"/>
  <c r="U91" i="2"/>
  <c r="V91" i="2"/>
  <c r="W91" i="2"/>
  <c r="X91" i="2"/>
  <c r="AC91" i="2"/>
  <c r="AD91" i="2"/>
  <c r="AE91" i="2"/>
  <c r="AF91" i="2"/>
  <c r="AG91" i="2"/>
  <c r="AH91" i="2"/>
  <c r="A92" i="2"/>
  <c r="B92" i="2"/>
  <c r="C92" i="2"/>
  <c r="D92" i="2"/>
  <c r="E92" i="2"/>
  <c r="F92" i="2"/>
  <c r="G92" i="2"/>
  <c r="H92" i="2"/>
  <c r="I92" i="2"/>
  <c r="J92" i="2"/>
  <c r="K92" i="2"/>
  <c r="L92" i="2"/>
  <c r="M92" i="2"/>
  <c r="N92" i="2"/>
  <c r="O92" i="2"/>
  <c r="P92" i="2"/>
  <c r="R92" i="2"/>
  <c r="U92" i="2"/>
  <c r="V92" i="2"/>
  <c r="W92" i="2"/>
  <c r="X92" i="2"/>
  <c r="AC92" i="2"/>
  <c r="AD92" i="2"/>
  <c r="AE92" i="2"/>
  <c r="AF92" i="2"/>
  <c r="AG92" i="2"/>
  <c r="AH92" i="2"/>
  <c r="A93" i="2"/>
  <c r="B93" i="2"/>
  <c r="C93" i="2"/>
  <c r="D93" i="2"/>
  <c r="E93" i="2"/>
  <c r="F93" i="2"/>
  <c r="G93" i="2"/>
  <c r="H93" i="2"/>
  <c r="I93" i="2"/>
  <c r="J93" i="2"/>
  <c r="K93" i="2"/>
  <c r="L93" i="2"/>
  <c r="M93" i="2"/>
  <c r="N93" i="2"/>
  <c r="O93" i="2"/>
  <c r="P93" i="2"/>
  <c r="R93" i="2"/>
  <c r="U93" i="2"/>
  <c r="V93" i="2"/>
  <c r="W93" i="2"/>
  <c r="X93" i="2"/>
  <c r="AC93" i="2"/>
  <c r="AD93" i="2"/>
  <c r="AE93" i="2"/>
  <c r="AF93" i="2"/>
  <c r="AG93" i="2"/>
  <c r="AH93" i="2"/>
  <c r="A94" i="2"/>
  <c r="B94" i="2"/>
  <c r="C94" i="2"/>
  <c r="D94" i="2"/>
  <c r="E94" i="2"/>
  <c r="F94" i="2"/>
  <c r="G94" i="2"/>
  <c r="H94" i="2"/>
  <c r="I94" i="2"/>
  <c r="J94" i="2"/>
  <c r="K94" i="2"/>
  <c r="L94" i="2"/>
  <c r="M94" i="2"/>
  <c r="N94" i="2"/>
  <c r="O94" i="2"/>
  <c r="P94" i="2"/>
  <c r="R94" i="2"/>
  <c r="U94" i="2"/>
  <c r="V94" i="2"/>
  <c r="W94" i="2"/>
  <c r="X94" i="2"/>
  <c r="AC94" i="2"/>
  <c r="AD94" i="2"/>
  <c r="AE94" i="2"/>
  <c r="AF94" i="2"/>
  <c r="AG94" i="2"/>
  <c r="AH94" i="2"/>
  <c r="A95" i="2"/>
  <c r="B95" i="2"/>
  <c r="C95" i="2"/>
  <c r="D95" i="2"/>
  <c r="E95" i="2"/>
  <c r="F95" i="2"/>
  <c r="G95" i="2"/>
  <c r="H95" i="2"/>
  <c r="I95" i="2"/>
  <c r="J95" i="2"/>
  <c r="K95" i="2"/>
  <c r="L95" i="2"/>
  <c r="M95" i="2"/>
  <c r="N95" i="2"/>
  <c r="O95" i="2"/>
  <c r="P95" i="2"/>
  <c r="R95" i="2"/>
  <c r="U95" i="2"/>
  <c r="V95" i="2"/>
  <c r="W95" i="2"/>
  <c r="X95" i="2"/>
  <c r="AC95" i="2"/>
  <c r="AD95" i="2"/>
  <c r="AE95" i="2"/>
  <c r="AF95" i="2"/>
  <c r="AG95" i="2"/>
  <c r="AH95" i="2"/>
  <c r="A96" i="2"/>
  <c r="B96" i="2"/>
  <c r="C96" i="2"/>
  <c r="D96" i="2"/>
  <c r="E96" i="2"/>
  <c r="F96" i="2"/>
  <c r="G96" i="2"/>
  <c r="H96" i="2"/>
  <c r="I96" i="2"/>
  <c r="J96" i="2"/>
  <c r="K96" i="2"/>
  <c r="L96" i="2"/>
  <c r="M96" i="2"/>
  <c r="N96" i="2"/>
  <c r="O96" i="2"/>
  <c r="P96" i="2"/>
  <c r="R96" i="2"/>
  <c r="U96" i="2"/>
  <c r="V96" i="2"/>
  <c r="W96" i="2"/>
  <c r="X96" i="2"/>
  <c r="AC96" i="2"/>
  <c r="AD96" i="2"/>
  <c r="AE96" i="2"/>
  <c r="AF96" i="2"/>
  <c r="AG96" i="2"/>
  <c r="AH96" i="2"/>
  <c r="A97" i="2"/>
  <c r="B97" i="2"/>
  <c r="C97" i="2"/>
  <c r="D97" i="2"/>
  <c r="E97" i="2"/>
  <c r="F97" i="2"/>
  <c r="G97" i="2"/>
  <c r="H97" i="2"/>
  <c r="I97" i="2"/>
  <c r="J97" i="2"/>
  <c r="K97" i="2"/>
  <c r="L97" i="2"/>
  <c r="M97" i="2"/>
  <c r="N97" i="2"/>
  <c r="O97" i="2"/>
  <c r="P97" i="2"/>
  <c r="R97" i="2"/>
  <c r="U97" i="2"/>
  <c r="V97" i="2"/>
  <c r="W97" i="2"/>
  <c r="X97" i="2"/>
  <c r="AC97" i="2"/>
  <c r="AD97" i="2"/>
  <c r="AE97" i="2"/>
  <c r="AF97" i="2"/>
  <c r="AG97" i="2"/>
  <c r="AH97" i="2"/>
  <c r="A98" i="2"/>
  <c r="B98" i="2"/>
  <c r="C98" i="2"/>
  <c r="D98" i="2"/>
  <c r="E98" i="2"/>
  <c r="F98" i="2"/>
  <c r="G98" i="2"/>
  <c r="H98" i="2"/>
  <c r="I98" i="2"/>
  <c r="J98" i="2"/>
  <c r="K98" i="2"/>
  <c r="L98" i="2"/>
  <c r="M98" i="2"/>
  <c r="N98" i="2"/>
  <c r="O98" i="2"/>
  <c r="P98" i="2"/>
  <c r="R98" i="2"/>
  <c r="U98" i="2"/>
  <c r="V98" i="2"/>
  <c r="W98" i="2"/>
  <c r="X98" i="2"/>
  <c r="AC98" i="2"/>
  <c r="AD98" i="2"/>
  <c r="AE98" i="2"/>
  <c r="AF98" i="2"/>
  <c r="AG98" i="2"/>
  <c r="AH98" i="2"/>
  <c r="A99" i="2"/>
  <c r="B99" i="2"/>
  <c r="C99" i="2"/>
  <c r="D99" i="2"/>
  <c r="E99" i="2"/>
  <c r="F99" i="2"/>
  <c r="G99" i="2"/>
  <c r="H99" i="2"/>
  <c r="I99" i="2"/>
  <c r="J99" i="2"/>
  <c r="K99" i="2"/>
  <c r="L99" i="2"/>
  <c r="M99" i="2"/>
  <c r="N99" i="2"/>
  <c r="O99" i="2"/>
  <c r="P99" i="2"/>
  <c r="R99" i="2"/>
  <c r="U99" i="2"/>
  <c r="V99" i="2"/>
  <c r="W99" i="2"/>
  <c r="X99" i="2"/>
  <c r="AC99" i="2"/>
  <c r="AD99" i="2"/>
  <c r="AE99" i="2"/>
  <c r="AF99" i="2"/>
  <c r="AG99" i="2"/>
  <c r="AH99" i="2"/>
  <c r="A100" i="2"/>
  <c r="B100" i="2"/>
  <c r="C100" i="2"/>
  <c r="D100" i="2"/>
  <c r="E100" i="2"/>
  <c r="F100" i="2"/>
  <c r="G100" i="2"/>
  <c r="H100" i="2"/>
  <c r="I100" i="2"/>
  <c r="J100" i="2"/>
  <c r="K100" i="2"/>
  <c r="L100" i="2"/>
  <c r="M100" i="2"/>
  <c r="N100" i="2"/>
  <c r="O100" i="2"/>
  <c r="P100" i="2"/>
  <c r="R100" i="2"/>
  <c r="U100" i="2"/>
  <c r="V100" i="2"/>
  <c r="W100" i="2"/>
  <c r="X100" i="2"/>
  <c r="AC100" i="2"/>
  <c r="AD100" i="2"/>
  <c r="AE100" i="2"/>
  <c r="AF100" i="2"/>
  <c r="AG100" i="2"/>
  <c r="AH100" i="2"/>
  <c r="A101" i="2"/>
  <c r="B101" i="2"/>
  <c r="C101" i="2"/>
  <c r="D101" i="2"/>
  <c r="E101" i="2"/>
  <c r="F101" i="2"/>
  <c r="G101" i="2"/>
  <c r="H101" i="2"/>
  <c r="I101" i="2"/>
  <c r="J101" i="2"/>
  <c r="K101" i="2"/>
  <c r="L101" i="2"/>
  <c r="M101" i="2"/>
  <c r="N101" i="2"/>
  <c r="O101" i="2"/>
  <c r="P101" i="2"/>
  <c r="R101" i="2"/>
  <c r="U101" i="2"/>
  <c r="V101" i="2"/>
  <c r="W101" i="2"/>
  <c r="X101" i="2"/>
  <c r="AC101" i="2"/>
  <c r="AD101" i="2"/>
  <c r="AE101" i="2"/>
  <c r="AF101" i="2"/>
  <c r="AG101" i="2"/>
  <c r="AH101" i="2"/>
  <c r="A102" i="2"/>
  <c r="B102" i="2"/>
  <c r="C102" i="2"/>
  <c r="D102" i="2"/>
  <c r="E102" i="2"/>
  <c r="F102" i="2"/>
  <c r="G102" i="2"/>
  <c r="H102" i="2"/>
  <c r="I102" i="2"/>
  <c r="J102" i="2"/>
  <c r="K102" i="2"/>
  <c r="L102" i="2"/>
  <c r="M102" i="2"/>
  <c r="O102" i="2"/>
  <c r="P102" i="2"/>
  <c r="R102" i="2"/>
  <c r="U102" i="2"/>
  <c r="V102" i="2"/>
  <c r="W102" i="2"/>
  <c r="X102" i="2"/>
  <c r="AC102" i="2"/>
  <c r="AD102" i="2"/>
  <c r="AE102" i="2"/>
  <c r="AF102" i="2"/>
  <c r="AG102" i="2"/>
  <c r="AH102" i="2"/>
  <c r="A103" i="2"/>
  <c r="B103" i="2"/>
  <c r="C103" i="2"/>
  <c r="D103" i="2"/>
  <c r="E103" i="2"/>
  <c r="F103" i="2"/>
  <c r="G103" i="2"/>
  <c r="H103" i="2"/>
  <c r="I103" i="2"/>
  <c r="J103" i="2"/>
  <c r="K103" i="2"/>
  <c r="L103" i="2"/>
  <c r="M103" i="2"/>
  <c r="O103" i="2"/>
  <c r="P103" i="2"/>
  <c r="R103" i="2"/>
  <c r="U103" i="2"/>
  <c r="V103" i="2"/>
  <c r="W103" i="2"/>
  <c r="X103" i="2"/>
  <c r="AC103" i="2"/>
  <c r="AD103" i="2"/>
  <c r="AE103" i="2"/>
  <c r="AF103" i="2"/>
  <c r="AG103" i="2"/>
  <c r="AH103" i="2"/>
  <c r="A104" i="2"/>
  <c r="B104" i="2"/>
  <c r="C104" i="2"/>
  <c r="D104" i="2"/>
  <c r="E104" i="2"/>
  <c r="F104" i="2"/>
  <c r="G104" i="2"/>
  <c r="H104" i="2"/>
  <c r="I104" i="2"/>
  <c r="J104" i="2"/>
  <c r="K104" i="2"/>
  <c r="L104" i="2"/>
  <c r="M104" i="2"/>
  <c r="O104" i="2"/>
  <c r="P104" i="2"/>
  <c r="R104" i="2"/>
  <c r="U104" i="2"/>
  <c r="V104" i="2"/>
  <c r="W104" i="2"/>
  <c r="X104" i="2"/>
  <c r="AC104" i="2"/>
  <c r="AD104" i="2"/>
  <c r="AE104" i="2"/>
  <c r="AF104" i="2"/>
  <c r="AG104" i="2"/>
  <c r="AH104" i="2"/>
  <c r="A105" i="2"/>
  <c r="B105" i="2"/>
  <c r="C105" i="2"/>
  <c r="D105" i="2"/>
  <c r="E105" i="2"/>
  <c r="F105" i="2"/>
  <c r="G105" i="2"/>
  <c r="H105" i="2"/>
  <c r="I105" i="2"/>
  <c r="J105" i="2"/>
  <c r="K105" i="2"/>
  <c r="L105" i="2"/>
  <c r="M105" i="2"/>
  <c r="O105" i="2"/>
  <c r="P105" i="2"/>
  <c r="R105" i="2"/>
  <c r="U105" i="2"/>
  <c r="V105" i="2"/>
  <c r="W105" i="2"/>
  <c r="X105" i="2"/>
  <c r="AC105" i="2"/>
  <c r="AD105" i="2"/>
  <c r="AE105" i="2"/>
  <c r="AF105" i="2"/>
  <c r="AG105" i="2"/>
  <c r="AH105" i="2"/>
  <c r="A106" i="2"/>
  <c r="B106" i="2"/>
  <c r="C106" i="2"/>
  <c r="D106" i="2"/>
  <c r="E106" i="2"/>
  <c r="F106" i="2"/>
  <c r="G106" i="2"/>
  <c r="H106" i="2"/>
  <c r="I106" i="2"/>
  <c r="J106" i="2"/>
  <c r="K106" i="2"/>
  <c r="L106" i="2"/>
  <c r="M106" i="2"/>
  <c r="O106" i="2"/>
  <c r="P106" i="2"/>
  <c r="R106" i="2"/>
  <c r="U106" i="2"/>
  <c r="V106" i="2"/>
  <c r="W106" i="2"/>
  <c r="X106" i="2"/>
  <c r="AC106" i="2"/>
  <c r="AD106" i="2"/>
  <c r="AE106" i="2"/>
  <c r="AF106" i="2"/>
  <c r="AG106" i="2"/>
  <c r="AH106" i="2"/>
  <c r="A107" i="2"/>
  <c r="B107" i="2"/>
  <c r="C107" i="2"/>
  <c r="D107" i="2"/>
  <c r="E107" i="2"/>
  <c r="F107" i="2"/>
  <c r="G107" i="2"/>
  <c r="H107" i="2"/>
  <c r="I107" i="2"/>
  <c r="J107" i="2"/>
  <c r="K107" i="2"/>
  <c r="L107" i="2"/>
  <c r="M107" i="2"/>
  <c r="O107" i="2"/>
  <c r="P107" i="2"/>
  <c r="R107" i="2"/>
  <c r="U107" i="2"/>
  <c r="V107" i="2"/>
  <c r="W107" i="2"/>
  <c r="X107" i="2"/>
  <c r="AC107" i="2"/>
  <c r="AD107" i="2"/>
  <c r="AE107" i="2"/>
  <c r="AF107" i="2"/>
  <c r="AG107" i="2"/>
  <c r="AH107" i="2"/>
  <c r="A108" i="2"/>
  <c r="B108" i="2"/>
  <c r="C108" i="2"/>
  <c r="D108" i="2"/>
  <c r="E108" i="2"/>
  <c r="F108" i="2"/>
  <c r="G108" i="2"/>
  <c r="H108" i="2"/>
  <c r="I108" i="2"/>
  <c r="J108" i="2"/>
  <c r="K108" i="2"/>
  <c r="L108" i="2"/>
  <c r="M108" i="2"/>
  <c r="O108" i="2"/>
  <c r="P108" i="2"/>
  <c r="R108" i="2"/>
  <c r="U108" i="2"/>
  <c r="V108" i="2"/>
  <c r="W108" i="2"/>
  <c r="X108" i="2"/>
  <c r="AC108" i="2"/>
  <c r="AD108" i="2"/>
  <c r="AE108" i="2"/>
  <c r="AF108" i="2"/>
  <c r="AG108" i="2"/>
  <c r="AH108" i="2"/>
  <c r="A109" i="2"/>
  <c r="B109" i="2"/>
  <c r="C109" i="2"/>
  <c r="D109" i="2"/>
  <c r="E109" i="2"/>
  <c r="F109" i="2"/>
  <c r="G109" i="2"/>
  <c r="H109" i="2"/>
  <c r="I109" i="2"/>
  <c r="J109" i="2"/>
  <c r="K109" i="2"/>
  <c r="L109" i="2"/>
  <c r="M109" i="2"/>
  <c r="O109" i="2"/>
  <c r="P109" i="2"/>
  <c r="R109" i="2"/>
  <c r="U109" i="2"/>
  <c r="V109" i="2"/>
  <c r="W109" i="2"/>
  <c r="X109" i="2"/>
  <c r="AC109" i="2"/>
  <c r="AD109" i="2"/>
  <c r="AE109" i="2"/>
  <c r="AF109" i="2"/>
  <c r="AG109" i="2"/>
  <c r="AH109" i="2"/>
  <c r="A110" i="2"/>
  <c r="B110" i="2"/>
  <c r="C110" i="2"/>
  <c r="D110" i="2"/>
  <c r="E110" i="2"/>
  <c r="F110" i="2"/>
  <c r="G110" i="2"/>
  <c r="H110" i="2"/>
  <c r="I110" i="2"/>
  <c r="J110" i="2"/>
  <c r="K110" i="2"/>
  <c r="L110" i="2"/>
  <c r="M110" i="2"/>
  <c r="O110" i="2"/>
  <c r="P110" i="2"/>
  <c r="R110" i="2"/>
  <c r="U110" i="2"/>
  <c r="V110" i="2"/>
  <c r="W110" i="2"/>
  <c r="X110" i="2"/>
  <c r="AC110" i="2"/>
  <c r="AD110" i="2"/>
  <c r="AE110" i="2"/>
  <c r="AF110" i="2"/>
  <c r="AG110" i="2"/>
  <c r="AH110" i="2"/>
  <c r="A111" i="2"/>
  <c r="B111" i="2"/>
  <c r="C111" i="2"/>
  <c r="D111" i="2"/>
  <c r="E111" i="2"/>
  <c r="F111" i="2"/>
  <c r="G111" i="2"/>
  <c r="H111" i="2"/>
  <c r="I111" i="2"/>
  <c r="J111" i="2"/>
  <c r="K111" i="2"/>
  <c r="L111" i="2"/>
  <c r="M111" i="2"/>
  <c r="O111" i="2"/>
  <c r="P111" i="2"/>
  <c r="R111" i="2"/>
  <c r="U111" i="2"/>
  <c r="V111" i="2"/>
  <c r="W111" i="2"/>
  <c r="X111" i="2"/>
  <c r="AC111" i="2"/>
  <c r="AD111" i="2"/>
  <c r="AE111" i="2"/>
  <c r="AF111" i="2"/>
  <c r="AG111" i="2"/>
  <c r="AH111" i="2"/>
  <c r="A112" i="2"/>
  <c r="B112" i="2"/>
  <c r="C112" i="2"/>
  <c r="D112" i="2"/>
  <c r="E112" i="2"/>
  <c r="F112" i="2"/>
  <c r="G112" i="2"/>
  <c r="H112" i="2"/>
  <c r="I112" i="2"/>
  <c r="J112" i="2"/>
  <c r="K112" i="2"/>
  <c r="L112" i="2"/>
  <c r="M112" i="2"/>
  <c r="O112" i="2"/>
  <c r="P112" i="2"/>
  <c r="R112" i="2"/>
  <c r="U112" i="2"/>
  <c r="V112" i="2"/>
  <c r="W112" i="2"/>
  <c r="X112" i="2"/>
  <c r="AC112" i="2"/>
  <c r="AD112" i="2"/>
  <c r="AE112" i="2"/>
  <c r="AF112" i="2"/>
  <c r="AG112" i="2"/>
  <c r="AH112" i="2"/>
  <c r="A113" i="2"/>
  <c r="B113" i="2"/>
  <c r="C113" i="2"/>
  <c r="D113" i="2"/>
  <c r="E113" i="2"/>
  <c r="F113" i="2"/>
  <c r="G113" i="2"/>
  <c r="H113" i="2"/>
  <c r="I113" i="2"/>
  <c r="J113" i="2"/>
  <c r="K113" i="2"/>
  <c r="L113" i="2"/>
  <c r="M113" i="2"/>
  <c r="O113" i="2"/>
  <c r="P113" i="2"/>
  <c r="R113" i="2"/>
  <c r="U113" i="2"/>
  <c r="V113" i="2"/>
  <c r="W113" i="2"/>
  <c r="X113" i="2"/>
  <c r="AC113" i="2"/>
  <c r="AD113" i="2"/>
  <c r="AE113" i="2"/>
  <c r="AF113" i="2"/>
  <c r="AG113" i="2"/>
  <c r="AH113" i="2"/>
  <c r="A114" i="2"/>
  <c r="B114" i="2"/>
  <c r="C114" i="2"/>
  <c r="D114" i="2"/>
  <c r="E114" i="2"/>
  <c r="F114" i="2"/>
  <c r="G114" i="2"/>
  <c r="H114" i="2"/>
  <c r="I114" i="2"/>
  <c r="J114" i="2"/>
  <c r="K114" i="2"/>
  <c r="L114" i="2"/>
  <c r="M114" i="2"/>
  <c r="O114" i="2"/>
  <c r="P114" i="2"/>
  <c r="R114" i="2"/>
  <c r="U114" i="2"/>
  <c r="V114" i="2"/>
  <c r="W114" i="2"/>
  <c r="X114" i="2"/>
  <c r="AC114" i="2"/>
  <c r="AD114" i="2"/>
  <c r="AE114" i="2"/>
  <c r="AF114" i="2"/>
  <c r="AG114" i="2"/>
  <c r="AH114" i="2"/>
  <c r="A115" i="2"/>
  <c r="B115" i="2"/>
  <c r="C115" i="2"/>
  <c r="D115" i="2"/>
  <c r="E115" i="2"/>
  <c r="F115" i="2"/>
  <c r="G115" i="2"/>
  <c r="H115" i="2"/>
  <c r="I115" i="2"/>
  <c r="J115" i="2"/>
  <c r="K115" i="2"/>
  <c r="L115" i="2"/>
  <c r="M115" i="2"/>
  <c r="O115" i="2"/>
  <c r="P115" i="2"/>
  <c r="R115" i="2"/>
  <c r="U115" i="2"/>
  <c r="V115" i="2"/>
  <c r="W115" i="2"/>
  <c r="X115" i="2"/>
  <c r="AC115" i="2"/>
  <c r="AD115" i="2"/>
  <c r="AE115" i="2"/>
  <c r="AF115" i="2"/>
  <c r="AG115" i="2"/>
  <c r="AH115" i="2"/>
  <c r="A116" i="2"/>
  <c r="B116" i="2"/>
  <c r="C116" i="2"/>
  <c r="D116" i="2"/>
  <c r="E116" i="2"/>
  <c r="F116" i="2"/>
  <c r="G116" i="2"/>
  <c r="H116" i="2"/>
  <c r="I116" i="2"/>
  <c r="J116" i="2"/>
  <c r="K116" i="2"/>
  <c r="L116" i="2"/>
  <c r="M116" i="2"/>
  <c r="O116" i="2"/>
  <c r="P116" i="2"/>
  <c r="R116" i="2"/>
  <c r="U116" i="2"/>
  <c r="V116" i="2"/>
  <c r="W116" i="2"/>
  <c r="X116" i="2"/>
  <c r="AC116" i="2"/>
  <c r="AD116" i="2"/>
  <c r="AE116" i="2"/>
  <c r="AF116" i="2"/>
  <c r="AG116" i="2"/>
  <c r="AH116" i="2"/>
  <c r="A117" i="2"/>
  <c r="B117" i="2"/>
  <c r="C117" i="2"/>
  <c r="D117" i="2"/>
  <c r="E117" i="2"/>
  <c r="F117" i="2"/>
  <c r="G117" i="2"/>
  <c r="H117" i="2"/>
  <c r="I117" i="2"/>
  <c r="J117" i="2"/>
  <c r="K117" i="2"/>
  <c r="L117" i="2"/>
  <c r="M117" i="2"/>
  <c r="O117" i="2"/>
  <c r="P117" i="2"/>
  <c r="R117" i="2"/>
  <c r="U117" i="2"/>
  <c r="V117" i="2"/>
  <c r="W117" i="2"/>
  <c r="X117" i="2"/>
  <c r="AC117" i="2"/>
  <c r="AD117" i="2"/>
  <c r="AE117" i="2"/>
  <c r="AF117" i="2"/>
  <c r="AG117" i="2"/>
  <c r="AH117" i="2"/>
  <c r="A118" i="2"/>
  <c r="B118" i="2"/>
  <c r="C118" i="2"/>
  <c r="D118" i="2"/>
  <c r="E118" i="2"/>
  <c r="F118" i="2"/>
  <c r="G118" i="2"/>
  <c r="H118" i="2"/>
  <c r="I118" i="2"/>
  <c r="J118" i="2"/>
  <c r="K118" i="2"/>
  <c r="L118" i="2"/>
  <c r="M118" i="2"/>
  <c r="O118" i="2"/>
  <c r="P118" i="2"/>
  <c r="R118" i="2"/>
  <c r="U118" i="2"/>
  <c r="V118" i="2"/>
  <c r="W118" i="2"/>
  <c r="X118" i="2"/>
  <c r="AC118" i="2"/>
  <c r="AD118" i="2"/>
  <c r="AE118" i="2"/>
  <c r="AF118" i="2"/>
  <c r="AG118" i="2"/>
  <c r="AH118" i="2"/>
  <c r="A119" i="2"/>
  <c r="B119" i="2"/>
  <c r="C119" i="2"/>
  <c r="D119" i="2"/>
  <c r="E119" i="2"/>
  <c r="F119" i="2"/>
  <c r="G119" i="2"/>
  <c r="H119" i="2"/>
  <c r="I119" i="2"/>
  <c r="J119" i="2"/>
  <c r="K119" i="2"/>
  <c r="L119" i="2"/>
  <c r="M119" i="2"/>
  <c r="O119" i="2"/>
  <c r="P119" i="2"/>
  <c r="R119" i="2"/>
  <c r="U119" i="2"/>
  <c r="V119" i="2"/>
  <c r="W119" i="2"/>
  <c r="X119" i="2"/>
  <c r="AC119" i="2"/>
  <c r="AD119" i="2"/>
  <c r="AE119" i="2"/>
  <c r="AF119" i="2"/>
  <c r="AG119" i="2"/>
  <c r="AH119" i="2"/>
  <c r="A120" i="2"/>
  <c r="B120" i="2"/>
  <c r="C120" i="2"/>
  <c r="D120" i="2"/>
  <c r="E120" i="2"/>
  <c r="F120" i="2"/>
  <c r="G120" i="2"/>
  <c r="H120" i="2"/>
  <c r="I120" i="2"/>
  <c r="J120" i="2"/>
  <c r="K120" i="2"/>
  <c r="L120" i="2"/>
  <c r="M120" i="2"/>
  <c r="O120" i="2"/>
  <c r="P120" i="2"/>
  <c r="R120" i="2"/>
  <c r="U120" i="2"/>
  <c r="V120" i="2"/>
  <c r="W120" i="2"/>
  <c r="X120" i="2"/>
  <c r="AC120" i="2"/>
  <c r="AD120" i="2"/>
  <c r="AE120" i="2"/>
  <c r="AF120" i="2"/>
  <c r="AG120" i="2"/>
  <c r="AH120" i="2"/>
  <c r="A121" i="2"/>
  <c r="B121" i="2"/>
  <c r="C121" i="2"/>
  <c r="D121" i="2"/>
  <c r="E121" i="2"/>
  <c r="F121" i="2"/>
  <c r="G121" i="2"/>
  <c r="H121" i="2"/>
  <c r="I121" i="2"/>
  <c r="J121" i="2"/>
  <c r="K121" i="2"/>
  <c r="L121" i="2"/>
  <c r="M121" i="2"/>
  <c r="O121" i="2"/>
  <c r="P121" i="2"/>
  <c r="R121" i="2"/>
  <c r="U121" i="2"/>
  <c r="V121" i="2"/>
  <c r="W121" i="2"/>
  <c r="X121" i="2"/>
  <c r="AC121" i="2"/>
  <c r="AD121" i="2"/>
  <c r="AE121" i="2"/>
  <c r="AF121" i="2"/>
  <c r="AG121" i="2"/>
  <c r="AH121" i="2"/>
  <c r="A122" i="2"/>
  <c r="B122" i="2"/>
  <c r="C122" i="2"/>
  <c r="D122" i="2"/>
  <c r="E122" i="2"/>
  <c r="F122" i="2"/>
  <c r="G122" i="2"/>
  <c r="H122" i="2"/>
  <c r="I122" i="2"/>
  <c r="J122" i="2"/>
  <c r="K122" i="2"/>
  <c r="L122" i="2"/>
  <c r="M122" i="2"/>
  <c r="N122" i="2"/>
  <c r="O122" i="2"/>
  <c r="P122" i="2"/>
  <c r="Q122" i="2"/>
  <c r="R122" i="2"/>
  <c r="S122" i="2"/>
  <c r="T122" i="2"/>
  <c r="U122" i="2"/>
  <c r="V122" i="2"/>
  <c r="W122" i="2"/>
  <c r="X122" i="2"/>
  <c r="Y122" i="2"/>
  <c r="Z122" i="2"/>
  <c r="AA122" i="2"/>
  <c r="AB122" i="2"/>
  <c r="AC122" i="2"/>
  <c r="AD122" i="2"/>
  <c r="AE122" i="2"/>
  <c r="AF122" i="2"/>
  <c r="AG122" i="2"/>
  <c r="AH122" i="2"/>
  <c r="A123" i="2"/>
  <c r="B123" i="2"/>
  <c r="C123" i="2"/>
  <c r="D123" i="2"/>
  <c r="E123" i="2"/>
  <c r="F123" i="2"/>
  <c r="G123" i="2"/>
  <c r="H123" i="2"/>
  <c r="I123" i="2"/>
  <c r="J123" i="2"/>
  <c r="K123" i="2"/>
  <c r="L123" i="2"/>
  <c r="M123" i="2"/>
  <c r="O123" i="2"/>
  <c r="P123" i="2"/>
  <c r="R123" i="2"/>
  <c r="U123" i="2"/>
  <c r="V123" i="2"/>
  <c r="W123" i="2"/>
  <c r="X123" i="2"/>
  <c r="AC123" i="2"/>
  <c r="AD123" i="2"/>
  <c r="AE123" i="2"/>
  <c r="AF123" i="2"/>
  <c r="AG123" i="2"/>
  <c r="AH123" i="2"/>
  <c r="A124" i="2"/>
  <c r="B124" i="2"/>
  <c r="C124" i="2"/>
  <c r="D124" i="2"/>
  <c r="E124" i="2"/>
  <c r="F124" i="2"/>
  <c r="G124" i="2"/>
  <c r="H124" i="2"/>
  <c r="I124" i="2"/>
  <c r="J124" i="2"/>
  <c r="K124" i="2"/>
  <c r="L124" i="2"/>
  <c r="M124" i="2"/>
  <c r="O124" i="2"/>
  <c r="P124" i="2"/>
  <c r="R124" i="2"/>
  <c r="U124" i="2"/>
  <c r="V124" i="2"/>
  <c r="W124" i="2"/>
  <c r="X124" i="2"/>
  <c r="AC124" i="2"/>
  <c r="AD124" i="2"/>
  <c r="AE124" i="2"/>
  <c r="AF124" i="2"/>
  <c r="AG124" i="2"/>
  <c r="AH124" i="2"/>
  <c r="A125" i="2"/>
  <c r="B125" i="2"/>
  <c r="C125" i="2"/>
  <c r="D125" i="2"/>
  <c r="E125" i="2"/>
  <c r="F125" i="2"/>
  <c r="G125" i="2"/>
  <c r="H125" i="2"/>
  <c r="I125" i="2"/>
  <c r="J125" i="2"/>
  <c r="K125" i="2"/>
  <c r="L125" i="2"/>
  <c r="M125" i="2"/>
  <c r="O125" i="2"/>
  <c r="P125" i="2"/>
  <c r="R125" i="2"/>
  <c r="U125" i="2"/>
  <c r="V125" i="2"/>
  <c r="W125" i="2"/>
  <c r="X125" i="2"/>
  <c r="AC125" i="2"/>
  <c r="AD125" i="2"/>
  <c r="AE125" i="2"/>
  <c r="AF125" i="2"/>
  <c r="AG125" i="2"/>
  <c r="AH125" i="2"/>
  <c r="A126" i="2"/>
  <c r="B126" i="2"/>
  <c r="C126" i="2"/>
  <c r="D126" i="2"/>
  <c r="E126" i="2"/>
  <c r="F126" i="2"/>
  <c r="G126" i="2"/>
  <c r="H126" i="2"/>
  <c r="I126" i="2"/>
  <c r="J126" i="2"/>
  <c r="K126" i="2"/>
  <c r="L126" i="2"/>
  <c r="M126" i="2"/>
  <c r="O126" i="2"/>
  <c r="P126" i="2"/>
  <c r="R126" i="2"/>
  <c r="U126" i="2"/>
  <c r="V126" i="2"/>
  <c r="W126" i="2"/>
  <c r="X126" i="2"/>
  <c r="AC126" i="2"/>
  <c r="AD126" i="2"/>
  <c r="AE126" i="2"/>
  <c r="AF126" i="2"/>
  <c r="AG126" i="2"/>
  <c r="AH126" i="2"/>
  <c r="A127" i="2"/>
  <c r="B127" i="2"/>
  <c r="C127" i="2"/>
  <c r="D127" i="2"/>
  <c r="E127" i="2"/>
  <c r="F127" i="2"/>
  <c r="G127" i="2"/>
  <c r="H127" i="2"/>
  <c r="I127" i="2"/>
  <c r="J127" i="2"/>
  <c r="K127" i="2"/>
  <c r="L127" i="2"/>
  <c r="M127" i="2"/>
  <c r="O127" i="2"/>
  <c r="P127" i="2"/>
  <c r="R127" i="2"/>
  <c r="U127" i="2"/>
  <c r="V127" i="2"/>
  <c r="W127" i="2"/>
  <c r="X127" i="2"/>
  <c r="AC127" i="2"/>
  <c r="AD127" i="2"/>
  <c r="AE127" i="2"/>
  <c r="AF127" i="2"/>
  <c r="AG127" i="2"/>
  <c r="AH127" i="2"/>
  <c r="A128" i="2"/>
  <c r="B128" i="2"/>
  <c r="C128" i="2"/>
  <c r="D128" i="2"/>
  <c r="E128" i="2"/>
  <c r="F128" i="2"/>
  <c r="G128" i="2"/>
  <c r="H128" i="2"/>
  <c r="I128" i="2"/>
  <c r="J128" i="2"/>
  <c r="K128" i="2"/>
  <c r="L128" i="2"/>
  <c r="M128" i="2"/>
  <c r="O128" i="2"/>
  <c r="P128" i="2"/>
  <c r="R128" i="2"/>
  <c r="U128" i="2"/>
  <c r="V128" i="2"/>
  <c r="W128" i="2"/>
  <c r="X128" i="2"/>
  <c r="AC128" i="2"/>
  <c r="AD128" i="2"/>
  <c r="AE128" i="2"/>
  <c r="AF128" i="2"/>
  <c r="AG128" i="2"/>
  <c r="AH128" i="2"/>
  <c r="A129" i="2"/>
  <c r="B129" i="2"/>
  <c r="C129" i="2"/>
  <c r="D129" i="2"/>
  <c r="E129" i="2"/>
  <c r="F129" i="2"/>
  <c r="G129" i="2"/>
  <c r="H129" i="2"/>
  <c r="I129" i="2"/>
  <c r="J129" i="2"/>
  <c r="K129" i="2"/>
  <c r="L129" i="2"/>
  <c r="M129" i="2"/>
  <c r="O129" i="2"/>
  <c r="P129" i="2"/>
  <c r="R129" i="2"/>
  <c r="U129" i="2"/>
  <c r="V129" i="2"/>
  <c r="W129" i="2"/>
  <c r="X129" i="2"/>
  <c r="AC129" i="2"/>
  <c r="AD129" i="2"/>
  <c r="AE129" i="2"/>
  <c r="AF129" i="2"/>
  <c r="AG129" i="2"/>
  <c r="AH129" i="2"/>
  <c r="A130" i="2"/>
  <c r="B130" i="2"/>
  <c r="C130" i="2"/>
  <c r="D130" i="2"/>
  <c r="E130" i="2"/>
  <c r="F130" i="2"/>
  <c r="G130" i="2"/>
  <c r="H130" i="2"/>
  <c r="I130" i="2"/>
  <c r="J130" i="2"/>
  <c r="K130" i="2"/>
  <c r="L130" i="2"/>
  <c r="M130" i="2"/>
  <c r="O130" i="2"/>
  <c r="P130" i="2"/>
  <c r="R130" i="2"/>
  <c r="U130" i="2"/>
  <c r="V130" i="2"/>
  <c r="W130" i="2"/>
  <c r="X130" i="2"/>
  <c r="AC130" i="2"/>
  <c r="AD130" i="2"/>
  <c r="AE130" i="2"/>
  <c r="AF130" i="2"/>
  <c r="AG130" i="2"/>
  <c r="AH130" i="2"/>
  <c r="A131" i="2"/>
  <c r="B131" i="2"/>
  <c r="C131" i="2"/>
  <c r="D131" i="2"/>
  <c r="E131" i="2"/>
  <c r="F131" i="2"/>
  <c r="G131" i="2"/>
  <c r="H131" i="2"/>
  <c r="I131" i="2"/>
  <c r="J131" i="2"/>
  <c r="K131" i="2"/>
  <c r="L131" i="2"/>
  <c r="M131" i="2"/>
  <c r="O131" i="2"/>
  <c r="P131" i="2"/>
  <c r="R131" i="2"/>
  <c r="U131" i="2"/>
  <c r="V131" i="2"/>
  <c r="W131" i="2"/>
  <c r="X131" i="2"/>
  <c r="AC131" i="2"/>
  <c r="AD131" i="2"/>
  <c r="AE131" i="2"/>
  <c r="AF131" i="2"/>
  <c r="AG131" i="2"/>
  <c r="AH131" i="2"/>
  <c r="A132" i="2"/>
  <c r="B132" i="2"/>
  <c r="C132" i="2"/>
  <c r="D132" i="2"/>
  <c r="E132" i="2"/>
  <c r="F132" i="2"/>
  <c r="G132" i="2"/>
  <c r="H132" i="2"/>
  <c r="I132" i="2"/>
  <c r="J132" i="2"/>
  <c r="K132" i="2"/>
  <c r="L132" i="2"/>
  <c r="M132" i="2"/>
  <c r="O132" i="2"/>
  <c r="P132" i="2"/>
  <c r="R132" i="2"/>
  <c r="U132" i="2"/>
  <c r="V132" i="2"/>
  <c r="W132" i="2"/>
  <c r="X132" i="2"/>
  <c r="AC132" i="2"/>
  <c r="AD132" i="2"/>
  <c r="AE132" i="2"/>
  <c r="AF132" i="2"/>
  <c r="AG132" i="2"/>
  <c r="AH132" i="2"/>
  <c r="A133" i="2"/>
  <c r="B133" i="2"/>
  <c r="C133" i="2"/>
  <c r="D133" i="2"/>
  <c r="E133" i="2"/>
  <c r="F133" i="2"/>
  <c r="G133" i="2"/>
  <c r="H133" i="2"/>
  <c r="I133" i="2"/>
  <c r="J133" i="2"/>
  <c r="K133" i="2"/>
  <c r="L133" i="2"/>
  <c r="M133" i="2"/>
  <c r="O133" i="2"/>
  <c r="P133" i="2"/>
  <c r="R133" i="2"/>
  <c r="U133" i="2"/>
  <c r="V133" i="2"/>
  <c r="W133" i="2"/>
  <c r="X133" i="2"/>
  <c r="AC133" i="2"/>
  <c r="AD133" i="2"/>
  <c r="AE133" i="2"/>
  <c r="AF133" i="2"/>
  <c r="AG133" i="2"/>
  <c r="AH133" i="2"/>
  <c r="A134" i="2"/>
  <c r="B134" i="2"/>
  <c r="C134" i="2"/>
  <c r="D134" i="2"/>
  <c r="E134" i="2"/>
  <c r="F134" i="2"/>
  <c r="G134" i="2"/>
  <c r="H134" i="2"/>
  <c r="I134" i="2"/>
  <c r="J134" i="2"/>
  <c r="K134" i="2"/>
  <c r="L134" i="2"/>
  <c r="M134" i="2"/>
  <c r="O134" i="2"/>
  <c r="P134" i="2"/>
  <c r="R134" i="2"/>
  <c r="U134" i="2"/>
  <c r="V134" i="2"/>
  <c r="W134" i="2"/>
  <c r="X134" i="2"/>
  <c r="AC134" i="2"/>
  <c r="AD134" i="2"/>
  <c r="AE134" i="2"/>
  <c r="AF134" i="2"/>
  <c r="AG134" i="2"/>
  <c r="AH134" i="2"/>
  <c r="A135" i="2"/>
  <c r="B135" i="2"/>
  <c r="C135" i="2"/>
  <c r="D135" i="2"/>
  <c r="E135" i="2"/>
  <c r="F135" i="2"/>
  <c r="G135" i="2"/>
  <c r="H135" i="2"/>
  <c r="I135" i="2"/>
  <c r="J135" i="2"/>
  <c r="K135" i="2"/>
  <c r="L135" i="2"/>
  <c r="M135" i="2"/>
  <c r="O135" i="2"/>
  <c r="P135" i="2"/>
  <c r="R135" i="2"/>
  <c r="U135" i="2"/>
  <c r="V135" i="2"/>
  <c r="W135" i="2"/>
  <c r="X135" i="2"/>
  <c r="AC135" i="2"/>
  <c r="AD135" i="2"/>
  <c r="AE135" i="2"/>
  <c r="AF135" i="2"/>
  <c r="AG135" i="2"/>
  <c r="AH135" i="2"/>
  <c r="A136" i="2"/>
  <c r="B136" i="2"/>
  <c r="C136" i="2"/>
  <c r="D136" i="2"/>
  <c r="E136" i="2"/>
  <c r="F136" i="2"/>
  <c r="G136" i="2"/>
  <c r="H136" i="2"/>
  <c r="I136" i="2"/>
  <c r="J136" i="2"/>
  <c r="K136" i="2"/>
  <c r="L136" i="2"/>
  <c r="M136" i="2"/>
  <c r="O136" i="2"/>
  <c r="P136" i="2"/>
  <c r="R136" i="2"/>
  <c r="U136" i="2"/>
  <c r="V136" i="2"/>
  <c r="W136" i="2"/>
  <c r="X136" i="2"/>
  <c r="AC136" i="2"/>
  <c r="AD136" i="2"/>
  <c r="AE136" i="2"/>
  <c r="AF136" i="2"/>
  <c r="AG136" i="2"/>
  <c r="AH136" i="2"/>
  <c r="A137" i="2"/>
  <c r="B137" i="2"/>
  <c r="C137" i="2"/>
  <c r="D137" i="2"/>
  <c r="E137" i="2"/>
  <c r="F137" i="2"/>
  <c r="G137" i="2"/>
  <c r="H137" i="2"/>
  <c r="I137" i="2"/>
  <c r="J137" i="2"/>
  <c r="K137" i="2"/>
  <c r="L137" i="2"/>
  <c r="M137" i="2"/>
  <c r="O137" i="2"/>
  <c r="P137" i="2"/>
  <c r="R137" i="2"/>
  <c r="U137" i="2"/>
  <c r="V137" i="2"/>
  <c r="W137" i="2"/>
  <c r="X137" i="2"/>
  <c r="AC137" i="2"/>
  <c r="AD137" i="2"/>
  <c r="AE137" i="2"/>
  <c r="AF137" i="2"/>
  <c r="AG137" i="2"/>
  <c r="AH137" i="2"/>
  <c r="A138" i="2"/>
  <c r="B138" i="2"/>
  <c r="C138" i="2"/>
  <c r="D138" i="2"/>
  <c r="E138" i="2"/>
  <c r="F138" i="2"/>
  <c r="G138" i="2"/>
  <c r="H138" i="2"/>
  <c r="I138" i="2"/>
  <c r="J138" i="2"/>
  <c r="K138" i="2"/>
  <c r="L138" i="2"/>
  <c r="M138" i="2"/>
  <c r="O138" i="2"/>
  <c r="P138" i="2"/>
  <c r="R138" i="2"/>
  <c r="U138" i="2"/>
  <c r="V138" i="2"/>
  <c r="W138" i="2"/>
  <c r="X138" i="2"/>
  <c r="AC138" i="2"/>
  <c r="AD138" i="2"/>
  <c r="AE138" i="2"/>
  <c r="AF138" i="2"/>
  <c r="AG138" i="2"/>
  <c r="AH138" i="2"/>
  <c r="A139" i="2"/>
  <c r="B139" i="2"/>
  <c r="C139" i="2"/>
  <c r="D139" i="2"/>
  <c r="E139" i="2"/>
  <c r="F139" i="2"/>
  <c r="G139" i="2"/>
  <c r="H139" i="2"/>
  <c r="I139" i="2"/>
  <c r="J139" i="2"/>
  <c r="K139" i="2"/>
  <c r="L139" i="2"/>
  <c r="M139" i="2"/>
  <c r="O139" i="2"/>
  <c r="P139" i="2"/>
  <c r="R139" i="2"/>
  <c r="U139" i="2"/>
  <c r="V139" i="2"/>
  <c r="W139" i="2"/>
  <c r="X139" i="2"/>
  <c r="AC139" i="2"/>
  <c r="AD139" i="2"/>
  <c r="AE139" i="2"/>
  <c r="AF139" i="2"/>
  <c r="AG139" i="2"/>
  <c r="AH139" i="2"/>
  <c r="A140" i="2"/>
  <c r="B140" i="2"/>
  <c r="C140" i="2"/>
  <c r="D140" i="2"/>
  <c r="E140" i="2"/>
  <c r="F140" i="2"/>
  <c r="G140" i="2"/>
  <c r="H140" i="2"/>
  <c r="I140" i="2"/>
  <c r="J140" i="2"/>
  <c r="K140" i="2"/>
  <c r="L140" i="2"/>
  <c r="M140" i="2"/>
  <c r="O140" i="2"/>
  <c r="P140" i="2"/>
  <c r="R140" i="2"/>
  <c r="U140" i="2"/>
  <c r="V140" i="2"/>
  <c r="W140" i="2"/>
  <c r="X140" i="2"/>
  <c r="AC140" i="2"/>
  <c r="AD140" i="2"/>
  <c r="AE140" i="2"/>
  <c r="AF140" i="2"/>
  <c r="AG140" i="2"/>
  <c r="AH140" i="2"/>
  <c r="A141" i="2"/>
  <c r="B141" i="2"/>
  <c r="C141" i="2"/>
  <c r="D141" i="2"/>
  <c r="E141" i="2"/>
  <c r="F141" i="2"/>
  <c r="G141" i="2"/>
  <c r="H141" i="2"/>
  <c r="I141" i="2"/>
  <c r="J141" i="2"/>
  <c r="K141" i="2"/>
  <c r="L141" i="2"/>
  <c r="M141" i="2"/>
  <c r="O141" i="2"/>
  <c r="P141" i="2"/>
  <c r="R141" i="2"/>
  <c r="U141" i="2"/>
  <c r="V141" i="2"/>
  <c r="W141" i="2"/>
  <c r="X141" i="2"/>
  <c r="AC141" i="2"/>
  <c r="AD141" i="2"/>
  <c r="AE141" i="2"/>
  <c r="AF141" i="2"/>
  <c r="AG141" i="2"/>
  <c r="AH141" i="2"/>
  <c r="A142" i="2"/>
  <c r="B142" i="2"/>
  <c r="C142" i="2"/>
  <c r="D142" i="2"/>
  <c r="E142" i="2"/>
  <c r="F142" i="2"/>
  <c r="G142" i="2"/>
  <c r="H142" i="2"/>
  <c r="I142" i="2"/>
  <c r="J142" i="2"/>
  <c r="K142" i="2"/>
  <c r="L142" i="2"/>
  <c r="M142" i="2"/>
  <c r="O142" i="2"/>
  <c r="P142" i="2"/>
  <c r="R142" i="2"/>
  <c r="U142" i="2"/>
  <c r="V142" i="2"/>
  <c r="W142" i="2"/>
  <c r="X142" i="2"/>
  <c r="AC142" i="2"/>
  <c r="AD142" i="2"/>
  <c r="AE142" i="2"/>
  <c r="AF142" i="2"/>
  <c r="AG142" i="2"/>
  <c r="AH142" i="2"/>
  <c r="A143" i="2"/>
  <c r="B143" i="2"/>
  <c r="C143" i="2"/>
  <c r="D143" i="2"/>
  <c r="E143" i="2"/>
  <c r="F143" i="2"/>
  <c r="G143" i="2"/>
  <c r="H143" i="2"/>
  <c r="I143" i="2"/>
  <c r="J143" i="2"/>
  <c r="K143" i="2"/>
  <c r="L143" i="2"/>
  <c r="M143" i="2"/>
  <c r="O143" i="2"/>
  <c r="P143" i="2"/>
  <c r="R143" i="2"/>
  <c r="U143" i="2"/>
  <c r="V143" i="2"/>
  <c r="W143" i="2"/>
  <c r="X143" i="2"/>
  <c r="AC143" i="2"/>
  <c r="AD143" i="2"/>
  <c r="AE143" i="2"/>
  <c r="AF143" i="2"/>
  <c r="AG143" i="2"/>
  <c r="AH143" i="2"/>
  <c r="A144" i="2"/>
  <c r="B144" i="2"/>
  <c r="C144" i="2"/>
  <c r="D144" i="2"/>
  <c r="E144" i="2"/>
  <c r="F144" i="2"/>
  <c r="G144" i="2"/>
  <c r="H144" i="2"/>
  <c r="I144" i="2"/>
  <c r="J144" i="2"/>
  <c r="K144" i="2"/>
  <c r="L144" i="2"/>
  <c r="M144" i="2"/>
  <c r="O144" i="2"/>
  <c r="P144" i="2"/>
  <c r="R144" i="2"/>
  <c r="U144" i="2"/>
  <c r="V144" i="2"/>
  <c r="W144" i="2"/>
  <c r="X144" i="2"/>
  <c r="AC144" i="2"/>
  <c r="AD144" i="2"/>
  <c r="AE144" i="2"/>
  <c r="AF144" i="2"/>
  <c r="AG144" i="2"/>
  <c r="AH144" i="2"/>
  <c r="A145" i="2"/>
  <c r="B145" i="2"/>
  <c r="C145" i="2"/>
  <c r="D145" i="2"/>
  <c r="E145" i="2"/>
  <c r="F145" i="2"/>
  <c r="G145" i="2"/>
  <c r="H145" i="2"/>
  <c r="I145" i="2"/>
  <c r="J145" i="2"/>
  <c r="K145" i="2"/>
  <c r="L145" i="2"/>
  <c r="M145" i="2"/>
  <c r="O145" i="2"/>
  <c r="P145" i="2"/>
  <c r="R145" i="2"/>
  <c r="U145" i="2"/>
  <c r="V145" i="2"/>
  <c r="W145" i="2"/>
  <c r="X145" i="2"/>
  <c r="AC145" i="2"/>
  <c r="AD145" i="2"/>
  <c r="AE145" i="2"/>
  <c r="AF145" i="2"/>
  <c r="AG145" i="2"/>
  <c r="AH145" i="2"/>
  <c r="A146" i="2"/>
  <c r="B146" i="2"/>
  <c r="C146" i="2"/>
  <c r="D146" i="2"/>
  <c r="E146" i="2"/>
  <c r="F146" i="2"/>
  <c r="G146" i="2"/>
  <c r="H146" i="2"/>
  <c r="I146" i="2"/>
  <c r="J146" i="2"/>
  <c r="K146" i="2"/>
  <c r="L146" i="2"/>
  <c r="M146" i="2"/>
  <c r="N146" i="2"/>
  <c r="O146" i="2"/>
  <c r="P146" i="2"/>
  <c r="Q146" i="2"/>
  <c r="R146" i="2"/>
  <c r="V146" i="2"/>
  <c r="W146" i="2"/>
  <c r="X146" i="2"/>
  <c r="AC146" i="2"/>
  <c r="AD146" i="2"/>
  <c r="AE146" i="2"/>
  <c r="AF146" i="2"/>
  <c r="AG146" i="2"/>
  <c r="AH146" i="2"/>
  <c r="A147" i="2"/>
  <c r="B147" i="2"/>
  <c r="C147" i="2"/>
  <c r="D147" i="2"/>
  <c r="E147" i="2"/>
  <c r="F147" i="2"/>
  <c r="G147" i="2"/>
  <c r="H147" i="2"/>
  <c r="I147" i="2"/>
  <c r="J147" i="2"/>
  <c r="K147" i="2"/>
  <c r="L147" i="2"/>
  <c r="M147" i="2"/>
  <c r="N147" i="2"/>
  <c r="O147" i="2"/>
  <c r="P147" i="2"/>
  <c r="Q147" i="2"/>
  <c r="R147" i="2"/>
  <c r="V147" i="2"/>
  <c r="W147" i="2"/>
  <c r="X147" i="2"/>
  <c r="AC147" i="2"/>
  <c r="AD147" i="2"/>
  <c r="AE147" i="2"/>
  <c r="AF147" i="2"/>
  <c r="AG147" i="2"/>
  <c r="AH147" i="2"/>
  <c r="A148" i="2"/>
  <c r="B148" i="2"/>
  <c r="C148" i="2"/>
  <c r="D148" i="2"/>
  <c r="E148" i="2"/>
  <c r="F148" i="2"/>
  <c r="G148" i="2"/>
  <c r="H148" i="2"/>
  <c r="I148" i="2"/>
  <c r="J148" i="2"/>
  <c r="K148" i="2"/>
  <c r="L148" i="2"/>
  <c r="M148" i="2"/>
  <c r="N148" i="2"/>
  <c r="O148" i="2"/>
  <c r="P148" i="2"/>
  <c r="Q148" i="2"/>
  <c r="R148" i="2"/>
  <c r="V148" i="2"/>
  <c r="W148" i="2"/>
  <c r="X148" i="2"/>
  <c r="AC148" i="2"/>
  <c r="AD148" i="2"/>
  <c r="AE148" i="2"/>
  <c r="AF148" i="2"/>
  <c r="AG148" i="2"/>
  <c r="AH148" i="2"/>
  <c r="A149" i="2"/>
  <c r="B149" i="2"/>
  <c r="C149" i="2"/>
  <c r="D149" i="2"/>
  <c r="E149" i="2"/>
  <c r="F149" i="2"/>
  <c r="G149" i="2"/>
  <c r="H149" i="2"/>
  <c r="I149" i="2"/>
  <c r="J149" i="2"/>
  <c r="K149" i="2"/>
  <c r="L149" i="2"/>
  <c r="M149" i="2"/>
  <c r="N149" i="2"/>
  <c r="O149" i="2"/>
  <c r="P149" i="2"/>
  <c r="Q149" i="2"/>
  <c r="R149" i="2"/>
  <c r="V149" i="2"/>
  <c r="W149" i="2"/>
  <c r="X149" i="2"/>
  <c r="AC149" i="2"/>
  <c r="AD149" i="2"/>
  <c r="AE149" i="2"/>
  <c r="AF149" i="2"/>
  <c r="AG149" i="2"/>
  <c r="AH149" i="2"/>
  <c r="A150" i="2"/>
  <c r="B150" i="2"/>
  <c r="C150" i="2"/>
  <c r="D150" i="2"/>
  <c r="E150" i="2"/>
  <c r="F150" i="2"/>
  <c r="G150" i="2"/>
  <c r="H150" i="2"/>
  <c r="I150" i="2"/>
  <c r="J150" i="2"/>
  <c r="K150" i="2"/>
  <c r="L150" i="2"/>
  <c r="M150" i="2"/>
  <c r="N150" i="2"/>
  <c r="O150" i="2"/>
  <c r="P150" i="2"/>
  <c r="Q150" i="2"/>
  <c r="R150" i="2"/>
  <c r="V150" i="2"/>
  <c r="W150" i="2"/>
  <c r="X150" i="2"/>
  <c r="AC150" i="2"/>
  <c r="AD150" i="2"/>
  <c r="AE150" i="2"/>
  <c r="AF150" i="2"/>
  <c r="AG150" i="2"/>
  <c r="AH150" i="2"/>
  <c r="A151" i="2"/>
  <c r="B151" i="2"/>
  <c r="C151" i="2"/>
  <c r="D151" i="2"/>
  <c r="E151" i="2"/>
  <c r="F151" i="2"/>
  <c r="G151" i="2"/>
  <c r="H151" i="2"/>
  <c r="I151" i="2"/>
  <c r="J151" i="2"/>
  <c r="K151" i="2"/>
  <c r="L151" i="2"/>
  <c r="M151" i="2"/>
  <c r="N151" i="2"/>
  <c r="O151" i="2"/>
  <c r="P151" i="2"/>
  <c r="Q151" i="2"/>
  <c r="R151" i="2"/>
  <c r="V151" i="2"/>
  <c r="W151" i="2"/>
  <c r="X151" i="2"/>
  <c r="AC151" i="2"/>
  <c r="AD151" i="2"/>
  <c r="AE151" i="2"/>
  <c r="AF151" i="2"/>
  <c r="AG151" i="2"/>
  <c r="AH151" i="2"/>
  <c r="A152" i="2"/>
  <c r="B152" i="2"/>
  <c r="C152" i="2"/>
  <c r="D152" i="2"/>
  <c r="E152" i="2"/>
  <c r="F152" i="2"/>
  <c r="G152" i="2"/>
  <c r="H152" i="2"/>
  <c r="I152" i="2"/>
  <c r="J152" i="2"/>
  <c r="K152" i="2"/>
  <c r="L152" i="2"/>
  <c r="M152" i="2"/>
  <c r="N152" i="2"/>
  <c r="O152" i="2"/>
  <c r="P152" i="2"/>
  <c r="Q152" i="2"/>
  <c r="R152" i="2"/>
  <c r="V152" i="2"/>
  <c r="W152" i="2"/>
  <c r="X152" i="2"/>
  <c r="AC152" i="2"/>
  <c r="AD152" i="2"/>
  <c r="AE152" i="2"/>
  <c r="AF152" i="2"/>
  <c r="AG152" i="2"/>
  <c r="AH152" i="2"/>
  <c r="A153" i="2"/>
  <c r="B153" i="2"/>
  <c r="C153" i="2"/>
  <c r="D153" i="2"/>
  <c r="E153" i="2"/>
  <c r="F153" i="2"/>
  <c r="G153" i="2"/>
  <c r="H153" i="2"/>
  <c r="I153" i="2"/>
  <c r="J153" i="2"/>
  <c r="K153" i="2"/>
  <c r="L153" i="2"/>
  <c r="M153" i="2"/>
  <c r="N153" i="2"/>
  <c r="O153" i="2"/>
  <c r="P153" i="2"/>
  <c r="Q153" i="2"/>
  <c r="R153" i="2"/>
  <c r="V153" i="2"/>
  <c r="W153" i="2"/>
  <c r="X153" i="2"/>
  <c r="AC153" i="2"/>
  <c r="AD153" i="2"/>
  <c r="AE153" i="2"/>
  <c r="AF153" i="2"/>
  <c r="AG153" i="2"/>
  <c r="AH153" i="2"/>
  <c r="A154" i="2"/>
  <c r="B154" i="2"/>
  <c r="C154" i="2"/>
  <c r="D154" i="2"/>
  <c r="E154" i="2"/>
  <c r="F154" i="2"/>
  <c r="G154" i="2"/>
  <c r="H154" i="2"/>
  <c r="I154" i="2"/>
  <c r="J154" i="2"/>
  <c r="K154" i="2"/>
  <c r="L154" i="2"/>
  <c r="M154" i="2"/>
  <c r="N154" i="2"/>
  <c r="O154" i="2"/>
  <c r="P154" i="2"/>
  <c r="Q154" i="2"/>
  <c r="R154" i="2"/>
  <c r="V154" i="2"/>
  <c r="W154" i="2"/>
  <c r="X154" i="2"/>
  <c r="AC154" i="2"/>
  <c r="AD154" i="2"/>
  <c r="AE154" i="2"/>
  <c r="AF154" i="2"/>
  <c r="AG154" i="2"/>
  <c r="AH154" i="2"/>
  <c r="A155" i="2"/>
  <c r="B155" i="2"/>
  <c r="C155" i="2"/>
  <c r="D155" i="2"/>
  <c r="E155" i="2"/>
  <c r="F155" i="2"/>
  <c r="G155" i="2"/>
  <c r="H155" i="2"/>
  <c r="I155" i="2"/>
  <c r="J155" i="2"/>
  <c r="K155" i="2"/>
  <c r="L155" i="2"/>
  <c r="M155" i="2"/>
  <c r="N155" i="2"/>
  <c r="O155" i="2"/>
  <c r="P155" i="2"/>
  <c r="Q155" i="2"/>
  <c r="R155" i="2"/>
  <c r="V155" i="2"/>
  <c r="W155" i="2"/>
  <c r="X155" i="2"/>
  <c r="AC155" i="2"/>
  <c r="AD155" i="2"/>
  <c r="AE155" i="2"/>
  <c r="AF155" i="2"/>
  <c r="AG155" i="2"/>
  <c r="AH155" i="2"/>
  <c r="A156" i="2"/>
  <c r="B156" i="2"/>
  <c r="C156" i="2"/>
  <c r="D156" i="2"/>
  <c r="E156" i="2"/>
  <c r="F156" i="2"/>
  <c r="G156" i="2"/>
  <c r="H156" i="2"/>
  <c r="I156" i="2"/>
  <c r="J156" i="2"/>
  <c r="K156" i="2"/>
  <c r="L156" i="2"/>
  <c r="M156" i="2"/>
  <c r="N156" i="2"/>
  <c r="O156" i="2"/>
  <c r="P156" i="2"/>
  <c r="Q156" i="2"/>
  <c r="R156" i="2"/>
  <c r="V156" i="2"/>
  <c r="W156" i="2"/>
  <c r="X156" i="2"/>
  <c r="AC156" i="2"/>
  <c r="AD156" i="2"/>
  <c r="AE156" i="2"/>
  <c r="AF156" i="2"/>
  <c r="AG156" i="2"/>
  <c r="AH156" i="2"/>
  <c r="A157" i="2"/>
  <c r="B157" i="2"/>
  <c r="C157" i="2"/>
  <c r="D157" i="2"/>
  <c r="E157" i="2"/>
  <c r="F157" i="2"/>
  <c r="G157" i="2"/>
  <c r="H157" i="2"/>
  <c r="I157" i="2"/>
  <c r="J157" i="2"/>
  <c r="K157" i="2"/>
  <c r="L157" i="2"/>
  <c r="M157" i="2"/>
  <c r="N157" i="2"/>
  <c r="O157" i="2"/>
  <c r="P157" i="2"/>
  <c r="Q157" i="2"/>
  <c r="R157" i="2"/>
  <c r="V157" i="2"/>
  <c r="W157" i="2"/>
  <c r="X157" i="2"/>
  <c r="AC157" i="2"/>
  <c r="AD157" i="2"/>
  <c r="AE157" i="2"/>
  <c r="AF157" i="2"/>
  <c r="AG157" i="2"/>
  <c r="AH157" i="2"/>
  <c r="A158" i="2"/>
  <c r="B158" i="2"/>
  <c r="C158" i="2"/>
  <c r="D158" i="2"/>
  <c r="E158" i="2"/>
  <c r="F158" i="2"/>
  <c r="G158" i="2"/>
  <c r="H158" i="2"/>
  <c r="I158" i="2"/>
  <c r="J158" i="2"/>
  <c r="K158" i="2"/>
  <c r="L158" i="2"/>
  <c r="M158" i="2"/>
  <c r="N158" i="2"/>
  <c r="O158" i="2"/>
  <c r="P158" i="2"/>
  <c r="Q158" i="2"/>
  <c r="R158" i="2"/>
  <c r="V158" i="2"/>
  <c r="W158" i="2"/>
  <c r="X158" i="2"/>
  <c r="AC158" i="2"/>
  <c r="AD158" i="2"/>
  <c r="AE158" i="2"/>
  <c r="AF158" i="2"/>
  <c r="AG158" i="2"/>
  <c r="AH158" i="2"/>
  <c r="A159" i="2"/>
  <c r="B159" i="2"/>
  <c r="C159" i="2"/>
  <c r="D159" i="2"/>
  <c r="E159" i="2"/>
  <c r="F159" i="2"/>
  <c r="G159" i="2"/>
  <c r="H159" i="2"/>
  <c r="I159" i="2"/>
  <c r="J159" i="2"/>
  <c r="K159" i="2"/>
  <c r="L159" i="2"/>
  <c r="M159" i="2"/>
  <c r="N159" i="2"/>
  <c r="O159" i="2"/>
  <c r="P159" i="2"/>
  <c r="Q159" i="2"/>
  <c r="R159" i="2"/>
  <c r="V159" i="2"/>
  <c r="W159" i="2"/>
  <c r="X159" i="2"/>
  <c r="AC159" i="2"/>
  <c r="AD159" i="2"/>
  <c r="AE159" i="2"/>
  <c r="AF159" i="2"/>
  <c r="AG159" i="2"/>
  <c r="AH159" i="2"/>
  <c r="A160" i="2"/>
  <c r="B160" i="2"/>
  <c r="C160" i="2"/>
  <c r="D160" i="2"/>
  <c r="E160" i="2"/>
  <c r="F160" i="2"/>
  <c r="G160" i="2"/>
  <c r="H160" i="2"/>
  <c r="I160" i="2"/>
  <c r="J160" i="2"/>
  <c r="K160" i="2"/>
  <c r="L160" i="2"/>
  <c r="M160" i="2"/>
  <c r="N160" i="2"/>
  <c r="O160" i="2"/>
  <c r="P160" i="2"/>
  <c r="Q160" i="2"/>
  <c r="R160" i="2"/>
  <c r="V160" i="2"/>
  <c r="W160" i="2"/>
  <c r="X160" i="2"/>
  <c r="AC160" i="2"/>
  <c r="AD160" i="2"/>
  <c r="AE160" i="2"/>
  <c r="AF160" i="2"/>
  <c r="AG160" i="2"/>
  <c r="AH160" i="2"/>
  <c r="A161" i="2"/>
  <c r="B161" i="2"/>
  <c r="C161" i="2"/>
  <c r="D161" i="2"/>
  <c r="E161" i="2"/>
  <c r="F161" i="2"/>
  <c r="G161" i="2"/>
  <c r="H161" i="2"/>
  <c r="I161" i="2"/>
  <c r="J161" i="2"/>
  <c r="K161" i="2"/>
  <c r="L161" i="2"/>
  <c r="M161" i="2"/>
  <c r="N161" i="2"/>
  <c r="O161" i="2"/>
  <c r="P161" i="2"/>
  <c r="Q161" i="2"/>
  <c r="R161" i="2"/>
  <c r="V161" i="2"/>
  <c r="W161" i="2"/>
  <c r="X161" i="2"/>
  <c r="AC161" i="2"/>
  <c r="AD161" i="2"/>
  <c r="AE161" i="2"/>
  <c r="AF161" i="2"/>
  <c r="AG161" i="2"/>
  <c r="AH161" i="2"/>
  <c r="A162" i="2"/>
  <c r="B162" i="2"/>
  <c r="C162" i="2"/>
  <c r="D162" i="2"/>
  <c r="E162" i="2"/>
  <c r="F162" i="2"/>
  <c r="G162" i="2"/>
  <c r="H162" i="2"/>
  <c r="I162" i="2"/>
  <c r="J162" i="2"/>
  <c r="K162" i="2"/>
  <c r="L162" i="2"/>
  <c r="M162" i="2"/>
  <c r="N162" i="2"/>
  <c r="O162" i="2"/>
  <c r="P162" i="2"/>
  <c r="R162" i="2"/>
  <c r="V162" i="2"/>
  <c r="W162" i="2"/>
  <c r="X162" i="2"/>
  <c r="AC162" i="2"/>
  <c r="AD162" i="2"/>
  <c r="AE162" i="2"/>
  <c r="AF162" i="2"/>
  <c r="AG162" i="2"/>
  <c r="AH162" i="2"/>
  <c r="A163" i="2"/>
  <c r="B163" i="2"/>
  <c r="C163" i="2"/>
  <c r="D163" i="2"/>
  <c r="E163" i="2"/>
  <c r="F163" i="2"/>
  <c r="G163" i="2"/>
  <c r="H163" i="2"/>
  <c r="I163" i="2"/>
  <c r="J163" i="2"/>
  <c r="K163" i="2"/>
  <c r="L163" i="2"/>
  <c r="M163" i="2"/>
  <c r="N163" i="2"/>
  <c r="O163" i="2"/>
  <c r="P163" i="2"/>
  <c r="Q163" i="2"/>
  <c r="R163" i="2"/>
  <c r="V163" i="2"/>
  <c r="W163" i="2"/>
  <c r="X163" i="2"/>
  <c r="AC163" i="2"/>
  <c r="AD163" i="2"/>
  <c r="AE163" i="2"/>
  <c r="AF163" i="2"/>
  <c r="AG163" i="2"/>
  <c r="AH163" i="2"/>
  <c r="A164" i="2"/>
  <c r="B164" i="2"/>
  <c r="C164" i="2"/>
  <c r="D164" i="2"/>
  <c r="E164" i="2"/>
  <c r="F164" i="2"/>
  <c r="G164" i="2"/>
  <c r="H164" i="2"/>
  <c r="I164" i="2"/>
  <c r="J164" i="2"/>
  <c r="K164" i="2"/>
  <c r="L164" i="2"/>
  <c r="M164" i="2"/>
  <c r="N164" i="2"/>
  <c r="O164" i="2"/>
  <c r="P164" i="2"/>
  <c r="Q164" i="2"/>
  <c r="R164" i="2"/>
  <c r="V164" i="2"/>
  <c r="W164" i="2"/>
  <c r="X164" i="2"/>
  <c r="AC164" i="2"/>
  <c r="AD164" i="2"/>
  <c r="AE164" i="2"/>
  <c r="AF164" i="2"/>
  <c r="AG164" i="2"/>
  <c r="AH164" i="2"/>
  <c r="A165" i="2"/>
  <c r="B165" i="2"/>
  <c r="C165" i="2"/>
  <c r="D165" i="2"/>
  <c r="E165" i="2"/>
  <c r="F165" i="2"/>
  <c r="G165" i="2"/>
  <c r="H165" i="2"/>
  <c r="I165" i="2"/>
  <c r="J165" i="2"/>
  <c r="K165" i="2"/>
  <c r="L165" i="2"/>
  <c r="M165" i="2"/>
  <c r="N165" i="2"/>
  <c r="O165" i="2"/>
  <c r="P165" i="2"/>
  <c r="Q165" i="2"/>
  <c r="R165" i="2"/>
  <c r="V165" i="2"/>
  <c r="W165" i="2"/>
  <c r="X165" i="2"/>
  <c r="AC165" i="2"/>
  <c r="AD165" i="2"/>
  <c r="AE165" i="2"/>
  <c r="AF165" i="2"/>
  <c r="AG165" i="2"/>
  <c r="AH165" i="2"/>
  <c r="A166" i="2"/>
  <c r="B166" i="2"/>
  <c r="C166" i="2"/>
  <c r="D166" i="2"/>
  <c r="E166" i="2"/>
  <c r="F166" i="2"/>
  <c r="G166" i="2"/>
  <c r="H166" i="2"/>
  <c r="I166" i="2"/>
  <c r="J166" i="2"/>
  <c r="K166" i="2"/>
  <c r="L166" i="2"/>
  <c r="M166" i="2"/>
  <c r="N166" i="2"/>
  <c r="O166" i="2"/>
  <c r="P166" i="2"/>
  <c r="Q166" i="2"/>
  <c r="R166" i="2"/>
  <c r="V166" i="2"/>
  <c r="W166" i="2"/>
  <c r="X166" i="2"/>
  <c r="AC166" i="2"/>
  <c r="AD166" i="2"/>
  <c r="AE166" i="2"/>
  <c r="AF166" i="2"/>
  <c r="AG166" i="2"/>
  <c r="AH166" i="2"/>
  <c r="A167" i="2"/>
  <c r="B167" i="2"/>
  <c r="C167" i="2"/>
  <c r="D167" i="2"/>
  <c r="E167" i="2"/>
  <c r="F167" i="2"/>
  <c r="G167" i="2"/>
  <c r="H167" i="2"/>
  <c r="I167" i="2"/>
  <c r="J167" i="2"/>
  <c r="K167" i="2"/>
  <c r="L167" i="2"/>
  <c r="M167" i="2"/>
  <c r="N167" i="2"/>
  <c r="O167" i="2"/>
  <c r="P167" i="2"/>
  <c r="Q167" i="2"/>
  <c r="R167" i="2"/>
  <c r="V167" i="2"/>
  <c r="W167" i="2"/>
  <c r="X167" i="2"/>
  <c r="AC167" i="2"/>
  <c r="AD167" i="2"/>
  <c r="AE167" i="2"/>
  <c r="AF167" i="2"/>
  <c r="AG167" i="2"/>
  <c r="AH167" i="2"/>
  <c r="A168" i="2"/>
  <c r="B168" i="2"/>
  <c r="C168" i="2"/>
  <c r="D168" i="2"/>
  <c r="E168" i="2"/>
  <c r="F168" i="2"/>
  <c r="G168" i="2"/>
  <c r="H168" i="2"/>
  <c r="I168" i="2"/>
  <c r="J168" i="2"/>
  <c r="K168" i="2"/>
  <c r="L168" i="2"/>
  <c r="M168" i="2"/>
  <c r="N168" i="2"/>
  <c r="O168" i="2"/>
  <c r="P168" i="2"/>
  <c r="Q168" i="2"/>
  <c r="R168" i="2"/>
  <c r="V168" i="2"/>
  <c r="W168" i="2"/>
  <c r="X168" i="2"/>
  <c r="AC168" i="2"/>
  <c r="AD168" i="2"/>
  <c r="AE168" i="2"/>
  <c r="AF168" i="2"/>
  <c r="AG168" i="2"/>
  <c r="AH168" i="2"/>
  <c r="A169" i="2"/>
  <c r="B169" i="2"/>
  <c r="C169" i="2"/>
  <c r="D169" i="2"/>
  <c r="E169" i="2"/>
  <c r="F169" i="2"/>
  <c r="G169" i="2"/>
  <c r="H169" i="2"/>
  <c r="I169" i="2"/>
  <c r="J169" i="2"/>
  <c r="K169" i="2"/>
  <c r="L169" i="2"/>
  <c r="M169" i="2"/>
  <c r="N169" i="2"/>
  <c r="O169" i="2"/>
  <c r="P169" i="2"/>
  <c r="Q169" i="2"/>
  <c r="R169" i="2"/>
  <c r="V169" i="2"/>
  <c r="W169" i="2"/>
  <c r="X169" i="2"/>
  <c r="AC169" i="2"/>
  <c r="AD169" i="2"/>
  <c r="AE169" i="2"/>
  <c r="AF169" i="2"/>
  <c r="AG169" i="2"/>
  <c r="AH169" i="2"/>
  <c r="A170" i="2"/>
  <c r="B170" i="2"/>
  <c r="C170" i="2"/>
  <c r="D170" i="2"/>
  <c r="E170" i="2"/>
  <c r="F170" i="2"/>
  <c r="G170" i="2"/>
  <c r="H170" i="2"/>
  <c r="I170" i="2"/>
  <c r="J170" i="2"/>
  <c r="K170" i="2"/>
  <c r="L170" i="2"/>
  <c r="M170" i="2"/>
  <c r="N170" i="2"/>
  <c r="O170" i="2"/>
  <c r="P170" i="2"/>
  <c r="Q170" i="2"/>
  <c r="R170" i="2"/>
  <c r="V170" i="2"/>
  <c r="W170" i="2"/>
  <c r="X170" i="2"/>
  <c r="AC170" i="2"/>
  <c r="AD170" i="2"/>
  <c r="AE170" i="2"/>
  <c r="AF170" i="2"/>
  <c r="AG170" i="2"/>
  <c r="AH170" i="2"/>
  <c r="A171" i="2"/>
  <c r="B171" i="2"/>
  <c r="C171" i="2"/>
  <c r="D171" i="2"/>
  <c r="E171" i="2"/>
  <c r="F171" i="2"/>
  <c r="G171" i="2"/>
  <c r="H171" i="2"/>
  <c r="I171" i="2"/>
  <c r="J171" i="2"/>
  <c r="K171" i="2"/>
  <c r="L171" i="2"/>
  <c r="M171" i="2"/>
  <c r="N171" i="2"/>
  <c r="O171" i="2"/>
  <c r="P171" i="2"/>
  <c r="Q171" i="2"/>
  <c r="R171" i="2"/>
  <c r="V171" i="2"/>
  <c r="W171" i="2"/>
  <c r="X171" i="2"/>
  <c r="AC171" i="2"/>
  <c r="AD171" i="2"/>
  <c r="AE171" i="2"/>
  <c r="AF171" i="2"/>
  <c r="AG171" i="2"/>
  <c r="AH171" i="2"/>
  <c r="A172" i="2"/>
  <c r="B172" i="2"/>
  <c r="C172" i="2"/>
  <c r="D172" i="2"/>
  <c r="E172" i="2"/>
  <c r="F172" i="2"/>
  <c r="G172" i="2"/>
  <c r="H172" i="2"/>
  <c r="I172" i="2"/>
  <c r="J172" i="2"/>
  <c r="K172" i="2"/>
  <c r="L172" i="2"/>
  <c r="M172" i="2"/>
  <c r="N172" i="2"/>
  <c r="O172" i="2"/>
  <c r="P172" i="2"/>
  <c r="Q172" i="2"/>
  <c r="R172" i="2"/>
  <c r="V172" i="2"/>
  <c r="W172" i="2"/>
  <c r="X172" i="2"/>
  <c r="AC172" i="2"/>
  <c r="AD172" i="2"/>
  <c r="AE172" i="2"/>
  <c r="AF172" i="2"/>
  <c r="AG172" i="2"/>
  <c r="AH172" i="2"/>
  <c r="A173" i="2"/>
  <c r="B173" i="2"/>
  <c r="C173" i="2"/>
  <c r="D173" i="2"/>
  <c r="E173" i="2"/>
  <c r="F173" i="2"/>
  <c r="G173" i="2"/>
  <c r="H173" i="2"/>
  <c r="I173" i="2"/>
  <c r="J173" i="2"/>
  <c r="K173" i="2"/>
  <c r="L173" i="2"/>
  <c r="M173" i="2"/>
  <c r="N173" i="2"/>
  <c r="O173" i="2"/>
  <c r="P173" i="2"/>
  <c r="Q173" i="2"/>
  <c r="R173" i="2"/>
  <c r="V173" i="2"/>
  <c r="W173" i="2"/>
  <c r="X173" i="2"/>
  <c r="AC173" i="2"/>
  <c r="AD173" i="2"/>
  <c r="AE173" i="2"/>
  <c r="AF173" i="2"/>
  <c r="AG173" i="2"/>
  <c r="AH173" i="2"/>
  <c r="A174" i="2"/>
  <c r="B174" i="2"/>
  <c r="C174" i="2"/>
  <c r="D174" i="2"/>
  <c r="E174" i="2"/>
  <c r="F174" i="2"/>
  <c r="G174" i="2"/>
  <c r="H174" i="2"/>
  <c r="I174" i="2"/>
  <c r="J174" i="2"/>
  <c r="K174" i="2"/>
  <c r="L174" i="2"/>
  <c r="M174" i="2"/>
  <c r="N174" i="2"/>
  <c r="O174" i="2"/>
  <c r="P174" i="2"/>
  <c r="Q174" i="2"/>
  <c r="R174" i="2"/>
  <c r="V174" i="2"/>
  <c r="W174" i="2"/>
  <c r="X174" i="2"/>
  <c r="AC174" i="2"/>
  <c r="AD174" i="2"/>
  <c r="AE174" i="2"/>
  <c r="AF174" i="2"/>
  <c r="AG174" i="2"/>
  <c r="AH174" i="2"/>
  <c r="A175" i="2"/>
  <c r="B175" i="2"/>
  <c r="C175" i="2"/>
  <c r="D175" i="2"/>
  <c r="E175" i="2"/>
  <c r="F175" i="2"/>
  <c r="G175" i="2"/>
  <c r="H175" i="2"/>
  <c r="I175" i="2"/>
  <c r="J175" i="2"/>
  <c r="K175" i="2"/>
  <c r="L175" i="2"/>
  <c r="M175" i="2"/>
  <c r="N175" i="2"/>
  <c r="O175" i="2"/>
  <c r="P175" i="2"/>
  <c r="Q175" i="2"/>
  <c r="R175" i="2"/>
  <c r="V175" i="2"/>
  <c r="W175" i="2"/>
  <c r="X175" i="2"/>
  <c r="AC175" i="2"/>
  <c r="AD175" i="2"/>
  <c r="AE175" i="2"/>
  <c r="AF175" i="2"/>
  <c r="AG175" i="2"/>
  <c r="AH175" i="2"/>
  <c r="A176" i="2"/>
  <c r="B176" i="2"/>
  <c r="C176" i="2"/>
  <c r="D176" i="2"/>
  <c r="E176" i="2"/>
  <c r="F176" i="2"/>
  <c r="G176" i="2"/>
  <c r="H176" i="2"/>
  <c r="I176" i="2"/>
  <c r="J176" i="2"/>
  <c r="K176" i="2"/>
  <c r="L176" i="2"/>
  <c r="M176" i="2"/>
  <c r="N176" i="2"/>
  <c r="O176" i="2"/>
  <c r="P176" i="2"/>
  <c r="Q176" i="2"/>
  <c r="R176" i="2"/>
  <c r="V176" i="2"/>
  <c r="W176" i="2"/>
  <c r="X176" i="2"/>
  <c r="AC176" i="2"/>
  <c r="AD176" i="2"/>
  <c r="AE176" i="2"/>
  <c r="AF176" i="2"/>
  <c r="AG176" i="2"/>
  <c r="AH176" i="2"/>
  <c r="A177" i="2"/>
  <c r="B177" i="2"/>
  <c r="C177" i="2"/>
  <c r="D177" i="2"/>
  <c r="E177" i="2"/>
  <c r="F177" i="2"/>
  <c r="G177" i="2"/>
  <c r="H177" i="2"/>
  <c r="I177" i="2"/>
  <c r="J177" i="2"/>
  <c r="K177" i="2"/>
  <c r="L177" i="2"/>
  <c r="M177" i="2"/>
  <c r="N177" i="2"/>
  <c r="O177" i="2"/>
  <c r="P177" i="2"/>
  <c r="Q177" i="2"/>
  <c r="R177" i="2"/>
  <c r="V177" i="2"/>
  <c r="W177" i="2"/>
  <c r="X177" i="2"/>
  <c r="AC177" i="2"/>
  <c r="AD177" i="2"/>
  <c r="AE177" i="2"/>
  <c r="AF177" i="2"/>
  <c r="AG177" i="2"/>
  <c r="AH177" i="2"/>
  <c r="A178" i="2"/>
  <c r="B178" i="2"/>
  <c r="C178" i="2"/>
  <c r="D178" i="2"/>
  <c r="E178" i="2"/>
  <c r="F178" i="2"/>
  <c r="G178" i="2"/>
  <c r="H178" i="2"/>
  <c r="I178" i="2"/>
  <c r="J178" i="2"/>
  <c r="K178" i="2"/>
  <c r="L178" i="2"/>
  <c r="M178" i="2"/>
  <c r="N178" i="2"/>
  <c r="O178" i="2"/>
  <c r="P178" i="2"/>
  <c r="Q178" i="2"/>
  <c r="R178" i="2"/>
  <c r="V178" i="2"/>
  <c r="W178" i="2"/>
  <c r="X178" i="2"/>
  <c r="AC178" i="2"/>
  <c r="AD178" i="2"/>
  <c r="AE178" i="2"/>
  <c r="AF178" i="2"/>
  <c r="AG178" i="2"/>
  <c r="AH178" i="2"/>
  <c r="A179" i="2"/>
  <c r="B179" i="2"/>
  <c r="C179" i="2"/>
  <c r="D179" i="2"/>
  <c r="E179" i="2"/>
  <c r="F179" i="2"/>
  <c r="G179" i="2"/>
  <c r="H179" i="2"/>
  <c r="I179" i="2"/>
  <c r="J179" i="2"/>
  <c r="K179" i="2"/>
  <c r="L179" i="2"/>
  <c r="M179" i="2"/>
  <c r="N179" i="2"/>
  <c r="O179" i="2"/>
  <c r="P179" i="2"/>
  <c r="Q179" i="2"/>
  <c r="R179" i="2"/>
  <c r="V179" i="2"/>
  <c r="W179" i="2"/>
  <c r="X179" i="2"/>
  <c r="AC179" i="2"/>
  <c r="AD179" i="2"/>
  <c r="AE179" i="2"/>
  <c r="AF179" i="2"/>
  <c r="AG179" i="2"/>
  <c r="AH179" i="2"/>
  <c r="A180" i="2"/>
  <c r="B180" i="2"/>
  <c r="C180" i="2"/>
  <c r="D180" i="2"/>
  <c r="E180" i="2"/>
  <c r="F180" i="2"/>
  <c r="G180" i="2"/>
  <c r="H180" i="2"/>
  <c r="I180" i="2"/>
  <c r="J180" i="2"/>
  <c r="K180" i="2"/>
  <c r="L180" i="2"/>
  <c r="M180" i="2"/>
  <c r="N180" i="2"/>
  <c r="O180" i="2"/>
  <c r="P180" i="2"/>
  <c r="Q180" i="2"/>
  <c r="R180" i="2"/>
  <c r="V180" i="2"/>
  <c r="W180" i="2"/>
  <c r="X180" i="2"/>
  <c r="AC180" i="2"/>
  <c r="AD180" i="2"/>
  <c r="AE180" i="2"/>
  <c r="AF180" i="2"/>
  <c r="AG180" i="2"/>
  <c r="AH180" i="2"/>
  <c r="A181" i="2"/>
  <c r="B181" i="2"/>
  <c r="C181" i="2"/>
  <c r="D181" i="2"/>
  <c r="E181" i="2"/>
  <c r="F181" i="2"/>
  <c r="G181" i="2"/>
  <c r="H181" i="2"/>
  <c r="I181" i="2"/>
  <c r="J181" i="2"/>
  <c r="K181" i="2"/>
  <c r="L181" i="2"/>
  <c r="M181" i="2"/>
  <c r="N181" i="2"/>
  <c r="O181" i="2"/>
  <c r="P181" i="2"/>
  <c r="Q181" i="2"/>
  <c r="R181" i="2"/>
  <c r="V181" i="2"/>
  <c r="W181" i="2"/>
  <c r="X181" i="2"/>
  <c r="AC181" i="2"/>
  <c r="AD181" i="2"/>
  <c r="AE181" i="2"/>
  <c r="AF181" i="2"/>
  <c r="AG181" i="2"/>
  <c r="AH181" i="2"/>
  <c r="A182" i="2"/>
  <c r="B182" i="2"/>
  <c r="C182" i="2"/>
  <c r="D182" i="2"/>
  <c r="E182" i="2"/>
  <c r="F182" i="2"/>
  <c r="G182" i="2"/>
  <c r="H182" i="2"/>
  <c r="I182" i="2"/>
  <c r="J182" i="2"/>
  <c r="K182" i="2"/>
  <c r="L182" i="2"/>
  <c r="M182" i="2"/>
  <c r="N182" i="2"/>
  <c r="O182" i="2"/>
  <c r="P182" i="2"/>
  <c r="Q182" i="2"/>
  <c r="R182" i="2"/>
  <c r="V182" i="2"/>
  <c r="W182" i="2"/>
  <c r="X182" i="2"/>
  <c r="AC182" i="2"/>
  <c r="AD182" i="2"/>
  <c r="AE182" i="2"/>
  <c r="AF182" i="2"/>
  <c r="AG182" i="2"/>
  <c r="AH182" i="2"/>
  <c r="A183" i="2"/>
  <c r="B183" i="2"/>
  <c r="C183" i="2"/>
  <c r="D183" i="2"/>
  <c r="E183" i="2"/>
  <c r="F183" i="2"/>
  <c r="G183" i="2"/>
  <c r="H183" i="2"/>
  <c r="I183" i="2"/>
  <c r="J183" i="2"/>
  <c r="K183" i="2"/>
  <c r="L183" i="2"/>
  <c r="M183" i="2"/>
  <c r="N183" i="2"/>
  <c r="O183" i="2"/>
  <c r="P183" i="2"/>
  <c r="Q183" i="2"/>
  <c r="R183" i="2"/>
  <c r="V183" i="2"/>
  <c r="W183" i="2"/>
  <c r="X183" i="2"/>
  <c r="AC183" i="2"/>
  <c r="AD183" i="2"/>
  <c r="AE183" i="2"/>
  <c r="AF183" i="2"/>
  <c r="AG183" i="2"/>
  <c r="AH183" i="2"/>
  <c r="A184" i="2"/>
  <c r="B184" i="2"/>
  <c r="C184" i="2"/>
  <c r="D184" i="2"/>
  <c r="E184" i="2"/>
  <c r="F184" i="2"/>
  <c r="G184" i="2"/>
  <c r="H184" i="2"/>
  <c r="I184" i="2"/>
  <c r="J184" i="2"/>
  <c r="K184" i="2"/>
  <c r="L184" i="2"/>
  <c r="M184" i="2"/>
  <c r="N184" i="2"/>
  <c r="O184" i="2"/>
  <c r="P184" i="2"/>
  <c r="Q184" i="2"/>
  <c r="R184" i="2"/>
  <c r="V184" i="2"/>
  <c r="W184" i="2"/>
  <c r="X184" i="2"/>
  <c r="AC184" i="2"/>
  <c r="AD184" i="2"/>
  <c r="AE184" i="2"/>
  <c r="AF184" i="2"/>
  <c r="AG184" i="2"/>
  <c r="AH184" i="2"/>
  <c r="A185" i="2"/>
  <c r="B185" i="2"/>
  <c r="C185" i="2"/>
  <c r="D185" i="2"/>
  <c r="E185" i="2"/>
  <c r="F185" i="2"/>
  <c r="G185" i="2"/>
  <c r="H185" i="2"/>
  <c r="I185" i="2"/>
  <c r="J185" i="2"/>
  <c r="K185" i="2"/>
  <c r="L185" i="2"/>
  <c r="M185" i="2"/>
  <c r="N185" i="2"/>
  <c r="O185" i="2"/>
  <c r="P185" i="2"/>
  <c r="Q185" i="2"/>
  <c r="R185" i="2"/>
  <c r="S185" i="2"/>
  <c r="V185" i="2"/>
  <c r="W185" i="2"/>
  <c r="X185" i="2"/>
  <c r="AC185" i="2"/>
  <c r="AD185" i="2"/>
  <c r="AE185" i="2"/>
  <c r="AF185" i="2"/>
  <c r="AG185" i="2"/>
  <c r="AH185" i="2"/>
  <c r="A186" i="2"/>
  <c r="B186" i="2"/>
  <c r="C186" i="2"/>
  <c r="D186" i="2"/>
  <c r="E186" i="2"/>
  <c r="F186" i="2"/>
  <c r="G186" i="2"/>
  <c r="H186" i="2"/>
  <c r="I186" i="2"/>
  <c r="J186" i="2"/>
  <c r="K186" i="2"/>
  <c r="L186" i="2"/>
  <c r="M186" i="2"/>
  <c r="N186" i="2"/>
  <c r="O186" i="2"/>
  <c r="P186" i="2"/>
  <c r="Q186" i="2"/>
  <c r="R186" i="2"/>
  <c r="V186" i="2"/>
  <c r="W186" i="2"/>
  <c r="X186" i="2"/>
  <c r="AC186" i="2"/>
  <c r="AD186" i="2"/>
  <c r="AE186" i="2"/>
  <c r="AF186" i="2"/>
  <c r="AG186" i="2"/>
  <c r="AH186" i="2"/>
  <c r="A187" i="2"/>
  <c r="B187" i="2"/>
  <c r="C187" i="2"/>
  <c r="D187" i="2"/>
  <c r="E187" i="2"/>
  <c r="F187" i="2"/>
  <c r="G187" i="2"/>
  <c r="H187" i="2"/>
  <c r="I187" i="2"/>
  <c r="J187" i="2"/>
  <c r="K187" i="2"/>
  <c r="L187" i="2"/>
  <c r="M187" i="2"/>
  <c r="N187" i="2"/>
  <c r="P187" i="2"/>
  <c r="R187" i="2"/>
  <c r="V187" i="2"/>
  <c r="W187" i="2"/>
  <c r="X187" i="2"/>
  <c r="AC187" i="2"/>
  <c r="AD187" i="2"/>
  <c r="AE187" i="2"/>
  <c r="AF187" i="2"/>
  <c r="AG187" i="2"/>
  <c r="AH187" i="2"/>
  <c r="A188" i="2"/>
  <c r="B188" i="2"/>
  <c r="C188" i="2"/>
  <c r="D188" i="2"/>
  <c r="E188" i="2"/>
  <c r="F188" i="2"/>
  <c r="G188" i="2"/>
  <c r="H188" i="2"/>
  <c r="I188" i="2"/>
  <c r="J188" i="2"/>
  <c r="K188" i="2"/>
  <c r="L188" i="2"/>
  <c r="M188" i="2"/>
  <c r="N188" i="2"/>
  <c r="P188" i="2"/>
  <c r="R188" i="2"/>
  <c r="V188" i="2"/>
  <c r="W188" i="2"/>
  <c r="X188" i="2"/>
  <c r="AC188" i="2"/>
  <c r="AD188" i="2"/>
  <c r="AE188" i="2"/>
  <c r="AF188" i="2"/>
  <c r="AG188" i="2"/>
  <c r="AH188" i="2"/>
  <c r="A189" i="2"/>
  <c r="B189" i="2"/>
  <c r="C189" i="2"/>
  <c r="D189" i="2"/>
  <c r="E189" i="2"/>
  <c r="F189" i="2"/>
  <c r="G189" i="2"/>
  <c r="H189" i="2"/>
  <c r="I189" i="2"/>
  <c r="J189" i="2"/>
  <c r="K189" i="2"/>
  <c r="L189" i="2"/>
  <c r="M189" i="2"/>
  <c r="N189" i="2"/>
  <c r="P189" i="2"/>
  <c r="R189" i="2"/>
  <c r="V189" i="2"/>
  <c r="W189" i="2"/>
  <c r="X189" i="2"/>
  <c r="AC189" i="2"/>
  <c r="AD189" i="2"/>
  <c r="AE189" i="2"/>
  <c r="AF189" i="2"/>
  <c r="AG189" i="2"/>
  <c r="AH189" i="2"/>
  <c r="A190" i="2"/>
  <c r="B190" i="2"/>
  <c r="C190" i="2"/>
  <c r="D190" i="2"/>
  <c r="E190" i="2"/>
  <c r="F190" i="2"/>
  <c r="G190" i="2"/>
  <c r="H190" i="2"/>
  <c r="I190" i="2"/>
  <c r="J190" i="2"/>
  <c r="K190" i="2"/>
  <c r="L190" i="2"/>
  <c r="M190" i="2"/>
  <c r="N190" i="2"/>
  <c r="P190" i="2"/>
  <c r="R190" i="2"/>
  <c r="V190" i="2"/>
  <c r="W190" i="2"/>
  <c r="X190" i="2"/>
  <c r="AC190" i="2"/>
  <c r="AD190" i="2"/>
  <c r="AE190" i="2"/>
  <c r="AF190" i="2"/>
  <c r="AG190" i="2"/>
  <c r="AH190" i="2"/>
  <c r="A191" i="2"/>
  <c r="B191" i="2"/>
  <c r="C191" i="2"/>
  <c r="D191" i="2"/>
  <c r="E191" i="2"/>
  <c r="F191" i="2"/>
  <c r="G191" i="2"/>
  <c r="H191" i="2"/>
  <c r="I191" i="2"/>
  <c r="J191" i="2"/>
  <c r="K191" i="2"/>
  <c r="L191" i="2"/>
  <c r="M191" i="2"/>
  <c r="N191" i="2"/>
  <c r="P191" i="2"/>
  <c r="R191" i="2"/>
  <c r="V191" i="2"/>
  <c r="W191" i="2"/>
  <c r="X191" i="2"/>
  <c r="AC191" i="2"/>
  <c r="AD191" i="2"/>
  <c r="AE191" i="2"/>
  <c r="AF191" i="2"/>
  <c r="AG191" i="2"/>
  <c r="AH191" i="2"/>
  <c r="A192" i="2"/>
  <c r="B192" i="2"/>
  <c r="C192" i="2"/>
  <c r="D192" i="2"/>
  <c r="E192" i="2"/>
  <c r="F192" i="2"/>
  <c r="G192" i="2"/>
  <c r="H192" i="2"/>
  <c r="I192" i="2"/>
  <c r="J192" i="2"/>
  <c r="K192" i="2"/>
  <c r="L192" i="2"/>
  <c r="M192" i="2"/>
  <c r="N192" i="2"/>
  <c r="P192" i="2"/>
  <c r="R192" i="2"/>
  <c r="V192" i="2"/>
  <c r="W192" i="2"/>
  <c r="X192" i="2"/>
  <c r="AC192" i="2"/>
  <c r="AD192" i="2"/>
  <c r="AE192" i="2"/>
  <c r="AF192" i="2"/>
  <c r="AG192" i="2"/>
  <c r="AH192" i="2"/>
  <c r="A193" i="2"/>
  <c r="B193" i="2"/>
  <c r="C193" i="2"/>
  <c r="D193" i="2"/>
  <c r="E193" i="2"/>
  <c r="F193" i="2"/>
  <c r="G193" i="2"/>
  <c r="H193" i="2"/>
  <c r="I193" i="2"/>
  <c r="J193" i="2"/>
  <c r="K193" i="2"/>
  <c r="L193" i="2"/>
  <c r="M193" i="2"/>
  <c r="N193" i="2"/>
  <c r="P193" i="2"/>
  <c r="R193" i="2"/>
  <c r="V193" i="2"/>
  <c r="W193" i="2"/>
  <c r="X193" i="2"/>
  <c r="AC193" i="2"/>
  <c r="AD193" i="2"/>
  <c r="AE193" i="2"/>
  <c r="AF193" i="2"/>
  <c r="AG193" i="2"/>
  <c r="AH193" i="2"/>
  <c r="A194" i="2"/>
  <c r="B194" i="2"/>
  <c r="C194" i="2"/>
  <c r="D194" i="2"/>
  <c r="E194" i="2"/>
  <c r="F194" i="2"/>
  <c r="G194" i="2"/>
  <c r="H194" i="2"/>
  <c r="I194" i="2"/>
  <c r="J194" i="2"/>
  <c r="K194" i="2"/>
  <c r="L194" i="2"/>
  <c r="M194" i="2"/>
  <c r="N194" i="2"/>
  <c r="P194" i="2"/>
  <c r="R194" i="2"/>
  <c r="V194" i="2"/>
  <c r="W194" i="2"/>
  <c r="X194" i="2"/>
  <c r="AC194" i="2"/>
  <c r="AD194" i="2"/>
  <c r="AE194" i="2"/>
  <c r="AF194" i="2"/>
  <c r="AG194" i="2"/>
  <c r="AH194" i="2"/>
  <c r="A195" i="2"/>
  <c r="B195" i="2"/>
  <c r="C195" i="2"/>
  <c r="D195" i="2"/>
  <c r="E195" i="2"/>
  <c r="F195" i="2"/>
  <c r="G195" i="2"/>
  <c r="H195" i="2"/>
  <c r="I195" i="2"/>
  <c r="J195" i="2"/>
  <c r="K195" i="2"/>
  <c r="L195" i="2"/>
  <c r="M195" i="2"/>
  <c r="N195" i="2"/>
  <c r="P195" i="2"/>
  <c r="R195" i="2"/>
  <c r="V195" i="2"/>
  <c r="W195" i="2"/>
  <c r="X195" i="2"/>
  <c r="AC195" i="2"/>
  <c r="AD195" i="2"/>
  <c r="AE195" i="2"/>
  <c r="AF195" i="2"/>
  <c r="AG195" i="2"/>
  <c r="AH195" i="2"/>
  <c r="A196" i="2"/>
  <c r="B196" i="2"/>
  <c r="C196" i="2"/>
  <c r="D196" i="2"/>
  <c r="E196" i="2"/>
  <c r="F196" i="2"/>
  <c r="G196" i="2"/>
  <c r="H196" i="2"/>
  <c r="I196" i="2"/>
  <c r="J196" i="2"/>
  <c r="K196" i="2"/>
  <c r="L196" i="2"/>
  <c r="M196" i="2"/>
  <c r="N196" i="2"/>
  <c r="P196" i="2"/>
  <c r="R196" i="2"/>
  <c r="V196" i="2"/>
  <c r="W196" i="2"/>
  <c r="X196" i="2"/>
  <c r="AC196" i="2"/>
  <c r="AD196" i="2"/>
  <c r="AE196" i="2"/>
  <c r="AF196" i="2"/>
  <c r="AG196" i="2"/>
  <c r="AH196" i="2"/>
  <c r="A197" i="2"/>
  <c r="B197" i="2"/>
  <c r="C197" i="2"/>
  <c r="D197" i="2"/>
  <c r="E197" i="2"/>
  <c r="F197" i="2"/>
  <c r="G197" i="2"/>
  <c r="H197" i="2"/>
  <c r="I197" i="2"/>
  <c r="J197" i="2"/>
  <c r="K197" i="2"/>
  <c r="L197" i="2"/>
  <c r="M197" i="2"/>
  <c r="N197" i="2"/>
  <c r="P197" i="2"/>
  <c r="R197" i="2"/>
  <c r="V197" i="2"/>
  <c r="W197" i="2"/>
  <c r="X197" i="2"/>
  <c r="AC197" i="2"/>
  <c r="AD197" i="2"/>
  <c r="AE197" i="2"/>
  <c r="AF197" i="2"/>
  <c r="AG197" i="2"/>
  <c r="AH197" i="2"/>
  <c r="A198" i="2"/>
  <c r="B198" i="2"/>
  <c r="C198" i="2"/>
  <c r="D198" i="2"/>
  <c r="E198" i="2"/>
  <c r="F198" i="2"/>
  <c r="G198" i="2"/>
  <c r="H198" i="2"/>
  <c r="I198" i="2"/>
  <c r="J198" i="2"/>
  <c r="K198" i="2"/>
  <c r="L198" i="2"/>
  <c r="M198" i="2"/>
  <c r="N198" i="2"/>
  <c r="P198" i="2"/>
  <c r="R198" i="2"/>
  <c r="V198" i="2"/>
  <c r="W198" i="2"/>
  <c r="X198" i="2"/>
  <c r="AC198" i="2"/>
  <c r="AD198" i="2"/>
  <c r="AE198" i="2"/>
  <c r="AF198" i="2"/>
  <c r="AG198" i="2"/>
  <c r="AH198" i="2"/>
  <c r="A199" i="2"/>
  <c r="B199" i="2"/>
  <c r="C199" i="2"/>
  <c r="D199" i="2"/>
  <c r="E199" i="2"/>
  <c r="F199" i="2"/>
  <c r="G199" i="2"/>
  <c r="H199" i="2"/>
  <c r="I199" i="2"/>
  <c r="J199" i="2"/>
  <c r="K199" i="2"/>
  <c r="L199" i="2"/>
  <c r="M199" i="2"/>
  <c r="N199" i="2"/>
  <c r="P199" i="2"/>
  <c r="R199" i="2"/>
  <c r="V199" i="2"/>
  <c r="W199" i="2"/>
  <c r="X199" i="2"/>
  <c r="AC199" i="2"/>
  <c r="AD199" i="2"/>
  <c r="AE199" i="2"/>
  <c r="AF199" i="2"/>
  <c r="AG199" i="2"/>
  <c r="AH199" i="2"/>
  <c r="A200" i="2"/>
  <c r="B200" i="2"/>
  <c r="C200" i="2"/>
  <c r="D200" i="2"/>
  <c r="E200" i="2"/>
  <c r="F200" i="2"/>
  <c r="G200" i="2"/>
  <c r="H200" i="2"/>
  <c r="I200" i="2"/>
  <c r="J200" i="2"/>
  <c r="K200" i="2"/>
  <c r="L200" i="2"/>
  <c r="M200" i="2"/>
  <c r="N200" i="2"/>
  <c r="P200" i="2"/>
  <c r="R200" i="2"/>
  <c r="V200" i="2"/>
  <c r="W200" i="2"/>
  <c r="X200" i="2"/>
  <c r="AC200" i="2"/>
  <c r="AD200" i="2"/>
  <c r="AE200" i="2"/>
  <c r="AF200" i="2"/>
  <c r="AG200" i="2"/>
  <c r="AH200" i="2"/>
  <c r="A201" i="2"/>
  <c r="B201" i="2"/>
  <c r="C201" i="2"/>
  <c r="D201" i="2"/>
  <c r="E201" i="2"/>
  <c r="F201" i="2"/>
  <c r="G201" i="2"/>
  <c r="H201" i="2"/>
  <c r="I201" i="2"/>
  <c r="J201" i="2"/>
  <c r="K201" i="2"/>
  <c r="L201" i="2"/>
  <c r="M201" i="2"/>
  <c r="N201" i="2"/>
  <c r="P201" i="2"/>
  <c r="R201" i="2"/>
  <c r="V201" i="2"/>
  <c r="W201" i="2"/>
  <c r="X201" i="2"/>
  <c r="AC201" i="2"/>
  <c r="AD201" i="2"/>
  <c r="AE201" i="2"/>
  <c r="AF201" i="2"/>
  <c r="AG201" i="2"/>
  <c r="AH201" i="2"/>
  <c r="A202" i="2"/>
  <c r="B202" i="2"/>
  <c r="C202" i="2"/>
  <c r="D202" i="2"/>
  <c r="E202" i="2"/>
  <c r="F202" i="2"/>
  <c r="G202" i="2"/>
  <c r="H202" i="2"/>
  <c r="I202" i="2"/>
  <c r="J202" i="2"/>
  <c r="K202" i="2"/>
  <c r="L202" i="2"/>
  <c r="M202" i="2"/>
  <c r="N202" i="2"/>
  <c r="P202" i="2"/>
  <c r="R202" i="2"/>
  <c r="V202" i="2"/>
  <c r="W202" i="2"/>
  <c r="X202" i="2"/>
  <c r="AC202" i="2"/>
  <c r="AD202" i="2"/>
  <c r="AE202" i="2"/>
  <c r="AF202" i="2"/>
  <c r="AG202" i="2"/>
  <c r="AH202" i="2"/>
  <c r="A203" i="2"/>
  <c r="B203" i="2"/>
  <c r="C203" i="2"/>
  <c r="D203" i="2"/>
  <c r="E203" i="2"/>
  <c r="F203" i="2"/>
  <c r="G203" i="2"/>
  <c r="H203" i="2"/>
  <c r="I203" i="2"/>
  <c r="J203" i="2"/>
  <c r="K203" i="2"/>
  <c r="L203" i="2"/>
  <c r="M203" i="2"/>
  <c r="N203" i="2"/>
  <c r="P203" i="2"/>
  <c r="R203" i="2"/>
  <c r="V203" i="2"/>
  <c r="W203" i="2"/>
  <c r="X203" i="2"/>
  <c r="AC203" i="2"/>
  <c r="AD203" i="2"/>
  <c r="AE203" i="2"/>
  <c r="AF203" i="2"/>
  <c r="AG203" i="2"/>
  <c r="AH203" i="2"/>
  <c r="A204" i="2"/>
  <c r="B204" i="2"/>
  <c r="C204" i="2"/>
  <c r="D204" i="2"/>
  <c r="E204" i="2"/>
  <c r="F204" i="2"/>
  <c r="G204" i="2"/>
  <c r="H204" i="2"/>
  <c r="I204" i="2"/>
  <c r="J204" i="2"/>
  <c r="K204" i="2"/>
  <c r="L204" i="2"/>
  <c r="M204" i="2"/>
  <c r="N204" i="2"/>
  <c r="P204" i="2"/>
  <c r="R204" i="2"/>
  <c r="V204" i="2"/>
  <c r="W204" i="2"/>
  <c r="X204" i="2"/>
  <c r="AC204" i="2"/>
  <c r="AD204" i="2"/>
  <c r="AE204" i="2"/>
  <c r="AF204" i="2"/>
  <c r="AG204" i="2"/>
  <c r="AH204" i="2"/>
  <c r="A205" i="2"/>
  <c r="B205" i="2"/>
  <c r="C205" i="2"/>
  <c r="D205" i="2"/>
  <c r="E205" i="2"/>
  <c r="F205" i="2"/>
  <c r="G205" i="2"/>
  <c r="H205" i="2"/>
  <c r="I205" i="2"/>
  <c r="J205" i="2"/>
  <c r="K205" i="2"/>
  <c r="L205" i="2"/>
  <c r="M205" i="2"/>
  <c r="N205" i="2"/>
  <c r="P205" i="2"/>
  <c r="R205" i="2"/>
  <c r="V205" i="2"/>
  <c r="W205" i="2"/>
  <c r="X205" i="2"/>
  <c r="AC205" i="2"/>
  <c r="AD205" i="2"/>
  <c r="AE205" i="2"/>
  <c r="AF205" i="2"/>
  <c r="AG205" i="2"/>
  <c r="AH205" i="2"/>
  <c r="A206" i="2"/>
  <c r="B206" i="2"/>
  <c r="C206" i="2"/>
  <c r="D206" i="2"/>
  <c r="E206" i="2"/>
  <c r="F206" i="2"/>
  <c r="G206" i="2"/>
  <c r="H206" i="2"/>
  <c r="I206" i="2"/>
  <c r="J206" i="2"/>
  <c r="K206" i="2"/>
  <c r="L206" i="2"/>
  <c r="M206" i="2"/>
  <c r="N206" i="2"/>
  <c r="P206" i="2"/>
  <c r="R206" i="2"/>
  <c r="V206" i="2"/>
  <c r="W206" i="2"/>
  <c r="X206" i="2"/>
  <c r="AC206" i="2"/>
  <c r="AD206" i="2"/>
  <c r="AE206" i="2"/>
  <c r="AF206" i="2"/>
  <c r="AG206" i="2"/>
  <c r="AH206" i="2"/>
  <c r="A207" i="2"/>
  <c r="B207" i="2"/>
  <c r="C207" i="2"/>
  <c r="D207" i="2"/>
  <c r="E207" i="2"/>
  <c r="F207" i="2"/>
  <c r="G207" i="2"/>
  <c r="H207" i="2"/>
  <c r="I207" i="2"/>
  <c r="J207" i="2"/>
  <c r="K207" i="2"/>
  <c r="L207" i="2"/>
  <c r="M207" i="2"/>
  <c r="N207" i="2"/>
  <c r="P207" i="2"/>
  <c r="R207" i="2"/>
  <c r="V207" i="2"/>
  <c r="W207" i="2"/>
  <c r="X207" i="2"/>
  <c r="AC207" i="2"/>
  <c r="AD207" i="2"/>
  <c r="AE207" i="2"/>
  <c r="AF207" i="2"/>
  <c r="AG207" i="2"/>
  <c r="AH207" i="2"/>
  <c r="A208" i="2"/>
  <c r="B208" i="2"/>
  <c r="C208" i="2"/>
  <c r="D208" i="2"/>
  <c r="E208" i="2"/>
  <c r="F208" i="2"/>
  <c r="G208" i="2"/>
  <c r="H208" i="2"/>
  <c r="I208" i="2"/>
  <c r="J208" i="2"/>
  <c r="K208" i="2"/>
  <c r="L208" i="2"/>
  <c r="M208" i="2"/>
  <c r="N208" i="2"/>
  <c r="P208" i="2"/>
  <c r="R208" i="2"/>
  <c r="V208" i="2"/>
  <c r="W208" i="2"/>
  <c r="X208" i="2"/>
  <c r="AC208" i="2"/>
  <c r="AD208" i="2"/>
  <c r="AE208" i="2"/>
  <c r="AF208" i="2"/>
  <c r="AG208" i="2"/>
  <c r="AH208" i="2"/>
  <c r="A209" i="2"/>
  <c r="B209" i="2"/>
  <c r="C209" i="2"/>
  <c r="D209" i="2"/>
  <c r="E209" i="2"/>
  <c r="F209" i="2"/>
  <c r="G209" i="2"/>
  <c r="H209" i="2"/>
  <c r="I209" i="2"/>
  <c r="J209" i="2"/>
  <c r="K209" i="2"/>
  <c r="L209" i="2"/>
  <c r="M209" i="2"/>
  <c r="N209" i="2"/>
  <c r="P209" i="2"/>
  <c r="R209" i="2"/>
  <c r="V209" i="2"/>
  <c r="W209" i="2"/>
  <c r="X209" i="2"/>
  <c r="AC209" i="2"/>
  <c r="AD209" i="2"/>
  <c r="AE209" i="2"/>
  <c r="AF209" i="2"/>
  <c r="AG209" i="2"/>
  <c r="AH209" i="2"/>
  <c r="A210" i="2"/>
  <c r="B210" i="2"/>
  <c r="C210" i="2"/>
  <c r="D210" i="2"/>
  <c r="E210" i="2"/>
  <c r="F210" i="2"/>
  <c r="G210" i="2"/>
  <c r="H210" i="2"/>
  <c r="I210" i="2"/>
  <c r="J210" i="2"/>
  <c r="K210" i="2"/>
  <c r="L210" i="2"/>
  <c r="M210" i="2"/>
  <c r="N210" i="2"/>
  <c r="P210" i="2"/>
  <c r="R210" i="2"/>
  <c r="V210" i="2"/>
  <c r="W210" i="2"/>
  <c r="X210" i="2"/>
  <c r="AC210" i="2"/>
  <c r="AD210" i="2"/>
  <c r="AE210" i="2"/>
  <c r="AF210" i="2"/>
  <c r="AG210" i="2"/>
  <c r="AH210" i="2"/>
  <c r="A211" i="2"/>
  <c r="B211" i="2"/>
  <c r="C211" i="2"/>
  <c r="D211" i="2"/>
  <c r="E211" i="2"/>
  <c r="F211" i="2"/>
  <c r="G211" i="2"/>
  <c r="H211" i="2"/>
  <c r="I211" i="2"/>
  <c r="J211" i="2"/>
  <c r="K211" i="2"/>
  <c r="L211" i="2"/>
  <c r="M211" i="2"/>
  <c r="N211" i="2"/>
  <c r="P211" i="2"/>
  <c r="R211" i="2"/>
  <c r="V211" i="2"/>
  <c r="W211" i="2"/>
  <c r="X211" i="2"/>
  <c r="AC211" i="2"/>
  <c r="AD211" i="2"/>
  <c r="AE211" i="2"/>
  <c r="AF211" i="2"/>
  <c r="AG211" i="2"/>
  <c r="AH211" i="2"/>
  <c r="A212" i="2"/>
  <c r="B212" i="2"/>
  <c r="C212" i="2"/>
  <c r="D212" i="2"/>
  <c r="E212" i="2"/>
  <c r="F212" i="2"/>
  <c r="G212" i="2"/>
  <c r="H212" i="2"/>
  <c r="I212" i="2"/>
  <c r="J212" i="2"/>
  <c r="K212" i="2"/>
  <c r="L212" i="2"/>
  <c r="M212" i="2"/>
  <c r="N212" i="2"/>
  <c r="P212" i="2"/>
  <c r="R212" i="2"/>
  <c r="V212" i="2"/>
  <c r="W212" i="2"/>
  <c r="X212" i="2"/>
  <c r="AC212" i="2"/>
  <c r="AD212" i="2"/>
  <c r="AE212" i="2"/>
  <c r="AF212" i="2"/>
  <c r="AG212" i="2"/>
  <c r="AH212" i="2"/>
  <c r="A213" i="2"/>
  <c r="B213" i="2"/>
  <c r="C213" i="2"/>
  <c r="D213" i="2"/>
  <c r="E213" i="2"/>
  <c r="F213" i="2"/>
  <c r="G213" i="2"/>
  <c r="H213" i="2"/>
  <c r="I213" i="2"/>
  <c r="J213" i="2"/>
  <c r="K213" i="2"/>
  <c r="L213" i="2"/>
  <c r="M213" i="2"/>
  <c r="N213" i="2"/>
  <c r="P213" i="2"/>
  <c r="R213" i="2"/>
  <c r="V213" i="2"/>
  <c r="W213" i="2"/>
  <c r="X213" i="2"/>
  <c r="AC213" i="2"/>
  <c r="AD213" i="2"/>
  <c r="AE213" i="2"/>
  <c r="AF213" i="2"/>
  <c r="AG213" i="2"/>
  <c r="AH213" i="2"/>
  <c r="A214" i="2"/>
  <c r="B214" i="2"/>
  <c r="C214" i="2"/>
  <c r="D214" i="2"/>
  <c r="E214" i="2"/>
  <c r="F214" i="2"/>
  <c r="G214" i="2"/>
  <c r="H214" i="2"/>
  <c r="I214" i="2"/>
  <c r="J214" i="2"/>
  <c r="K214" i="2"/>
  <c r="L214" i="2"/>
  <c r="M214" i="2"/>
  <c r="N214" i="2"/>
  <c r="P214" i="2"/>
  <c r="R214" i="2"/>
  <c r="V214" i="2"/>
  <c r="W214" i="2"/>
  <c r="X214" i="2"/>
  <c r="AC214" i="2"/>
  <c r="AD214" i="2"/>
  <c r="AE214" i="2"/>
  <c r="AF214" i="2"/>
  <c r="AG214" i="2"/>
  <c r="AH214" i="2"/>
  <c r="A215" i="2"/>
  <c r="B215" i="2"/>
  <c r="C215" i="2"/>
  <c r="D215" i="2"/>
  <c r="E215" i="2"/>
  <c r="F215" i="2"/>
  <c r="G215" i="2"/>
  <c r="H215" i="2"/>
  <c r="I215" i="2"/>
  <c r="J215" i="2"/>
  <c r="K215" i="2"/>
  <c r="L215" i="2"/>
  <c r="M215" i="2"/>
  <c r="N215" i="2"/>
  <c r="P215" i="2"/>
  <c r="R215" i="2"/>
  <c r="V215" i="2"/>
  <c r="W215" i="2"/>
  <c r="X215" i="2"/>
  <c r="AC215" i="2"/>
  <c r="AD215" i="2"/>
  <c r="AE215" i="2"/>
  <c r="AF215" i="2"/>
  <c r="AG215" i="2"/>
  <c r="AH215" i="2"/>
  <c r="A216" i="2"/>
  <c r="B216" i="2"/>
  <c r="C216" i="2"/>
  <c r="D216" i="2"/>
  <c r="E216" i="2"/>
  <c r="F216" i="2"/>
  <c r="G216" i="2"/>
  <c r="H216" i="2"/>
  <c r="I216" i="2"/>
  <c r="J216" i="2"/>
  <c r="K216" i="2"/>
  <c r="L216" i="2"/>
  <c r="M216" i="2"/>
  <c r="N216" i="2"/>
  <c r="P216" i="2"/>
  <c r="R216" i="2"/>
  <c r="V216" i="2"/>
  <c r="W216" i="2"/>
  <c r="X216" i="2"/>
  <c r="AC216" i="2"/>
  <c r="AD216" i="2"/>
  <c r="AE216" i="2"/>
  <c r="AF216" i="2"/>
  <c r="AG216" i="2"/>
  <c r="AH216" i="2"/>
  <c r="A217" i="2"/>
  <c r="B217" i="2"/>
  <c r="C217" i="2"/>
  <c r="D217" i="2"/>
  <c r="E217" i="2"/>
  <c r="F217" i="2"/>
  <c r="G217" i="2"/>
  <c r="H217" i="2"/>
  <c r="I217" i="2"/>
  <c r="J217" i="2"/>
  <c r="K217" i="2"/>
  <c r="L217" i="2"/>
  <c r="M217" i="2"/>
  <c r="N217" i="2"/>
  <c r="P217" i="2"/>
  <c r="R217" i="2"/>
  <c r="V217" i="2"/>
  <c r="W217" i="2"/>
  <c r="X217" i="2"/>
  <c r="AC217" i="2"/>
  <c r="AD217" i="2"/>
  <c r="AE217" i="2"/>
  <c r="AF217" i="2"/>
  <c r="AG217" i="2"/>
  <c r="AH217" i="2"/>
  <c r="A218" i="2"/>
  <c r="B218" i="2"/>
  <c r="C218" i="2"/>
  <c r="D218" i="2"/>
  <c r="E218" i="2"/>
  <c r="F218" i="2"/>
  <c r="G218" i="2"/>
  <c r="H218" i="2"/>
  <c r="I218" i="2"/>
  <c r="J218" i="2"/>
  <c r="K218" i="2"/>
  <c r="L218" i="2"/>
  <c r="M218" i="2"/>
  <c r="N218" i="2"/>
  <c r="P218" i="2"/>
  <c r="R218" i="2"/>
  <c r="V218" i="2"/>
  <c r="W218" i="2"/>
  <c r="X218" i="2"/>
  <c r="AC218" i="2"/>
  <c r="AD218" i="2"/>
  <c r="AE218" i="2"/>
  <c r="AF218" i="2"/>
  <c r="AG218" i="2"/>
  <c r="AH218" i="2"/>
  <c r="A219" i="2"/>
  <c r="B219" i="2"/>
  <c r="C219" i="2"/>
  <c r="D219" i="2"/>
  <c r="E219" i="2"/>
  <c r="F219" i="2"/>
  <c r="G219" i="2"/>
  <c r="H219" i="2"/>
  <c r="I219" i="2"/>
  <c r="J219" i="2"/>
  <c r="K219" i="2"/>
  <c r="L219" i="2"/>
  <c r="M219" i="2"/>
  <c r="N219" i="2"/>
  <c r="P219" i="2"/>
  <c r="R219" i="2"/>
  <c r="V219" i="2"/>
  <c r="W219" i="2"/>
  <c r="X219" i="2"/>
  <c r="AC219" i="2"/>
  <c r="AD219" i="2"/>
  <c r="AE219" i="2"/>
  <c r="AF219" i="2"/>
  <c r="AG219" i="2"/>
  <c r="AH219" i="2"/>
  <c r="L25" i="3"/>
  <c r="K25" i="3"/>
  <c r="L24" i="3"/>
  <c r="K24" i="3"/>
  <c r="L23" i="3"/>
  <c r="K23" i="3"/>
  <c r="L22" i="3"/>
  <c r="K22" i="3"/>
  <c r="BC23" i="1" l="1"/>
  <c r="U22" i="2" s="1"/>
  <c r="BC24" i="1"/>
  <c r="U23" i="2" s="1"/>
  <c r="BC25" i="1"/>
  <c r="U24" i="2" s="1"/>
  <c r="BC26" i="1"/>
  <c r="U25" i="2" s="1"/>
  <c r="BH23" i="1"/>
  <c r="Y22" i="2" s="1"/>
  <c r="BI23" i="1"/>
  <c r="BT23" i="1" s="1"/>
  <c r="Z22" i="2" s="1"/>
  <c r="BH24" i="1"/>
  <c r="Y23" i="2" s="1"/>
  <c r="BI24" i="1"/>
  <c r="BT24" i="1" s="1"/>
  <c r="Z23" i="2" s="1"/>
  <c r="BH25" i="1"/>
  <c r="Y24" i="2" s="1"/>
  <c r="BI25" i="1"/>
  <c r="BT25" i="1" s="1"/>
  <c r="Z24" i="2" s="1"/>
  <c r="BH26" i="1"/>
  <c r="Y25" i="2" s="1"/>
  <c r="BI26" i="1"/>
  <c r="BT26" i="1" s="1"/>
  <c r="Z25" i="2" s="1"/>
  <c r="AQ26" i="1"/>
  <c r="T25" i="2" s="1"/>
  <c r="AP26" i="1"/>
  <c r="S25" i="2" s="1"/>
  <c r="AQ25" i="1"/>
  <c r="T24" i="2" s="1"/>
  <c r="AP25" i="1"/>
  <c r="S24" i="2" s="1"/>
  <c r="AQ24" i="1"/>
  <c r="T23" i="2" s="1"/>
  <c r="AP24" i="1"/>
  <c r="S23" i="2" s="1"/>
  <c r="AQ23" i="1"/>
  <c r="T22" i="2" s="1"/>
  <c r="AP23" i="1"/>
  <c r="S22" i="2" s="1"/>
  <c r="AP22" i="1"/>
  <c r="S21" i="2" s="1"/>
  <c r="BV26" i="1" l="1"/>
  <c r="AB25" i="2" s="1"/>
  <c r="BU26" i="1"/>
  <c r="AA25" i="2" s="1"/>
  <c r="BU23" i="1"/>
  <c r="AA22" i="2" s="1"/>
  <c r="BV23" i="1"/>
  <c r="AB22" i="2" s="1"/>
  <c r="BU25" i="1"/>
  <c r="AA24" i="2" s="1"/>
  <c r="BV25" i="1"/>
  <c r="AB24" i="2" s="1"/>
  <c r="BU24" i="1"/>
  <c r="AA23" i="2" s="1"/>
  <c r="BV24" i="1"/>
  <c r="AB23" i="2" s="1"/>
  <c r="K32" i="3"/>
  <c r="L32" i="3"/>
  <c r="K33" i="3"/>
  <c r="L33" i="3"/>
  <c r="K34" i="3"/>
  <c r="L34" i="3"/>
  <c r="K35" i="3"/>
  <c r="L35" i="3"/>
  <c r="K36" i="3"/>
  <c r="L36" i="3"/>
  <c r="K247" i="3"/>
  <c r="K10" i="3"/>
  <c r="L84" i="3"/>
  <c r="K84" i="3"/>
  <c r="K83" i="3"/>
  <c r="K77" i="3" l="1"/>
  <c r="K3" i="3"/>
  <c r="L3" i="3"/>
  <c r="K4" i="3"/>
  <c r="L4" i="3"/>
  <c r="K5" i="3"/>
  <c r="L5" i="3"/>
  <c r="K6" i="3"/>
  <c r="L6" i="3"/>
  <c r="K7" i="3"/>
  <c r="L7" i="3"/>
  <c r="K8" i="3"/>
  <c r="L8" i="3"/>
  <c r="K9" i="3"/>
  <c r="L9" i="3"/>
  <c r="L10" i="3"/>
  <c r="K11" i="3"/>
  <c r="L11" i="3"/>
  <c r="K12" i="3"/>
  <c r="L12" i="3"/>
  <c r="K13" i="3"/>
  <c r="L13" i="3"/>
  <c r="K14" i="3"/>
  <c r="L14" i="3"/>
  <c r="K15" i="3"/>
  <c r="L15" i="3"/>
  <c r="K16" i="3"/>
  <c r="L16" i="3"/>
  <c r="K17" i="3"/>
  <c r="L17" i="3"/>
  <c r="K18" i="3"/>
  <c r="L18" i="3"/>
  <c r="K19" i="3"/>
  <c r="L19" i="3"/>
  <c r="K20" i="3"/>
  <c r="L20" i="3"/>
  <c r="K21" i="3"/>
  <c r="L21" i="3"/>
  <c r="K26" i="3"/>
  <c r="L26" i="3"/>
  <c r="K27" i="3"/>
  <c r="L27" i="3"/>
  <c r="K28" i="3"/>
  <c r="L28" i="3"/>
  <c r="K29" i="3"/>
  <c r="L29" i="3"/>
  <c r="K30" i="3"/>
  <c r="L30" i="3"/>
  <c r="K31" i="3"/>
  <c r="L31" i="3"/>
  <c r="K37" i="3"/>
  <c r="L37" i="3"/>
  <c r="K38" i="3"/>
  <c r="L38" i="3"/>
  <c r="K39" i="3"/>
  <c r="L39" i="3"/>
  <c r="K40" i="3"/>
  <c r="L40" i="3"/>
  <c r="K41" i="3"/>
  <c r="L41" i="3"/>
  <c r="K42" i="3"/>
  <c r="L42" i="3"/>
  <c r="K43" i="3"/>
  <c r="L43" i="3"/>
  <c r="K44" i="3"/>
  <c r="L44" i="3"/>
  <c r="K45" i="3"/>
  <c r="L45" i="3"/>
  <c r="K46" i="3"/>
  <c r="L46" i="3"/>
  <c r="K47" i="3"/>
  <c r="L47" i="3"/>
  <c r="K48" i="3"/>
  <c r="L48" i="3"/>
  <c r="K49" i="3"/>
  <c r="L49" i="3"/>
  <c r="K50" i="3"/>
  <c r="L50" i="3"/>
  <c r="K51" i="3"/>
  <c r="L51" i="3"/>
  <c r="K52" i="3"/>
  <c r="L52" i="3"/>
  <c r="K53" i="3"/>
  <c r="L53" i="3"/>
  <c r="K54" i="3"/>
  <c r="L54" i="3"/>
  <c r="K55" i="3"/>
  <c r="L55" i="3"/>
  <c r="K56" i="3"/>
  <c r="L56" i="3"/>
  <c r="K57" i="3"/>
  <c r="L57" i="3"/>
  <c r="K58" i="3"/>
  <c r="L58" i="3"/>
  <c r="K59" i="3"/>
  <c r="L59" i="3"/>
  <c r="K60" i="3"/>
  <c r="L60" i="3"/>
  <c r="K61" i="3"/>
  <c r="L61" i="3"/>
  <c r="K62" i="3"/>
  <c r="L62" i="3"/>
  <c r="K63" i="3"/>
  <c r="L63" i="3"/>
  <c r="K64" i="3"/>
  <c r="L64" i="3"/>
  <c r="K65" i="3"/>
  <c r="L65" i="3"/>
  <c r="K66" i="3"/>
  <c r="L66" i="3"/>
  <c r="K67" i="3"/>
  <c r="L67" i="3"/>
  <c r="K68" i="3"/>
  <c r="L68" i="3"/>
  <c r="K69" i="3"/>
  <c r="L69" i="3"/>
  <c r="K70" i="3"/>
  <c r="L70" i="3"/>
  <c r="K71" i="3"/>
  <c r="L71" i="3"/>
  <c r="K72" i="3"/>
  <c r="L72" i="3"/>
  <c r="K73" i="3"/>
  <c r="L73" i="3"/>
  <c r="K74" i="3"/>
  <c r="L74" i="3"/>
  <c r="K75" i="3"/>
  <c r="L75" i="3"/>
  <c r="K76" i="3"/>
  <c r="L76" i="3"/>
  <c r="L77" i="3"/>
  <c r="K78" i="3"/>
  <c r="L78" i="3"/>
  <c r="K79" i="3"/>
  <c r="L79" i="3"/>
  <c r="K80" i="3"/>
  <c r="L80" i="3"/>
  <c r="K81" i="3"/>
  <c r="L81" i="3"/>
  <c r="K82" i="3"/>
  <c r="L82" i="3"/>
  <c r="L83" i="3"/>
  <c r="K85" i="3"/>
  <c r="L85" i="3"/>
  <c r="K86" i="3"/>
  <c r="L86" i="3"/>
  <c r="K87" i="3"/>
  <c r="L87" i="3"/>
  <c r="K88" i="3"/>
  <c r="L88" i="3"/>
  <c r="K89" i="3"/>
  <c r="L89" i="3"/>
  <c r="K90" i="3"/>
  <c r="L90" i="3"/>
  <c r="K91" i="3"/>
  <c r="L91" i="3"/>
  <c r="K92" i="3"/>
  <c r="L92" i="3"/>
  <c r="K93" i="3"/>
  <c r="L93" i="3"/>
  <c r="K94" i="3"/>
  <c r="L94" i="3"/>
  <c r="K95" i="3"/>
  <c r="L95" i="3"/>
  <c r="K96" i="3"/>
  <c r="L96" i="3"/>
  <c r="K97" i="3"/>
  <c r="L97" i="3"/>
  <c r="K98" i="3"/>
  <c r="L98" i="3"/>
  <c r="K99" i="3"/>
  <c r="L99" i="3"/>
  <c r="K100" i="3"/>
  <c r="L100" i="3"/>
  <c r="K101" i="3"/>
  <c r="L101" i="3"/>
  <c r="K102" i="3"/>
  <c r="L102" i="3"/>
  <c r="K103" i="3"/>
  <c r="L103" i="3"/>
  <c r="K104" i="3"/>
  <c r="L104" i="3"/>
  <c r="K105" i="3"/>
  <c r="L105" i="3"/>
  <c r="K106" i="3"/>
  <c r="L106" i="3"/>
  <c r="K107" i="3"/>
  <c r="L107" i="3"/>
  <c r="K108" i="3"/>
  <c r="L108" i="3"/>
  <c r="K109" i="3"/>
  <c r="L109" i="3"/>
  <c r="K110" i="3"/>
  <c r="L110" i="3"/>
  <c r="K111" i="3"/>
  <c r="L111" i="3"/>
  <c r="K112" i="3"/>
  <c r="L112" i="3"/>
  <c r="K113" i="3"/>
  <c r="L113" i="3"/>
  <c r="K114" i="3"/>
  <c r="L114" i="3"/>
  <c r="K115" i="3"/>
  <c r="L115" i="3"/>
  <c r="K116" i="3"/>
  <c r="L116" i="3"/>
  <c r="K117" i="3"/>
  <c r="L117" i="3"/>
  <c r="K118" i="3"/>
  <c r="L118" i="3"/>
  <c r="K119" i="3"/>
  <c r="L119" i="3"/>
  <c r="K120" i="3"/>
  <c r="L120" i="3"/>
  <c r="K121" i="3"/>
  <c r="L121" i="3"/>
  <c r="K122" i="3"/>
  <c r="L122" i="3"/>
  <c r="K123" i="3"/>
  <c r="L123" i="3"/>
  <c r="K124" i="3"/>
  <c r="L124" i="3"/>
  <c r="K125" i="3"/>
  <c r="L125" i="3"/>
  <c r="K126" i="3"/>
  <c r="L126" i="3"/>
  <c r="K127" i="3"/>
  <c r="L127" i="3"/>
  <c r="K128" i="3"/>
  <c r="L128" i="3"/>
  <c r="K129" i="3"/>
  <c r="L129" i="3"/>
  <c r="K130" i="3"/>
  <c r="L130" i="3"/>
  <c r="K131" i="3"/>
  <c r="L131" i="3"/>
  <c r="K132" i="3"/>
  <c r="L132" i="3"/>
  <c r="K133" i="3"/>
  <c r="L133" i="3"/>
  <c r="K134" i="3"/>
  <c r="L134" i="3"/>
  <c r="K135" i="3"/>
  <c r="L135" i="3"/>
  <c r="K136" i="3"/>
  <c r="L136" i="3"/>
  <c r="K137" i="3"/>
  <c r="L137" i="3"/>
  <c r="K138" i="3"/>
  <c r="L138" i="3"/>
  <c r="K139" i="3"/>
  <c r="L139" i="3"/>
  <c r="K140" i="3"/>
  <c r="L140" i="3"/>
  <c r="K141" i="3"/>
  <c r="L141" i="3"/>
  <c r="K142" i="3"/>
  <c r="L142" i="3"/>
  <c r="K143" i="3"/>
  <c r="L143" i="3"/>
  <c r="K144" i="3"/>
  <c r="L144" i="3"/>
  <c r="K145" i="3"/>
  <c r="L145" i="3"/>
  <c r="K146" i="3"/>
  <c r="L146" i="3"/>
  <c r="K147" i="3"/>
  <c r="L147" i="3"/>
  <c r="K148" i="3"/>
  <c r="L148" i="3"/>
  <c r="K149" i="3"/>
  <c r="L149" i="3"/>
  <c r="K150" i="3"/>
  <c r="L150" i="3"/>
  <c r="K151" i="3"/>
  <c r="L151" i="3"/>
  <c r="K152" i="3"/>
  <c r="L152" i="3"/>
  <c r="K153" i="3"/>
  <c r="L153" i="3"/>
  <c r="K154" i="3"/>
  <c r="L154" i="3"/>
  <c r="K155" i="3"/>
  <c r="L155" i="3"/>
  <c r="K156" i="3"/>
  <c r="L156" i="3"/>
  <c r="K157" i="3"/>
  <c r="L157" i="3"/>
  <c r="K158" i="3"/>
  <c r="L158" i="3"/>
  <c r="K159" i="3"/>
  <c r="L159" i="3"/>
  <c r="K160" i="3"/>
  <c r="L160" i="3"/>
  <c r="K161" i="3"/>
  <c r="L161" i="3"/>
  <c r="K162" i="3"/>
  <c r="L162" i="3"/>
  <c r="K163" i="3"/>
  <c r="L163" i="3"/>
  <c r="K164" i="3"/>
  <c r="L164" i="3"/>
  <c r="K165" i="3"/>
  <c r="L165" i="3"/>
  <c r="K166" i="3"/>
  <c r="L166" i="3"/>
  <c r="K167" i="3"/>
  <c r="L167" i="3"/>
  <c r="K168" i="3"/>
  <c r="L168" i="3"/>
  <c r="K169" i="3"/>
  <c r="L169" i="3"/>
  <c r="K170" i="3"/>
  <c r="L170" i="3"/>
  <c r="K171" i="3"/>
  <c r="L171" i="3"/>
  <c r="K172" i="3"/>
  <c r="L172" i="3"/>
  <c r="K173" i="3"/>
  <c r="L173" i="3"/>
  <c r="K174" i="3"/>
  <c r="L174" i="3"/>
  <c r="K175" i="3"/>
  <c r="L175" i="3"/>
  <c r="K176" i="3"/>
  <c r="L176" i="3"/>
  <c r="K177" i="3"/>
  <c r="L177" i="3"/>
  <c r="K178" i="3"/>
  <c r="L178" i="3"/>
  <c r="K179" i="3"/>
  <c r="L179" i="3"/>
  <c r="K180" i="3"/>
  <c r="L180" i="3"/>
  <c r="K181" i="3"/>
  <c r="L181" i="3"/>
  <c r="K182" i="3"/>
  <c r="L182" i="3"/>
  <c r="K183" i="3"/>
  <c r="L183" i="3"/>
  <c r="K184" i="3"/>
  <c r="L184" i="3"/>
  <c r="K185" i="3"/>
  <c r="L185" i="3"/>
  <c r="K186" i="3"/>
  <c r="L186" i="3"/>
  <c r="K187" i="3"/>
  <c r="L187" i="3"/>
  <c r="K188" i="3"/>
  <c r="L188" i="3"/>
  <c r="K189" i="3"/>
  <c r="L189" i="3"/>
  <c r="K190" i="3"/>
  <c r="L190" i="3"/>
  <c r="K191" i="3"/>
  <c r="L191" i="3"/>
  <c r="K192" i="3"/>
  <c r="L192" i="3"/>
  <c r="K193" i="3"/>
  <c r="L193" i="3"/>
  <c r="K194" i="3"/>
  <c r="L194" i="3"/>
  <c r="K195" i="3"/>
  <c r="L195" i="3"/>
  <c r="K196" i="3"/>
  <c r="L196" i="3"/>
  <c r="K197" i="3"/>
  <c r="L197" i="3"/>
  <c r="K198" i="3"/>
  <c r="L198" i="3"/>
  <c r="K199" i="3"/>
  <c r="L199" i="3"/>
  <c r="K200" i="3"/>
  <c r="L200" i="3"/>
  <c r="K201" i="3"/>
  <c r="L201" i="3"/>
  <c r="K202" i="3"/>
  <c r="L202" i="3"/>
  <c r="K203" i="3"/>
  <c r="L203" i="3"/>
  <c r="K204" i="3"/>
  <c r="L204" i="3"/>
  <c r="K205" i="3"/>
  <c r="L205" i="3"/>
  <c r="K206" i="3"/>
  <c r="L206" i="3"/>
  <c r="K207" i="3"/>
  <c r="L207" i="3"/>
  <c r="K208" i="3"/>
  <c r="L208" i="3"/>
  <c r="K209" i="3"/>
  <c r="L209" i="3"/>
  <c r="K210" i="3"/>
  <c r="L210" i="3"/>
  <c r="K211" i="3"/>
  <c r="L211" i="3"/>
  <c r="K212" i="3"/>
  <c r="L212" i="3"/>
  <c r="K213" i="3"/>
  <c r="L213" i="3"/>
  <c r="K214" i="3"/>
  <c r="L214" i="3"/>
  <c r="K215" i="3"/>
  <c r="L215" i="3"/>
  <c r="K216" i="3"/>
  <c r="L216" i="3"/>
  <c r="K217" i="3"/>
  <c r="L217" i="3"/>
  <c r="K218" i="3"/>
  <c r="L218" i="3"/>
  <c r="K219" i="3"/>
  <c r="L219" i="3"/>
  <c r="K220" i="3"/>
  <c r="L220" i="3"/>
  <c r="K221" i="3"/>
  <c r="L221" i="3"/>
  <c r="K222" i="3"/>
  <c r="L222" i="3"/>
  <c r="K223" i="3"/>
  <c r="L223" i="3"/>
  <c r="K224" i="3"/>
  <c r="L224" i="3"/>
  <c r="K225" i="3"/>
  <c r="L225" i="3"/>
  <c r="K226" i="3"/>
  <c r="L226" i="3"/>
  <c r="K227" i="3"/>
  <c r="L227" i="3"/>
  <c r="K228" i="3"/>
  <c r="L228" i="3"/>
  <c r="K229" i="3"/>
  <c r="L229" i="3"/>
  <c r="K230" i="3"/>
  <c r="L230" i="3"/>
  <c r="K231" i="3"/>
  <c r="L231" i="3"/>
  <c r="K232" i="3"/>
  <c r="L232" i="3"/>
  <c r="K233" i="3"/>
  <c r="L233" i="3"/>
  <c r="K234" i="3"/>
  <c r="L234" i="3"/>
  <c r="K235" i="3"/>
  <c r="L235" i="3"/>
  <c r="K236" i="3"/>
  <c r="L236" i="3"/>
  <c r="K237" i="3"/>
  <c r="L237" i="3"/>
  <c r="K238" i="3"/>
  <c r="L238" i="3"/>
  <c r="K239" i="3"/>
  <c r="L239" i="3"/>
  <c r="K240" i="3"/>
  <c r="L240" i="3"/>
  <c r="K241" i="3"/>
  <c r="L241" i="3"/>
  <c r="K242" i="3"/>
  <c r="L242" i="3"/>
  <c r="K243" i="3"/>
  <c r="L243" i="3"/>
  <c r="K244" i="3"/>
  <c r="L244" i="3"/>
  <c r="K245" i="3"/>
  <c r="L245" i="3"/>
  <c r="K246" i="3"/>
  <c r="L246" i="3"/>
  <c r="L247" i="3"/>
  <c r="K248" i="3"/>
  <c r="L248" i="3"/>
  <c r="K249" i="3"/>
  <c r="L249" i="3"/>
  <c r="K250" i="3"/>
  <c r="L250" i="3"/>
  <c r="K251" i="3"/>
  <c r="L251" i="3"/>
  <c r="K252" i="3"/>
  <c r="L252" i="3"/>
  <c r="K253" i="3"/>
  <c r="L253" i="3"/>
  <c r="K254" i="3"/>
  <c r="L254" i="3"/>
  <c r="K255" i="3"/>
  <c r="L255" i="3"/>
  <c r="K256" i="3"/>
  <c r="L256" i="3"/>
  <c r="K257" i="3"/>
  <c r="L257" i="3"/>
  <c r="K258" i="3"/>
  <c r="L258" i="3"/>
  <c r="K259" i="3"/>
  <c r="L259" i="3"/>
  <c r="K260" i="3"/>
  <c r="L260" i="3"/>
  <c r="K261" i="3"/>
  <c r="L261" i="3"/>
  <c r="K262" i="3"/>
  <c r="L262" i="3"/>
  <c r="K263" i="3"/>
  <c r="L263" i="3"/>
  <c r="K264" i="3"/>
  <c r="L264" i="3"/>
  <c r="K265" i="3"/>
  <c r="L265" i="3"/>
  <c r="K266" i="3"/>
  <c r="L266" i="3"/>
  <c r="K267" i="3"/>
  <c r="L267" i="3"/>
  <c r="K268" i="3"/>
  <c r="L268" i="3"/>
  <c r="K269" i="3"/>
  <c r="L269" i="3"/>
  <c r="K270" i="3"/>
  <c r="L270" i="3"/>
  <c r="K271" i="3"/>
  <c r="L271" i="3"/>
  <c r="K272" i="3"/>
  <c r="L272" i="3"/>
  <c r="K273" i="3"/>
  <c r="L273" i="3"/>
  <c r="K274" i="3"/>
  <c r="L274" i="3"/>
  <c r="K275" i="3"/>
  <c r="L275" i="3"/>
  <c r="K276" i="3"/>
  <c r="L276" i="3"/>
  <c r="K277" i="3"/>
  <c r="L277" i="3"/>
  <c r="K278" i="3"/>
  <c r="L278" i="3"/>
  <c r="K279" i="3"/>
  <c r="L279" i="3"/>
  <c r="BI4" i="1" l="1"/>
  <c r="BI5" i="1"/>
  <c r="BI6" i="1"/>
  <c r="BI7" i="1"/>
  <c r="BT7" i="1" s="1"/>
  <c r="BI8" i="1"/>
  <c r="BI9" i="1"/>
  <c r="BI10" i="1"/>
  <c r="BI11" i="1"/>
  <c r="BI12" i="1"/>
  <c r="BI13" i="1"/>
  <c r="BI14" i="1"/>
  <c r="BI15" i="1"/>
  <c r="BI16" i="1"/>
  <c r="BI17" i="1"/>
  <c r="BI18" i="1"/>
  <c r="BI19" i="1"/>
  <c r="BI20" i="1"/>
  <c r="BI21" i="1"/>
  <c r="BI22"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I143" i="1"/>
  <c r="BI144" i="1"/>
  <c r="BI145" i="1"/>
  <c r="BI146" i="1"/>
  <c r="BI147" i="1"/>
  <c r="BI148" i="1"/>
  <c r="BI149" i="1"/>
  <c r="BI150" i="1"/>
  <c r="BI151" i="1"/>
  <c r="BI152" i="1"/>
  <c r="BI153" i="1"/>
  <c r="BI154" i="1"/>
  <c r="BI155" i="1"/>
  <c r="BI156" i="1"/>
  <c r="BI157" i="1"/>
  <c r="BI158" i="1"/>
  <c r="BI159" i="1"/>
  <c r="BI160" i="1"/>
  <c r="BI161" i="1"/>
  <c r="BI162" i="1"/>
  <c r="BI163" i="1"/>
  <c r="BI164" i="1"/>
  <c r="BI165" i="1"/>
  <c r="BI166" i="1"/>
  <c r="BI167" i="1"/>
  <c r="BI168" i="1"/>
  <c r="BI169" i="1"/>
  <c r="BI170" i="1"/>
  <c r="BI171" i="1"/>
  <c r="BI172" i="1"/>
  <c r="BI173" i="1"/>
  <c r="BI174" i="1"/>
  <c r="BI175" i="1"/>
  <c r="BI176" i="1"/>
  <c r="BI177" i="1"/>
  <c r="BI178" i="1"/>
  <c r="BI179" i="1"/>
  <c r="BI180" i="1"/>
  <c r="BI181" i="1"/>
  <c r="BI182" i="1"/>
  <c r="BI183" i="1"/>
  <c r="BI184" i="1"/>
  <c r="BI185" i="1"/>
  <c r="BI186" i="1"/>
  <c r="BI187" i="1"/>
  <c r="BI188" i="1"/>
  <c r="BI189" i="1"/>
  <c r="BI190" i="1"/>
  <c r="BI191" i="1"/>
  <c r="BI192" i="1"/>
  <c r="BI193" i="1"/>
  <c r="BI194" i="1"/>
  <c r="BI195" i="1"/>
  <c r="BI196" i="1"/>
  <c r="BI197" i="1"/>
  <c r="BI198" i="1"/>
  <c r="BI199" i="1"/>
  <c r="BI200" i="1"/>
  <c r="BI201" i="1"/>
  <c r="BI202" i="1"/>
  <c r="BI203" i="1"/>
  <c r="BI204" i="1"/>
  <c r="BI205" i="1"/>
  <c r="BI206" i="1"/>
  <c r="BI207" i="1"/>
  <c r="BI208" i="1"/>
  <c r="BI209" i="1"/>
  <c r="BI210" i="1"/>
  <c r="BI211" i="1"/>
  <c r="BI212" i="1"/>
  <c r="BI213" i="1"/>
  <c r="BI214" i="1"/>
  <c r="BI215" i="1"/>
  <c r="BI216" i="1"/>
  <c r="BI217" i="1"/>
  <c r="BI218" i="1"/>
  <c r="BI219" i="1"/>
  <c r="BI220" i="1"/>
  <c r="BI221" i="1"/>
  <c r="BI222" i="1"/>
  <c r="BI223" i="1"/>
  <c r="BI224" i="1"/>
  <c r="BI225" i="1"/>
  <c r="BI226" i="1"/>
  <c r="BI227" i="1"/>
  <c r="BI228" i="1"/>
  <c r="BI229" i="1"/>
  <c r="BI230" i="1"/>
  <c r="BI231" i="1"/>
  <c r="BI232" i="1"/>
  <c r="BI233" i="1"/>
  <c r="BI234" i="1"/>
  <c r="BI235" i="1"/>
  <c r="BI236" i="1"/>
  <c r="BI237" i="1"/>
  <c r="BI238" i="1"/>
  <c r="BI239" i="1"/>
  <c r="BI240" i="1"/>
  <c r="BI241" i="1"/>
  <c r="BI242" i="1"/>
  <c r="BI243" i="1"/>
  <c r="BI244" i="1"/>
  <c r="BI245" i="1"/>
  <c r="BI246" i="1"/>
  <c r="BI247" i="1"/>
  <c r="BI248" i="1"/>
  <c r="BI249" i="1"/>
  <c r="BI250" i="1"/>
  <c r="BI251" i="1"/>
  <c r="BI252" i="1"/>
  <c r="BI253" i="1"/>
  <c r="BI254" i="1"/>
  <c r="BI255" i="1"/>
  <c r="BI256" i="1"/>
  <c r="BI257" i="1"/>
  <c r="BI258" i="1"/>
  <c r="BI259" i="1"/>
  <c r="BI260" i="1"/>
  <c r="BI261" i="1"/>
  <c r="BI262" i="1"/>
  <c r="BI263" i="1"/>
  <c r="BI264" i="1"/>
  <c r="BI265" i="1"/>
  <c r="BI266" i="1"/>
  <c r="BI267" i="1"/>
  <c r="BI268" i="1"/>
  <c r="BI269" i="1"/>
  <c r="BI270" i="1"/>
  <c r="BI271" i="1"/>
  <c r="BI272" i="1"/>
  <c r="BI273" i="1"/>
  <c r="BI274" i="1"/>
  <c r="BI275" i="1"/>
  <c r="BI276" i="1"/>
  <c r="BI277" i="1"/>
  <c r="BI278" i="1"/>
  <c r="BI279" i="1"/>
  <c r="BI280" i="1"/>
  <c r="BI281" i="1"/>
  <c r="BI282" i="1"/>
  <c r="BI283" i="1"/>
  <c r="BI284" i="1"/>
  <c r="BI285" i="1"/>
  <c r="BI286" i="1"/>
  <c r="BI287" i="1"/>
  <c r="BI288" i="1"/>
  <c r="BI289" i="1"/>
  <c r="BI290" i="1"/>
  <c r="BI291" i="1"/>
  <c r="BI292" i="1"/>
  <c r="BI293" i="1"/>
  <c r="BI294" i="1"/>
  <c r="BI295" i="1"/>
  <c r="BH4" i="1"/>
  <c r="BH5" i="1"/>
  <c r="Y4" i="2" s="1"/>
  <c r="BH6" i="1"/>
  <c r="Y5" i="2" s="1"/>
  <c r="BH7" i="1"/>
  <c r="Y6" i="2" s="1"/>
  <c r="BH8" i="1"/>
  <c r="Y7" i="2" s="1"/>
  <c r="BH9" i="1"/>
  <c r="Y8" i="2" s="1"/>
  <c r="BH10" i="1"/>
  <c r="Y9" i="2" s="1"/>
  <c r="BH11" i="1"/>
  <c r="Y10" i="2" s="1"/>
  <c r="BH12" i="1"/>
  <c r="Y11" i="2" s="1"/>
  <c r="BH13" i="1"/>
  <c r="Y12" i="2" s="1"/>
  <c r="BH14" i="1"/>
  <c r="Y13" i="2" s="1"/>
  <c r="BH15" i="1"/>
  <c r="Y14" i="2" s="1"/>
  <c r="BH16" i="1"/>
  <c r="Y15" i="2" s="1"/>
  <c r="BH17" i="1"/>
  <c r="Y16" i="2" s="1"/>
  <c r="BH18" i="1"/>
  <c r="Y17" i="2" s="1"/>
  <c r="BH19" i="1"/>
  <c r="Y18" i="2" s="1"/>
  <c r="BH20" i="1"/>
  <c r="Y19" i="2" s="1"/>
  <c r="BH21" i="1"/>
  <c r="Y20" i="2" s="1"/>
  <c r="BH22" i="1"/>
  <c r="Y21" i="2" s="1"/>
  <c r="BH27" i="1"/>
  <c r="Y26" i="2" s="1"/>
  <c r="BH28" i="1"/>
  <c r="Y27" i="2" s="1"/>
  <c r="BH29" i="1"/>
  <c r="Y28" i="2" s="1"/>
  <c r="BH30" i="1"/>
  <c r="Y29" i="2" s="1"/>
  <c r="BH31" i="1"/>
  <c r="Y30" i="2" s="1"/>
  <c r="BH32" i="1"/>
  <c r="Y31" i="2" s="1"/>
  <c r="BH33" i="1"/>
  <c r="Y32" i="2" s="1"/>
  <c r="BH34" i="1"/>
  <c r="Y33" i="2" s="1"/>
  <c r="BH35" i="1"/>
  <c r="Y34" i="2" s="1"/>
  <c r="BH36" i="1"/>
  <c r="Y35" i="2" s="1"/>
  <c r="BH37" i="1"/>
  <c r="Y36" i="2" s="1"/>
  <c r="BH38" i="1"/>
  <c r="Y37" i="2" s="1"/>
  <c r="BH39" i="1"/>
  <c r="Y38" i="2" s="1"/>
  <c r="BH40" i="1"/>
  <c r="Y39" i="2" s="1"/>
  <c r="BH41" i="1"/>
  <c r="Y40" i="2" s="1"/>
  <c r="BH42" i="1"/>
  <c r="Y41" i="2" s="1"/>
  <c r="BH43" i="1"/>
  <c r="Y42" i="2" s="1"/>
  <c r="BH44" i="1"/>
  <c r="Y43" i="2" s="1"/>
  <c r="BH45" i="1"/>
  <c r="Y44" i="2" s="1"/>
  <c r="BH46" i="1"/>
  <c r="Y45" i="2" s="1"/>
  <c r="BH47" i="1"/>
  <c r="Y46" i="2" s="1"/>
  <c r="BH48" i="1"/>
  <c r="Y47" i="2" s="1"/>
  <c r="BH49" i="1"/>
  <c r="Y48" i="2" s="1"/>
  <c r="BH50" i="1"/>
  <c r="Y49" i="2" s="1"/>
  <c r="BH51" i="1"/>
  <c r="Y50" i="2" s="1"/>
  <c r="BH52" i="1"/>
  <c r="Y51" i="2" s="1"/>
  <c r="BH53" i="1"/>
  <c r="Y52" i="2" s="1"/>
  <c r="BH54" i="1"/>
  <c r="Y53" i="2" s="1"/>
  <c r="BH55" i="1"/>
  <c r="Y54" i="2" s="1"/>
  <c r="BH56" i="1"/>
  <c r="Y55" i="2" s="1"/>
  <c r="BH57" i="1"/>
  <c r="Y56" i="2" s="1"/>
  <c r="BH58" i="1"/>
  <c r="Y57" i="2" s="1"/>
  <c r="BH59" i="1"/>
  <c r="Y58" i="2" s="1"/>
  <c r="BH60" i="1"/>
  <c r="Y59" i="2" s="1"/>
  <c r="BH61" i="1"/>
  <c r="Y60" i="2" s="1"/>
  <c r="BH62" i="1"/>
  <c r="Y61" i="2" s="1"/>
  <c r="BH63" i="1"/>
  <c r="Y62" i="2" s="1"/>
  <c r="BH64" i="1"/>
  <c r="Y63" i="2" s="1"/>
  <c r="BH65" i="1"/>
  <c r="Y64" i="2" s="1"/>
  <c r="BH66" i="1"/>
  <c r="Y65" i="2" s="1"/>
  <c r="BH67" i="1"/>
  <c r="Y66" i="2" s="1"/>
  <c r="BH68" i="1"/>
  <c r="Y67" i="2" s="1"/>
  <c r="BH69" i="1"/>
  <c r="Y68" i="2" s="1"/>
  <c r="BH70" i="1"/>
  <c r="Y69" i="2" s="1"/>
  <c r="BH71" i="1"/>
  <c r="Y70" i="2" s="1"/>
  <c r="BH72" i="1"/>
  <c r="Y71" i="2" s="1"/>
  <c r="BH73" i="1"/>
  <c r="Y72" i="2" s="1"/>
  <c r="BH74" i="1"/>
  <c r="Y73" i="2" s="1"/>
  <c r="BH75" i="1"/>
  <c r="Y74" i="2" s="1"/>
  <c r="BH76" i="1"/>
  <c r="Y75" i="2" s="1"/>
  <c r="BH77" i="1"/>
  <c r="Y76" i="2" s="1"/>
  <c r="BH78" i="1"/>
  <c r="Y77" i="2" s="1"/>
  <c r="BH79" i="1"/>
  <c r="Y78" i="2" s="1"/>
  <c r="BH80" i="1"/>
  <c r="Y79" i="2" s="1"/>
  <c r="BH81" i="1"/>
  <c r="Y80" i="2" s="1"/>
  <c r="BH82" i="1"/>
  <c r="Y81" i="2" s="1"/>
  <c r="BH83" i="1"/>
  <c r="Y82" i="2" s="1"/>
  <c r="BH84" i="1"/>
  <c r="Y83" i="2" s="1"/>
  <c r="BH85" i="1"/>
  <c r="Y84" i="2" s="1"/>
  <c r="BH86" i="1"/>
  <c r="Y85" i="2" s="1"/>
  <c r="BH87" i="1"/>
  <c r="Y86" i="2" s="1"/>
  <c r="BH88" i="1"/>
  <c r="Y87" i="2" s="1"/>
  <c r="BH89" i="1"/>
  <c r="Y88" i="2" s="1"/>
  <c r="BH90" i="1"/>
  <c r="Y89" i="2" s="1"/>
  <c r="BH91" i="1"/>
  <c r="Y90" i="2" s="1"/>
  <c r="BH92" i="1"/>
  <c r="Y91" i="2" s="1"/>
  <c r="BH93" i="1"/>
  <c r="Y92" i="2" s="1"/>
  <c r="BH94" i="1"/>
  <c r="Y93" i="2" s="1"/>
  <c r="BH95" i="1"/>
  <c r="Y94" i="2" s="1"/>
  <c r="BH96" i="1"/>
  <c r="Y95" i="2" s="1"/>
  <c r="BH97" i="1"/>
  <c r="Y96" i="2" s="1"/>
  <c r="BH98" i="1"/>
  <c r="Y97" i="2" s="1"/>
  <c r="BH99" i="1"/>
  <c r="Y98" i="2" s="1"/>
  <c r="BH100" i="1"/>
  <c r="Y99" i="2" s="1"/>
  <c r="BH101" i="1"/>
  <c r="Y100" i="2" s="1"/>
  <c r="BH102" i="1"/>
  <c r="Y101" i="2" s="1"/>
  <c r="BH103" i="1"/>
  <c r="Y102" i="2" s="1"/>
  <c r="BH104" i="1"/>
  <c r="Y103" i="2" s="1"/>
  <c r="BH105" i="1"/>
  <c r="Y104" i="2" s="1"/>
  <c r="BH106" i="1"/>
  <c r="Y105" i="2" s="1"/>
  <c r="BH107" i="1"/>
  <c r="Y106" i="2" s="1"/>
  <c r="BH108" i="1"/>
  <c r="Y107" i="2" s="1"/>
  <c r="BH109" i="1"/>
  <c r="Y108" i="2" s="1"/>
  <c r="BH110" i="1"/>
  <c r="Y109" i="2" s="1"/>
  <c r="BH111" i="1"/>
  <c r="Y110" i="2" s="1"/>
  <c r="BH112" i="1"/>
  <c r="Y111" i="2" s="1"/>
  <c r="BH113" i="1"/>
  <c r="Y112" i="2" s="1"/>
  <c r="BH114" i="1"/>
  <c r="Y113" i="2" s="1"/>
  <c r="BH115" i="1"/>
  <c r="Y114" i="2" s="1"/>
  <c r="BH116" i="1"/>
  <c r="Y115" i="2" s="1"/>
  <c r="BH117" i="1"/>
  <c r="Y116" i="2" s="1"/>
  <c r="BH118" i="1"/>
  <c r="Y117" i="2" s="1"/>
  <c r="BH119" i="1"/>
  <c r="Y118" i="2" s="1"/>
  <c r="BH120" i="1"/>
  <c r="Y119" i="2" s="1"/>
  <c r="BH121" i="1"/>
  <c r="Y120" i="2" s="1"/>
  <c r="BH122" i="1"/>
  <c r="Y121" i="2" s="1"/>
  <c r="BH123" i="1"/>
  <c r="Y123" i="2" s="1"/>
  <c r="BH124" i="1"/>
  <c r="Y124" i="2" s="1"/>
  <c r="BH125" i="1"/>
  <c r="Y125" i="2" s="1"/>
  <c r="BH126" i="1"/>
  <c r="Y126" i="2" s="1"/>
  <c r="BH127" i="1"/>
  <c r="Y127" i="2" s="1"/>
  <c r="BH128" i="1"/>
  <c r="Y128" i="2" s="1"/>
  <c r="BH129" i="1"/>
  <c r="Y129" i="2" s="1"/>
  <c r="BH130" i="1"/>
  <c r="Y130" i="2" s="1"/>
  <c r="BH131" i="1"/>
  <c r="Y131" i="2" s="1"/>
  <c r="BH132" i="1"/>
  <c r="Y132" i="2" s="1"/>
  <c r="BH133" i="1"/>
  <c r="Y133" i="2" s="1"/>
  <c r="BH134" i="1"/>
  <c r="Y134" i="2" s="1"/>
  <c r="BH135" i="1"/>
  <c r="Y135" i="2" s="1"/>
  <c r="BH136" i="1"/>
  <c r="Y136" i="2" s="1"/>
  <c r="BH137" i="1"/>
  <c r="Y137" i="2" s="1"/>
  <c r="BH138" i="1"/>
  <c r="Y138" i="2" s="1"/>
  <c r="BH139" i="1"/>
  <c r="Y139" i="2" s="1"/>
  <c r="BH140" i="1"/>
  <c r="Y140" i="2" s="1"/>
  <c r="BH141" i="1"/>
  <c r="Y141" i="2" s="1"/>
  <c r="BH142" i="1"/>
  <c r="Y142" i="2" s="1"/>
  <c r="BH143" i="1"/>
  <c r="Y143" i="2" s="1"/>
  <c r="BH144" i="1"/>
  <c r="Y144" i="2" s="1"/>
  <c r="BH145" i="1"/>
  <c r="Y145" i="2" s="1"/>
  <c r="BH146" i="1"/>
  <c r="Y146" i="2" s="1"/>
  <c r="BH147" i="1"/>
  <c r="Y147" i="2" s="1"/>
  <c r="BH148" i="1"/>
  <c r="Y148" i="2" s="1"/>
  <c r="BH149" i="1"/>
  <c r="Y149" i="2" s="1"/>
  <c r="BH150" i="1"/>
  <c r="Y150" i="2" s="1"/>
  <c r="BH151" i="1"/>
  <c r="Y151" i="2" s="1"/>
  <c r="BH152" i="1"/>
  <c r="Y152" i="2" s="1"/>
  <c r="BH153" i="1"/>
  <c r="Y153" i="2" s="1"/>
  <c r="BH154" i="1"/>
  <c r="Y154" i="2" s="1"/>
  <c r="BH155" i="1"/>
  <c r="Y155" i="2" s="1"/>
  <c r="BH156" i="1"/>
  <c r="Y156" i="2" s="1"/>
  <c r="BH157" i="1"/>
  <c r="Y157" i="2" s="1"/>
  <c r="BH158" i="1"/>
  <c r="Y158" i="2" s="1"/>
  <c r="BH159" i="1"/>
  <c r="Y159" i="2" s="1"/>
  <c r="BH160" i="1"/>
  <c r="Y160" i="2" s="1"/>
  <c r="BH161" i="1"/>
  <c r="Y161" i="2" s="1"/>
  <c r="BH162" i="1"/>
  <c r="Y162" i="2" s="1"/>
  <c r="BH163" i="1"/>
  <c r="Y163" i="2" s="1"/>
  <c r="BH164" i="1"/>
  <c r="Y164" i="2" s="1"/>
  <c r="BH165" i="1"/>
  <c r="Y165" i="2" s="1"/>
  <c r="BH166" i="1"/>
  <c r="Y166" i="2" s="1"/>
  <c r="BH167" i="1"/>
  <c r="Y167" i="2" s="1"/>
  <c r="BH168" i="1"/>
  <c r="Y168" i="2" s="1"/>
  <c r="BH169" i="1"/>
  <c r="Y169" i="2" s="1"/>
  <c r="BH170" i="1"/>
  <c r="Y170" i="2" s="1"/>
  <c r="BH171" i="1"/>
  <c r="Y171" i="2" s="1"/>
  <c r="BH172" i="1"/>
  <c r="Y172" i="2" s="1"/>
  <c r="BH173" i="1"/>
  <c r="Y173" i="2" s="1"/>
  <c r="BH174" i="1"/>
  <c r="Y174" i="2" s="1"/>
  <c r="BH175" i="1"/>
  <c r="Y175" i="2" s="1"/>
  <c r="BH176" i="1"/>
  <c r="Y176" i="2" s="1"/>
  <c r="BH177" i="1"/>
  <c r="Y177" i="2" s="1"/>
  <c r="BH178" i="1"/>
  <c r="Y178" i="2" s="1"/>
  <c r="BH179" i="1"/>
  <c r="Y179" i="2" s="1"/>
  <c r="BH180" i="1"/>
  <c r="Y180" i="2" s="1"/>
  <c r="BH181" i="1"/>
  <c r="Y181" i="2" s="1"/>
  <c r="BH182" i="1"/>
  <c r="Y182" i="2" s="1"/>
  <c r="BH183" i="1"/>
  <c r="Y183" i="2" s="1"/>
  <c r="BH184" i="1"/>
  <c r="Y184" i="2" s="1"/>
  <c r="BH185" i="1"/>
  <c r="Y185" i="2" s="1"/>
  <c r="BH186" i="1"/>
  <c r="Y186" i="2" s="1"/>
  <c r="BH187" i="1"/>
  <c r="Y187" i="2" s="1"/>
  <c r="BH188" i="1"/>
  <c r="Y188" i="2" s="1"/>
  <c r="BH189" i="1"/>
  <c r="Y189" i="2" s="1"/>
  <c r="BH190" i="1"/>
  <c r="Y190" i="2" s="1"/>
  <c r="BH191" i="1"/>
  <c r="Y191" i="2" s="1"/>
  <c r="BH192" i="1"/>
  <c r="Y192" i="2" s="1"/>
  <c r="BH193" i="1"/>
  <c r="Y193" i="2" s="1"/>
  <c r="BH194" i="1"/>
  <c r="Y194" i="2" s="1"/>
  <c r="BH195" i="1"/>
  <c r="Y195" i="2" s="1"/>
  <c r="BH196" i="1"/>
  <c r="Y196" i="2" s="1"/>
  <c r="BH197" i="1"/>
  <c r="Y197" i="2" s="1"/>
  <c r="BH198" i="1"/>
  <c r="Y198" i="2" s="1"/>
  <c r="BH199" i="1"/>
  <c r="Y199" i="2" s="1"/>
  <c r="BH200" i="1"/>
  <c r="Y200" i="2" s="1"/>
  <c r="BH201" i="1"/>
  <c r="Y201" i="2" s="1"/>
  <c r="BH202" i="1"/>
  <c r="Y202" i="2" s="1"/>
  <c r="BH203" i="1"/>
  <c r="Y203" i="2" s="1"/>
  <c r="BH204" i="1"/>
  <c r="Y204" i="2" s="1"/>
  <c r="BH205" i="1"/>
  <c r="Y205" i="2" s="1"/>
  <c r="BH206" i="1"/>
  <c r="Y206" i="2" s="1"/>
  <c r="BH207" i="1"/>
  <c r="Y207" i="2" s="1"/>
  <c r="BH208" i="1"/>
  <c r="Y208" i="2" s="1"/>
  <c r="BH209" i="1"/>
  <c r="Y209" i="2" s="1"/>
  <c r="BH210" i="1"/>
  <c r="Y210" i="2" s="1"/>
  <c r="BH211" i="1"/>
  <c r="Y211" i="2" s="1"/>
  <c r="BH212" i="1"/>
  <c r="Y212" i="2" s="1"/>
  <c r="BH213" i="1"/>
  <c r="Y213" i="2" s="1"/>
  <c r="BH214" i="1"/>
  <c r="Y214" i="2" s="1"/>
  <c r="BH215" i="1"/>
  <c r="Y215" i="2" s="1"/>
  <c r="BH216" i="1"/>
  <c r="Y216" i="2" s="1"/>
  <c r="BH217" i="1"/>
  <c r="Y217" i="2" s="1"/>
  <c r="BH218" i="1"/>
  <c r="Y218" i="2" s="1"/>
  <c r="BH219" i="1"/>
  <c r="Y219" i="2" s="1"/>
  <c r="BH220" i="1"/>
  <c r="Y220" i="2" s="1"/>
  <c r="BH221" i="1"/>
  <c r="Y221" i="2" s="1"/>
  <c r="BH222" i="1"/>
  <c r="Y222" i="2" s="1"/>
  <c r="BH223" i="1"/>
  <c r="Y223" i="2" s="1"/>
  <c r="BH224" i="1"/>
  <c r="Y224" i="2" s="1"/>
  <c r="BH225" i="1"/>
  <c r="Y225" i="2" s="1"/>
  <c r="BH226" i="1"/>
  <c r="Y226" i="2" s="1"/>
  <c r="BH227" i="1"/>
  <c r="Y227" i="2" s="1"/>
  <c r="BH228" i="1"/>
  <c r="Y228" i="2" s="1"/>
  <c r="BH229" i="1"/>
  <c r="Y229" i="2" s="1"/>
  <c r="BH230" i="1"/>
  <c r="Y230" i="2" s="1"/>
  <c r="BH231" i="1"/>
  <c r="Y231" i="2" s="1"/>
  <c r="BH232" i="1"/>
  <c r="Y232" i="2" s="1"/>
  <c r="BH233" i="1"/>
  <c r="Y233" i="2" s="1"/>
  <c r="BH234" i="1"/>
  <c r="Y234" i="2" s="1"/>
  <c r="BH235" i="1"/>
  <c r="Y235" i="2" s="1"/>
  <c r="BH236" i="1"/>
  <c r="Y236" i="2" s="1"/>
  <c r="BH237" i="1"/>
  <c r="Y237" i="2" s="1"/>
  <c r="BH238" i="1"/>
  <c r="Y238" i="2" s="1"/>
  <c r="BH239" i="1"/>
  <c r="Y239" i="2" s="1"/>
  <c r="BH240" i="1"/>
  <c r="Y240" i="2" s="1"/>
  <c r="BH241" i="1"/>
  <c r="Y241" i="2" s="1"/>
  <c r="BH242" i="1"/>
  <c r="Y242" i="2" s="1"/>
  <c r="BH243" i="1"/>
  <c r="Y243" i="2" s="1"/>
  <c r="BH244" i="1"/>
  <c r="Y244" i="2" s="1"/>
  <c r="BH245" i="1"/>
  <c r="Y245" i="2" s="1"/>
  <c r="BH246" i="1"/>
  <c r="Y246" i="2" s="1"/>
  <c r="BH247" i="1"/>
  <c r="Y247" i="2" s="1"/>
  <c r="BH248" i="1"/>
  <c r="Y248" i="2" s="1"/>
  <c r="BH249" i="1"/>
  <c r="Y249" i="2" s="1"/>
  <c r="BH250" i="1"/>
  <c r="Y250" i="2" s="1"/>
  <c r="BH251" i="1"/>
  <c r="Y251" i="2" s="1"/>
  <c r="BH252" i="1"/>
  <c r="Y252" i="2" s="1"/>
  <c r="BH253" i="1"/>
  <c r="Y253" i="2" s="1"/>
  <c r="BH254" i="1"/>
  <c r="Y254" i="2" s="1"/>
  <c r="BH255" i="1"/>
  <c r="Y255" i="2" s="1"/>
  <c r="BH256" i="1"/>
  <c r="Y256" i="2" s="1"/>
  <c r="BH257" i="1"/>
  <c r="Y257" i="2" s="1"/>
  <c r="BH258" i="1"/>
  <c r="Y258" i="2" s="1"/>
  <c r="BH259" i="1"/>
  <c r="Y259" i="2" s="1"/>
  <c r="BH260" i="1"/>
  <c r="Y260" i="2" s="1"/>
  <c r="BH261" i="1"/>
  <c r="Y261" i="2" s="1"/>
  <c r="BH262" i="1"/>
  <c r="Y262" i="2" s="1"/>
  <c r="BH263" i="1"/>
  <c r="Y263" i="2" s="1"/>
  <c r="BH264" i="1"/>
  <c r="Y264" i="2" s="1"/>
  <c r="BH265" i="1"/>
  <c r="Y265" i="2" s="1"/>
  <c r="BH266" i="1"/>
  <c r="Y266" i="2" s="1"/>
  <c r="BH267" i="1"/>
  <c r="Y267" i="2" s="1"/>
  <c r="BH268" i="1"/>
  <c r="Y268" i="2" s="1"/>
  <c r="BH269" i="1"/>
  <c r="Y269" i="2" s="1"/>
  <c r="BH270" i="1"/>
  <c r="Y270" i="2" s="1"/>
  <c r="BH271" i="1"/>
  <c r="Y271" i="2" s="1"/>
  <c r="BH272" i="1"/>
  <c r="Y272" i="2" s="1"/>
  <c r="BH273" i="1"/>
  <c r="Y273" i="2" s="1"/>
  <c r="BH274" i="1"/>
  <c r="Y274" i="2" s="1"/>
  <c r="BH275" i="1"/>
  <c r="Y275" i="2" s="1"/>
  <c r="BH276" i="1"/>
  <c r="Y276" i="2" s="1"/>
  <c r="BH277" i="1"/>
  <c r="Y277" i="2" s="1"/>
  <c r="BH278" i="1"/>
  <c r="Y278" i="2" s="1"/>
  <c r="BH279" i="1"/>
  <c r="Y279" i="2" s="1"/>
  <c r="BH280" i="1"/>
  <c r="Y280" i="2" s="1"/>
  <c r="BH281" i="1"/>
  <c r="Y281" i="2" s="1"/>
  <c r="BH282" i="1"/>
  <c r="Y282" i="2" s="1"/>
  <c r="BH283" i="1"/>
  <c r="Y283" i="2" s="1"/>
  <c r="BH284" i="1"/>
  <c r="Y284" i="2" s="1"/>
  <c r="BH285" i="1"/>
  <c r="Y285" i="2" s="1"/>
  <c r="BH286" i="1"/>
  <c r="Y286" i="2" s="1"/>
  <c r="BH287" i="1"/>
  <c r="Y287" i="2" s="1"/>
  <c r="BH288" i="1"/>
  <c r="Y288" i="2" s="1"/>
  <c r="BH289" i="1"/>
  <c r="Y289" i="2" s="1"/>
  <c r="BH290" i="1"/>
  <c r="Y290" i="2" s="1"/>
  <c r="BH291" i="1"/>
  <c r="Y291" i="2" s="1"/>
  <c r="BH292" i="1"/>
  <c r="Y292" i="2" s="1"/>
  <c r="BH293" i="1"/>
  <c r="Y293" i="2" s="1"/>
  <c r="BH294" i="1"/>
  <c r="Y294" i="2" s="1"/>
  <c r="BH295" i="1"/>
  <c r="Y295" i="2" s="1"/>
  <c r="BJ221" i="1" l="1"/>
  <c r="BC221" i="1"/>
  <c r="U221" i="2" s="1"/>
  <c r="BK221" i="1"/>
  <c r="BT221" i="1"/>
  <c r="Z221" i="2" s="1"/>
  <c r="AP221" i="1"/>
  <c r="S221" i="2" s="1"/>
  <c r="AQ221" i="1"/>
  <c r="T221" i="2" s="1"/>
  <c r="BT155" i="1"/>
  <c r="Z155" i="2" s="1"/>
  <c r="AB295" i="1"/>
  <c r="AB288" i="1"/>
  <c r="AB289" i="1"/>
  <c r="AB290" i="1"/>
  <c r="AB291" i="1"/>
  <c r="AB292" i="1"/>
  <c r="AB293" i="1"/>
  <c r="AB294" i="1"/>
  <c r="AB287" i="1"/>
  <c r="S263" i="1"/>
  <c r="O263" i="2" s="1"/>
  <c r="S268" i="1"/>
  <c r="O268" i="2" s="1"/>
  <c r="S269" i="1"/>
  <c r="O269" i="2" s="1"/>
  <c r="S270" i="1"/>
  <c r="O270" i="2" s="1"/>
  <c r="S271" i="1"/>
  <c r="O271" i="2" s="1"/>
  <c r="S272" i="1"/>
  <c r="O272" i="2" s="1"/>
  <c r="S275" i="1"/>
  <c r="O275" i="2" s="1"/>
  <c r="S274" i="1"/>
  <c r="O274" i="2" s="1"/>
  <c r="S273" i="1"/>
  <c r="O273" i="2" s="1"/>
  <c r="AM254" i="1"/>
  <c r="Q254" i="2" s="1"/>
  <c r="AM242" i="1"/>
  <c r="Q242" i="2" s="1"/>
  <c r="AM244" i="1"/>
  <c r="Q244" i="2" s="1"/>
  <c r="AM243" i="1"/>
  <c r="Q243" i="2" s="1"/>
  <c r="AM241" i="1"/>
  <c r="Q241" i="2" s="1"/>
  <c r="AM240" i="1"/>
  <c r="Q240" i="2" s="1"/>
  <c r="AM239" i="1"/>
  <c r="Q239" i="2" s="1"/>
  <c r="AM238" i="1"/>
  <c r="Q238" i="2" s="1"/>
  <c r="AM237" i="1"/>
  <c r="Q237" i="2" s="1"/>
  <c r="AM236" i="1"/>
  <c r="Q236" i="2" s="1"/>
  <c r="BC223" i="1"/>
  <c r="U223" i="2" s="1"/>
  <c r="BC206" i="1"/>
  <c r="U206" i="2" s="1"/>
  <c r="BC207" i="1"/>
  <c r="U207" i="2" s="1"/>
  <c r="BC208" i="1"/>
  <c r="U208" i="2" s="1"/>
  <c r="BC209" i="1"/>
  <c r="U209" i="2" s="1"/>
  <c r="BC210" i="1"/>
  <c r="U210" i="2" s="1"/>
  <c r="BC211" i="1"/>
  <c r="U211" i="2" s="1"/>
  <c r="BC212" i="1"/>
  <c r="U212" i="2" s="1"/>
  <c r="BC213" i="1"/>
  <c r="U213" i="2" s="1"/>
  <c r="BC214" i="1"/>
  <c r="U214" i="2" s="1"/>
  <c r="BC215" i="1"/>
  <c r="U215" i="2" s="1"/>
  <c r="BC216" i="1"/>
  <c r="U216" i="2" s="1"/>
  <c r="BC217" i="1"/>
  <c r="U217" i="2" s="1"/>
  <c r="BC218" i="1"/>
  <c r="U218" i="2" s="1"/>
  <c r="BC219" i="1"/>
  <c r="U219" i="2" s="1"/>
  <c r="BC220" i="1"/>
  <c r="U220" i="2" s="1"/>
  <c r="AM252" i="1"/>
  <c r="Q252" i="2" s="1"/>
  <c r="AM251" i="1"/>
  <c r="Q251" i="2" s="1"/>
  <c r="AM225" i="1"/>
  <c r="Q225" i="2" s="1"/>
  <c r="AM224" i="1"/>
  <c r="Q224" i="2" s="1"/>
  <c r="AM223" i="1"/>
  <c r="Q223" i="2" s="1"/>
  <c r="BK206" i="1"/>
  <c r="BJ206" i="1"/>
  <c r="BK207" i="1"/>
  <c r="BJ207" i="1"/>
  <c r="BK208" i="1"/>
  <c r="BJ208" i="1"/>
  <c r="BK209" i="1"/>
  <c r="BJ209" i="1"/>
  <c r="BK210" i="1"/>
  <c r="BJ210" i="1"/>
  <c r="BK211" i="1"/>
  <c r="BJ211" i="1"/>
  <c r="BK212" i="1"/>
  <c r="BJ212" i="1"/>
  <c r="BK213" i="1"/>
  <c r="BJ213" i="1"/>
  <c r="BK214" i="1"/>
  <c r="BJ214" i="1"/>
  <c r="BK215" i="1"/>
  <c r="BJ215" i="1"/>
  <c r="BK216" i="1"/>
  <c r="BJ216" i="1"/>
  <c r="BK217" i="1"/>
  <c r="BJ217" i="1"/>
  <c r="BK218" i="1"/>
  <c r="BJ218" i="1"/>
  <c r="BK219" i="1"/>
  <c r="BJ219" i="1"/>
  <c r="BK220" i="1"/>
  <c r="BJ220" i="1"/>
  <c r="AM207" i="1"/>
  <c r="Q207" i="2" s="1"/>
  <c r="AM208" i="1"/>
  <c r="Q208" i="2" s="1"/>
  <c r="AM209" i="1"/>
  <c r="Q209" i="2" s="1"/>
  <c r="AM210" i="1"/>
  <c r="Q210" i="2" s="1"/>
  <c r="AM211" i="1"/>
  <c r="Q211" i="2" s="1"/>
  <c r="AM212" i="1"/>
  <c r="Q212" i="2" s="1"/>
  <c r="AM213" i="1"/>
  <c r="Q213" i="2" s="1"/>
  <c r="AM214" i="1"/>
  <c r="Q214" i="2" s="1"/>
  <c r="AM215" i="1"/>
  <c r="Q215" i="2" s="1"/>
  <c r="AM216" i="1"/>
  <c r="Q216" i="2" s="1"/>
  <c r="AM217" i="1"/>
  <c r="Q217" i="2" s="1"/>
  <c r="AM218" i="1"/>
  <c r="Q218" i="2" s="1"/>
  <c r="AM219" i="1"/>
  <c r="Q219" i="2" s="1"/>
  <c r="AM220" i="1"/>
  <c r="Q220" i="2" s="1"/>
  <c r="AM206" i="1"/>
  <c r="Q206" i="2" s="1"/>
  <c r="S215" i="1"/>
  <c r="O215" i="2" s="1"/>
  <c r="S216" i="1"/>
  <c r="O216" i="2" s="1"/>
  <c r="S217" i="1"/>
  <c r="O217" i="2" s="1"/>
  <c r="S218" i="1"/>
  <c r="O218" i="2" s="1"/>
  <c r="S219" i="1"/>
  <c r="O219" i="2" s="1"/>
  <c r="S220" i="1"/>
  <c r="O220" i="2" s="1"/>
  <c r="AB220" i="1"/>
  <c r="AP220" i="1" s="1"/>
  <c r="S220" i="2" s="1"/>
  <c r="AB219" i="1"/>
  <c r="AP219" i="1" s="1"/>
  <c r="S219" i="2" s="1"/>
  <c r="AB218" i="1"/>
  <c r="AP218" i="1" s="1"/>
  <c r="S218" i="2" s="1"/>
  <c r="AB217" i="1"/>
  <c r="AQ217" i="1" s="1"/>
  <c r="T217" i="2" s="1"/>
  <c r="AB216" i="1"/>
  <c r="AP216" i="1" s="1"/>
  <c r="S216" i="2" s="1"/>
  <c r="AB215" i="1"/>
  <c r="AP215" i="1" s="1"/>
  <c r="S215" i="2" s="1"/>
  <c r="S214" i="1"/>
  <c r="O214" i="2" s="1"/>
  <c r="AB214" i="1"/>
  <c r="AP214" i="1" s="1"/>
  <c r="S214" i="2" s="1"/>
  <c r="S213" i="1"/>
  <c r="O213" i="2" s="1"/>
  <c r="AB213" i="1"/>
  <c r="AQ213" i="1" s="1"/>
  <c r="T213" i="2" s="1"/>
  <c r="S212" i="1"/>
  <c r="O212" i="2" s="1"/>
  <c r="AB212" i="1"/>
  <c r="AP212" i="1" s="1"/>
  <c r="S212" i="2" s="1"/>
  <c r="S211" i="1"/>
  <c r="O211" i="2" s="1"/>
  <c r="AB211" i="1"/>
  <c r="AP211" i="1" s="1"/>
  <c r="S211" i="2" s="1"/>
  <c r="S207" i="1"/>
  <c r="O207" i="2" s="1"/>
  <c r="S208" i="1"/>
  <c r="O208" i="2" s="1"/>
  <c r="S209" i="1"/>
  <c r="O209" i="2" s="1"/>
  <c r="S210" i="1"/>
  <c r="O210" i="2" s="1"/>
  <c r="S206" i="1"/>
  <c r="O206" i="2" s="1"/>
  <c r="AB210" i="1"/>
  <c r="AP210" i="1" s="1"/>
  <c r="S210" i="2" s="1"/>
  <c r="AB209" i="1"/>
  <c r="AQ209" i="1" s="1"/>
  <c r="T209" i="2" s="1"/>
  <c r="AB208" i="1"/>
  <c r="AP208" i="1" s="1"/>
  <c r="S208" i="2" s="1"/>
  <c r="AB207" i="1"/>
  <c r="AP207" i="1" s="1"/>
  <c r="S207" i="2" s="1"/>
  <c r="AB206" i="1"/>
  <c r="AP206" i="1" s="1"/>
  <c r="S206" i="2" s="1"/>
  <c r="S188" i="1"/>
  <c r="O188" i="2" s="1"/>
  <c r="S189" i="1"/>
  <c r="O189" i="2" s="1"/>
  <c r="S190" i="1"/>
  <c r="O190" i="2" s="1"/>
  <c r="S191" i="1"/>
  <c r="O191" i="2" s="1"/>
  <c r="S192" i="1"/>
  <c r="O192" i="2" s="1"/>
  <c r="S193" i="1"/>
  <c r="O193" i="2" s="1"/>
  <c r="S194" i="1"/>
  <c r="O194" i="2" s="1"/>
  <c r="S195" i="1"/>
  <c r="O195" i="2" s="1"/>
  <c r="S196" i="1"/>
  <c r="O196" i="2" s="1"/>
  <c r="S197" i="1"/>
  <c r="O197" i="2" s="1"/>
  <c r="S198" i="1"/>
  <c r="O198" i="2" s="1"/>
  <c r="S199" i="1"/>
  <c r="O199" i="2" s="1"/>
  <c r="S200" i="1"/>
  <c r="O200" i="2" s="1"/>
  <c r="S201" i="1"/>
  <c r="O201" i="2" s="1"/>
  <c r="S202" i="1"/>
  <c r="O202" i="2" s="1"/>
  <c r="S203" i="1"/>
  <c r="O203" i="2" s="1"/>
  <c r="S204" i="1"/>
  <c r="O204" i="2" s="1"/>
  <c r="S205" i="1"/>
  <c r="O205" i="2" s="1"/>
  <c r="S187" i="1"/>
  <c r="O187" i="2" s="1"/>
  <c r="AM192" i="1"/>
  <c r="Q192" i="2" s="1"/>
  <c r="AM191" i="1"/>
  <c r="Q191" i="2" s="1"/>
  <c r="AM190" i="1"/>
  <c r="Q190" i="2" s="1"/>
  <c r="AM189" i="1"/>
  <c r="Q189" i="2" s="1"/>
  <c r="AM188" i="1"/>
  <c r="Q188" i="2" s="1"/>
  <c r="AM187" i="1"/>
  <c r="Q187" i="2" s="1"/>
  <c r="AM162" i="1"/>
  <c r="Q162" i="2" s="1"/>
  <c r="AB161" i="1"/>
  <c r="AP161" i="1" s="1"/>
  <c r="S161" i="2" s="1"/>
  <c r="BC161" i="1"/>
  <c r="U161" i="2" s="1"/>
  <c r="BK161" i="1"/>
  <c r="BT161" i="1"/>
  <c r="Z161" i="2" s="1"/>
  <c r="BJ161" i="1"/>
  <c r="AM145" i="1"/>
  <c r="Q145" i="2" s="1"/>
  <c r="BK145" i="1"/>
  <c r="BJ145" i="1"/>
  <c r="BK144" i="1"/>
  <c r="BJ144" i="1"/>
  <c r="AM144" i="1"/>
  <c r="Q144" i="2" s="1"/>
  <c r="R145" i="1"/>
  <c r="R144" i="1"/>
  <c r="BK143" i="1"/>
  <c r="BJ143" i="1"/>
  <c r="BK142" i="1"/>
  <c r="BJ142" i="1"/>
  <c r="AM143" i="1"/>
  <c r="Q143" i="2" s="1"/>
  <c r="AM142" i="1"/>
  <c r="Q142" i="2" s="1"/>
  <c r="R143" i="1"/>
  <c r="R142" i="1"/>
  <c r="BK141" i="1"/>
  <c r="BJ141" i="1"/>
  <c r="BK140" i="1"/>
  <c r="BJ140" i="1"/>
  <c r="AM141" i="1"/>
  <c r="Q141" i="2" s="1"/>
  <c r="AM140" i="1"/>
  <c r="Q140" i="2" s="1"/>
  <c r="Z141" i="1"/>
  <c r="R141" i="1"/>
  <c r="R140" i="1"/>
  <c r="BK139" i="1"/>
  <c r="BJ139" i="1"/>
  <c r="BK138" i="1"/>
  <c r="BJ138" i="1"/>
  <c r="BK137" i="1"/>
  <c r="BJ137" i="1"/>
  <c r="BK136" i="1"/>
  <c r="BJ136" i="1"/>
  <c r="AM139" i="1"/>
  <c r="Q139" i="2" s="1"/>
  <c r="AM138" i="1"/>
  <c r="Q138" i="2" s="1"/>
  <c r="AM137" i="1"/>
  <c r="Q137" i="2" s="1"/>
  <c r="AM136" i="1"/>
  <c r="Q136" i="2" s="1"/>
  <c r="R139" i="1"/>
  <c r="R138" i="1"/>
  <c r="BK135" i="1"/>
  <c r="BJ135" i="1"/>
  <c r="AM135" i="1"/>
  <c r="Q135" i="2" s="1"/>
  <c r="BK134" i="1"/>
  <c r="BJ134" i="1"/>
  <c r="BK133" i="1"/>
  <c r="BJ133" i="1"/>
  <c r="BK132" i="1"/>
  <c r="BJ132" i="1"/>
  <c r="AM134" i="1"/>
  <c r="Q134" i="2" s="1"/>
  <c r="AM133" i="1"/>
  <c r="Q133" i="2" s="1"/>
  <c r="AM132" i="1"/>
  <c r="Q132" i="2" s="1"/>
  <c r="BK131" i="1"/>
  <c r="BJ131" i="1"/>
  <c r="BK130" i="1"/>
  <c r="BJ130" i="1"/>
  <c r="BK129" i="1"/>
  <c r="BJ129" i="1"/>
  <c r="BK128" i="1"/>
  <c r="BJ128" i="1"/>
  <c r="AM131" i="1"/>
  <c r="Q131" i="2" s="1"/>
  <c r="AM130" i="1"/>
  <c r="Q130" i="2" s="1"/>
  <c r="AM129" i="1"/>
  <c r="Q129" i="2" s="1"/>
  <c r="AM128" i="1"/>
  <c r="Q128" i="2" s="1"/>
  <c r="R137" i="1"/>
  <c r="R136" i="1"/>
  <c r="R131" i="1"/>
  <c r="R135" i="1"/>
  <c r="R134" i="1"/>
  <c r="R133" i="1"/>
  <c r="R132" i="1"/>
  <c r="R130" i="1"/>
  <c r="R129" i="1"/>
  <c r="R128" i="1"/>
  <c r="BK127" i="1"/>
  <c r="BJ127" i="1"/>
  <c r="BK126" i="1"/>
  <c r="BJ126" i="1"/>
  <c r="AM127" i="1"/>
  <c r="Q127" i="2" s="1"/>
  <c r="AM126" i="1"/>
  <c r="Q126" i="2" s="1"/>
  <c r="R127" i="1"/>
  <c r="R126" i="1"/>
  <c r="BK125" i="1"/>
  <c r="BJ125" i="1"/>
  <c r="AM125" i="1"/>
  <c r="Q125" i="2" s="1"/>
  <c r="R125" i="1"/>
  <c r="BK124" i="1"/>
  <c r="BJ124" i="1"/>
  <c r="BK123" i="1"/>
  <c r="BJ123" i="1"/>
  <c r="AM124" i="1"/>
  <c r="Q124" i="2" s="1"/>
  <c r="AM123" i="1"/>
  <c r="Q123" i="2" s="1"/>
  <c r="R124" i="1"/>
  <c r="R123" i="1"/>
  <c r="BK122" i="1"/>
  <c r="BJ122" i="1"/>
  <c r="AM122" i="1"/>
  <c r="Q121" i="2" s="1"/>
  <c r="R122" i="1"/>
  <c r="BK121" i="1"/>
  <c r="BJ121" i="1"/>
  <c r="AM121" i="1"/>
  <c r="Q120" i="2" s="1"/>
  <c r="R121" i="1"/>
  <c r="AM120" i="1"/>
  <c r="Q119" i="2" s="1"/>
  <c r="BK120" i="1"/>
  <c r="BJ120" i="1"/>
  <c r="BK119" i="1"/>
  <c r="BJ119" i="1"/>
  <c r="AM119" i="1"/>
  <c r="Q118" i="2" s="1"/>
  <c r="BK118" i="1"/>
  <c r="BJ118" i="1"/>
  <c r="BK117" i="1"/>
  <c r="BJ117" i="1"/>
  <c r="BK116" i="1"/>
  <c r="BJ116" i="1"/>
  <c r="BK115" i="1"/>
  <c r="BJ115" i="1"/>
  <c r="BK114" i="1"/>
  <c r="BJ114" i="1"/>
  <c r="BK113" i="1"/>
  <c r="BJ113" i="1"/>
  <c r="BK112" i="1"/>
  <c r="BJ112" i="1"/>
  <c r="BK111" i="1"/>
  <c r="BJ111" i="1"/>
  <c r="Z104" i="1"/>
  <c r="AM118" i="1"/>
  <c r="Q117" i="2" s="1"/>
  <c r="AM117" i="1"/>
  <c r="Q116" i="2" s="1"/>
  <c r="AM116" i="1"/>
  <c r="Q115" i="2" s="1"/>
  <c r="AM115" i="1"/>
  <c r="Q114" i="2" s="1"/>
  <c r="AM114" i="1"/>
  <c r="Q113" i="2" s="1"/>
  <c r="AM113" i="1"/>
  <c r="Q112" i="2" s="1"/>
  <c r="AM112" i="1"/>
  <c r="Q111" i="2" s="1"/>
  <c r="AM111" i="1"/>
  <c r="Q110" i="2" s="1"/>
  <c r="BK110" i="1"/>
  <c r="BJ110" i="1"/>
  <c r="AM110" i="1"/>
  <c r="Q109" i="2" s="1"/>
  <c r="BK109" i="1"/>
  <c r="BJ109" i="1"/>
  <c r="AM109" i="1"/>
  <c r="Q108" i="2" s="1"/>
  <c r="BK108" i="1"/>
  <c r="BJ108" i="1"/>
  <c r="AM108" i="1"/>
  <c r="Q107" i="2" s="1"/>
  <c r="BK107" i="1"/>
  <c r="BJ107" i="1"/>
  <c r="BK106" i="1"/>
  <c r="BJ106" i="1"/>
  <c r="BK105" i="1"/>
  <c r="BJ105" i="1"/>
  <c r="BK104" i="1"/>
  <c r="BJ104" i="1"/>
  <c r="BK103" i="1"/>
  <c r="BJ103" i="1"/>
  <c r="AM107" i="1"/>
  <c r="Q106" i="2" s="1"/>
  <c r="AM106" i="1"/>
  <c r="Q105" i="2" s="1"/>
  <c r="AM105" i="1"/>
  <c r="Q104" i="2" s="1"/>
  <c r="AM104" i="1"/>
  <c r="Q103" i="2" s="1"/>
  <c r="AM103" i="1"/>
  <c r="Q102" i="2" s="1"/>
  <c r="AM102" i="1"/>
  <c r="Q101" i="2" s="1"/>
  <c r="AM101" i="1"/>
  <c r="Q100" i="2" s="1"/>
  <c r="Z103" i="1"/>
  <c r="R120" i="1"/>
  <c r="R119" i="1"/>
  <c r="R118" i="1"/>
  <c r="R117" i="1"/>
  <c r="R116" i="1"/>
  <c r="R115" i="1"/>
  <c r="R114" i="1"/>
  <c r="R113" i="1"/>
  <c r="R112" i="1"/>
  <c r="R111" i="1"/>
  <c r="R110" i="1"/>
  <c r="R109" i="1"/>
  <c r="R108" i="1"/>
  <c r="R107" i="1"/>
  <c r="R106" i="1"/>
  <c r="R105" i="1"/>
  <c r="R104" i="1"/>
  <c r="R103" i="1"/>
  <c r="BK102" i="1"/>
  <c r="BJ102" i="1"/>
  <c r="BK101" i="1"/>
  <c r="BJ101" i="1"/>
  <c r="Z102" i="1"/>
  <c r="AB102" i="1"/>
  <c r="AB101" i="1"/>
  <c r="Z101" i="1"/>
  <c r="BK100" i="1"/>
  <c r="BJ100" i="1"/>
  <c r="BK99" i="1"/>
  <c r="BJ99" i="1"/>
  <c r="BK98" i="1"/>
  <c r="BJ98" i="1"/>
  <c r="BK97" i="1"/>
  <c r="BJ97" i="1"/>
  <c r="BK96" i="1"/>
  <c r="BJ96" i="1"/>
  <c r="AM100" i="1"/>
  <c r="Q99" i="2" s="1"/>
  <c r="AM99" i="1"/>
  <c r="Q98" i="2" s="1"/>
  <c r="AM98" i="1"/>
  <c r="Q97" i="2" s="1"/>
  <c r="AM97" i="1"/>
  <c r="Q96" i="2" s="1"/>
  <c r="AM96" i="1"/>
  <c r="Q95" i="2" s="1"/>
  <c r="AM95" i="1"/>
  <c r="Q94" i="2" s="1"/>
  <c r="AB98" i="1"/>
  <c r="AB99" i="1"/>
  <c r="AB100" i="1"/>
  <c r="Z96" i="1"/>
  <c r="Z100" i="1"/>
  <c r="Z99" i="1"/>
  <c r="Z98" i="1"/>
  <c r="Z97" i="1"/>
  <c r="AB97" i="1"/>
  <c r="AB96" i="1"/>
  <c r="BK95" i="1"/>
  <c r="BJ95" i="1"/>
  <c r="BK94" i="1"/>
  <c r="BJ94" i="1"/>
  <c r="AM94" i="1"/>
  <c r="Q93" i="2" s="1"/>
  <c r="AB95" i="1"/>
  <c r="AB94" i="1"/>
  <c r="Z95" i="1"/>
  <c r="Z94" i="1"/>
  <c r="BJ93" i="1"/>
  <c r="BK93" i="1"/>
  <c r="AM93" i="1"/>
  <c r="Q92" i="2" s="1"/>
  <c r="BK92" i="1"/>
  <c r="BJ92" i="1"/>
  <c r="BK91" i="1"/>
  <c r="BJ91" i="1"/>
  <c r="BK90" i="1"/>
  <c r="BJ90" i="1"/>
  <c r="AM92" i="1"/>
  <c r="Q91" i="2" s="1"/>
  <c r="AM91" i="1"/>
  <c r="Q90" i="2" s="1"/>
  <c r="AM90" i="1"/>
  <c r="Q89" i="2" s="1"/>
  <c r="AB92" i="1"/>
  <c r="AP92" i="1" s="1"/>
  <c r="S91" i="2" s="1"/>
  <c r="AB91" i="1"/>
  <c r="AP91" i="1" s="1"/>
  <c r="S90" i="2" s="1"/>
  <c r="AB90" i="1"/>
  <c r="AQ90" i="1" s="1"/>
  <c r="T89" i="2" s="1"/>
  <c r="AB87" i="1"/>
  <c r="AQ87" i="1" s="1"/>
  <c r="T86" i="2" s="1"/>
  <c r="AB93" i="1"/>
  <c r="AQ93" i="1" s="1"/>
  <c r="T92" i="2" s="1"/>
  <c r="BK89" i="1"/>
  <c r="BJ89" i="1"/>
  <c r="AM89" i="1"/>
  <c r="Q88" i="2" s="1"/>
  <c r="AB89" i="1"/>
  <c r="AQ89" i="1" s="1"/>
  <c r="T88" i="2" s="1"/>
  <c r="BK88" i="1"/>
  <c r="BJ88" i="1"/>
  <c r="AM88" i="1"/>
  <c r="Q87" i="2" s="1"/>
  <c r="AB88" i="1"/>
  <c r="AQ88" i="1" s="1"/>
  <c r="T87" i="2" s="1"/>
  <c r="S88" i="1"/>
  <c r="O87" i="2" s="1"/>
  <c r="BK87" i="1"/>
  <c r="BJ87" i="1"/>
  <c r="AM87" i="1"/>
  <c r="Q86" i="2" s="1"/>
  <c r="S87" i="1"/>
  <c r="O86" i="2" s="1"/>
  <c r="BK86" i="1"/>
  <c r="BJ86" i="1"/>
  <c r="AM86" i="1"/>
  <c r="Q85" i="2" s="1"/>
  <c r="AM85" i="1"/>
  <c r="Q84" i="2" s="1"/>
  <c r="AB86" i="1"/>
  <c r="AQ86" i="1" s="1"/>
  <c r="T85" i="2" s="1"/>
  <c r="S86" i="1"/>
  <c r="O85" i="2" s="1"/>
  <c r="BK85" i="1"/>
  <c r="BJ85" i="1"/>
  <c r="AB85" i="1"/>
  <c r="AP85" i="1" s="1"/>
  <c r="S84" i="2" s="1"/>
  <c r="AB78" i="1"/>
  <c r="AB114" i="1" l="1"/>
  <c r="N113" i="2"/>
  <c r="AB132" i="1"/>
  <c r="N132" i="2"/>
  <c r="AB139" i="1"/>
  <c r="AP139" i="1" s="1"/>
  <c r="S139" i="2" s="1"/>
  <c r="N139" i="2"/>
  <c r="AB107" i="1"/>
  <c r="N106" i="2"/>
  <c r="AB115" i="1"/>
  <c r="N114" i="2"/>
  <c r="AB121" i="1"/>
  <c r="AQ121" i="1" s="1"/>
  <c r="T120" i="2" s="1"/>
  <c r="N120" i="2"/>
  <c r="AB123" i="1"/>
  <c r="AQ123" i="1" s="1"/>
  <c r="T123" i="2" s="1"/>
  <c r="N123" i="2"/>
  <c r="AB125" i="1"/>
  <c r="N125" i="2"/>
  <c r="AB133" i="1"/>
  <c r="N133" i="2"/>
  <c r="AB124" i="1"/>
  <c r="AQ124" i="1" s="1"/>
  <c r="T124" i="2" s="1"/>
  <c r="N124" i="2"/>
  <c r="AB134" i="1"/>
  <c r="AQ134" i="1" s="1"/>
  <c r="T134" i="2" s="1"/>
  <c r="N134" i="2"/>
  <c r="AB108" i="1"/>
  <c r="N107" i="2"/>
  <c r="AB109" i="1"/>
  <c r="AQ109" i="1" s="1"/>
  <c r="T108" i="2" s="1"/>
  <c r="N108" i="2"/>
  <c r="AB117" i="1"/>
  <c r="N116" i="2"/>
  <c r="AB135" i="1"/>
  <c r="N135" i="2"/>
  <c r="AB116" i="1"/>
  <c r="N115" i="2"/>
  <c r="AB110" i="1"/>
  <c r="AQ110" i="1" s="1"/>
  <c r="T109" i="2" s="1"/>
  <c r="N109" i="2"/>
  <c r="AB118" i="1"/>
  <c r="N117" i="2"/>
  <c r="AB131" i="1"/>
  <c r="AQ131" i="1" s="1"/>
  <c r="T131" i="2" s="1"/>
  <c r="N131" i="2"/>
  <c r="AB106" i="1"/>
  <c r="AQ106" i="1" s="1"/>
  <c r="T105" i="2" s="1"/>
  <c r="N105" i="2"/>
  <c r="AB103" i="1"/>
  <c r="N102" i="2"/>
  <c r="AB111" i="1"/>
  <c r="N110" i="2"/>
  <c r="AB119" i="1"/>
  <c r="N118" i="2"/>
  <c r="AB122" i="1"/>
  <c r="AQ122" i="1" s="1"/>
  <c r="T121" i="2" s="1"/>
  <c r="N121" i="2"/>
  <c r="AB126" i="1"/>
  <c r="AQ126" i="1" s="1"/>
  <c r="T126" i="2" s="1"/>
  <c r="N126" i="2"/>
  <c r="AB128" i="1"/>
  <c r="N128" i="2"/>
  <c r="AB136" i="1"/>
  <c r="AP136" i="1" s="1"/>
  <c r="S136" i="2" s="1"/>
  <c r="N136" i="2"/>
  <c r="AB140" i="1"/>
  <c r="AQ140" i="1" s="1"/>
  <c r="T140" i="2" s="1"/>
  <c r="N140" i="2"/>
  <c r="AB104" i="1"/>
  <c r="N103" i="2"/>
  <c r="AB112" i="1"/>
  <c r="N111" i="2"/>
  <c r="AB120" i="1"/>
  <c r="N119" i="2"/>
  <c r="AB127" i="1"/>
  <c r="AQ127" i="1" s="1"/>
  <c r="T127" i="2" s="1"/>
  <c r="N127" i="2"/>
  <c r="AB129" i="1"/>
  <c r="N129" i="2"/>
  <c r="AB137" i="1"/>
  <c r="AQ137" i="1" s="1"/>
  <c r="T137" i="2" s="1"/>
  <c r="N137" i="2"/>
  <c r="AB141" i="1"/>
  <c r="AP141" i="1" s="1"/>
  <c r="N141" i="2"/>
  <c r="AB142" i="1"/>
  <c r="AQ142" i="1" s="1"/>
  <c r="T142" i="2" s="1"/>
  <c r="N142" i="2"/>
  <c r="AB144" i="1"/>
  <c r="AQ144" i="1" s="1"/>
  <c r="T144" i="2" s="1"/>
  <c r="N144" i="2"/>
  <c r="AB105" i="1"/>
  <c r="AQ105" i="1" s="1"/>
  <c r="T104" i="2" s="1"/>
  <c r="N104" i="2"/>
  <c r="AB113" i="1"/>
  <c r="AP113" i="1" s="1"/>
  <c r="S112" i="2" s="1"/>
  <c r="N112" i="2"/>
  <c r="AB130" i="1"/>
  <c r="AQ130" i="1" s="1"/>
  <c r="T130" i="2" s="1"/>
  <c r="N130" i="2"/>
  <c r="AB138" i="1"/>
  <c r="AP138" i="1" s="1"/>
  <c r="S138" i="2" s="1"/>
  <c r="N138" i="2"/>
  <c r="AB143" i="1"/>
  <c r="AQ143" i="1" s="1"/>
  <c r="T143" i="2" s="1"/>
  <c r="N143" i="2"/>
  <c r="AB145" i="1"/>
  <c r="AP145" i="1" s="1"/>
  <c r="N145" i="2"/>
  <c r="BU221" i="1"/>
  <c r="AA221" i="2" s="1"/>
  <c r="BV221" i="1"/>
  <c r="AB221" i="2" s="1"/>
  <c r="BT207" i="1"/>
  <c r="Z207" i="2" s="1"/>
  <c r="BT134" i="1"/>
  <c r="Z134" i="2" s="1"/>
  <c r="AP213" i="1"/>
  <c r="AQ207" i="1"/>
  <c r="T207" i="2" s="1"/>
  <c r="BT206" i="1"/>
  <c r="Z206" i="2" s="1"/>
  <c r="AQ212" i="1"/>
  <c r="T212" i="2" s="1"/>
  <c r="AQ220" i="1"/>
  <c r="T220" i="2" s="1"/>
  <c r="AQ206" i="1"/>
  <c r="T206" i="2" s="1"/>
  <c r="AQ219" i="1"/>
  <c r="T219" i="2" s="1"/>
  <c r="AP217" i="1"/>
  <c r="BT218" i="1"/>
  <c r="Z218" i="2" s="1"/>
  <c r="BT210" i="1"/>
  <c r="Z210" i="2" s="1"/>
  <c r="AQ214" i="1"/>
  <c r="T214" i="2" s="1"/>
  <c r="BU206" i="1"/>
  <c r="AA206" i="2" s="1"/>
  <c r="BU210" i="1"/>
  <c r="AA210" i="2" s="1"/>
  <c r="AP209" i="1"/>
  <c r="BT213" i="1"/>
  <c r="Z213" i="2" s="1"/>
  <c r="AQ216" i="1"/>
  <c r="T216" i="2" s="1"/>
  <c r="AQ208" i="1"/>
  <c r="T208" i="2" s="1"/>
  <c r="BT208" i="1"/>
  <c r="Z208" i="2" s="1"/>
  <c r="BT215" i="1"/>
  <c r="Z215" i="2" s="1"/>
  <c r="AQ215" i="1"/>
  <c r="T215" i="2" s="1"/>
  <c r="AQ211" i="1"/>
  <c r="T211" i="2" s="1"/>
  <c r="BT220" i="1"/>
  <c r="Z220" i="2" s="1"/>
  <c r="BT212" i="1"/>
  <c r="Z212" i="2" s="1"/>
  <c r="BU207" i="1"/>
  <c r="AA207" i="2" s="1"/>
  <c r="BV206" i="1"/>
  <c r="AB206" i="2" s="1"/>
  <c r="BT217" i="1"/>
  <c r="Z217" i="2" s="1"/>
  <c r="AQ218" i="1"/>
  <c r="T218" i="2" s="1"/>
  <c r="AQ210" i="1"/>
  <c r="T210" i="2" s="1"/>
  <c r="BT214" i="1"/>
  <c r="Z214" i="2" s="1"/>
  <c r="AQ161" i="1"/>
  <c r="T161" i="2" s="1"/>
  <c r="BT219" i="1"/>
  <c r="Z219" i="2" s="1"/>
  <c r="BT211" i="1"/>
  <c r="Z211" i="2" s="1"/>
  <c r="BT209" i="1"/>
  <c r="Z209" i="2" s="1"/>
  <c r="BT216" i="1"/>
  <c r="Z216" i="2" s="1"/>
  <c r="BU220" i="1"/>
  <c r="AA220" i="2" s="1"/>
  <c r="BV220" i="1"/>
  <c r="AB220" i="2" s="1"/>
  <c r="BU219" i="1"/>
  <c r="AA219" i="2" s="1"/>
  <c r="BV219" i="1"/>
  <c r="AB219" i="2" s="1"/>
  <c r="BU218" i="1"/>
  <c r="AA218" i="2" s="1"/>
  <c r="BV218" i="1"/>
  <c r="AB218" i="2" s="1"/>
  <c r="BU216" i="1"/>
  <c r="AA216" i="2" s="1"/>
  <c r="BV216" i="1"/>
  <c r="AB216" i="2" s="1"/>
  <c r="BU215" i="1"/>
  <c r="AA215" i="2" s="1"/>
  <c r="BV215" i="1"/>
  <c r="AB215" i="2" s="1"/>
  <c r="BU214" i="1"/>
  <c r="AA214" i="2" s="1"/>
  <c r="BV214" i="1"/>
  <c r="AB214" i="2" s="1"/>
  <c r="BU212" i="1"/>
  <c r="AA212" i="2" s="1"/>
  <c r="BV212" i="1"/>
  <c r="AB212" i="2" s="1"/>
  <c r="BU211" i="1"/>
  <c r="AA211" i="2" s="1"/>
  <c r="BV211" i="1"/>
  <c r="AB211" i="2" s="1"/>
  <c r="BV210" i="1"/>
  <c r="AB210" i="2" s="1"/>
  <c r="BU208" i="1"/>
  <c r="AA208" i="2" s="1"/>
  <c r="BV208" i="1"/>
  <c r="AB208" i="2" s="1"/>
  <c r="BV207" i="1"/>
  <c r="AB207" i="2" s="1"/>
  <c r="BT140" i="1"/>
  <c r="Z140" i="2" s="1"/>
  <c r="BT145" i="1"/>
  <c r="Z145" i="2" s="1"/>
  <c r="BT135" i="1"/>
  <c r="Z135" i="2" s="1"/>
  <c r="BU161" i="1"/>
  <c r="AA161" i="2" s="1"/>
  <c r="BT131" i="1"/>
  <c r="Z131" i="2" s="1"/>
  <c r="BV161" i="1"/>
  <c r="AB161" i="2" s="1"/>
  <c r="BT126" i="1"/>
  <c r="Z126" i="2" s="1"/>
  <c r="BT129" i="1"/>
  <c r="Z129" i="2" s="1"/>
  <c r="BT92" i="1"/>
  <c r="Z91" i="2" s="1"/>
  <c r="BT124" i="1"/>
  <c r="Z124" i="2" s="1"/>
  <c r="BT130" i="1"/>
  <c r="Z130" i="2" s="1"/>
  <c r="BT136" i="1"/>
  <c r="Z136" i="2" s="1"/>
  <c r="AQ141" i="1"/>
  <c r="T141" i="2" s="1"/>
  <c r="BT138" i="1"/>
  <c r="Z138" i="2" s="1"/>
  <c r="BT132" i="1"/>
  <c r="Z132" i="2" s="1"/>
  <c r="BT142" i="1"/>
  <c r="Z142" i="2" s="1"/>
  <c r="BU139" i="1"/>
  <c r="AA139" i="2" s="1"/>
  <c r="BT144" i="1"/>
  <c r="Z144" i="2" s="1"/>
  <c r="AP137" i="1"/>
  <c r="AP133" i="1"/>
  <c r="AQ133" i="1"/>
  <c r="T133" i="2" s="1"/>
  <c r="BT97" i="1"/>
  <c r="Z96" i="2" s="1"/>
  <c r="AQ138" i="1"/>
  <c r="T138" i="2" s="1"/>
  <c r="BT128" i="1"/>
  <c r="Z128" i="2" s="1"/>
  <c r="AP144" i="1"/>
  <c r="BT137" i="1"/>
  <c r="Z137" i="2" s="1"/>
  <c r="BT143" i="1"/>
  <c r="Z143" i="2" s="1"/>
  <c r="BT133" i="1"/>
  <c r="Z133" i="2" s="1"/>
  <c r="BT139" i="1"/>
  <c r="Z139" i="2" s="1"/>
  <c r="AP140" i="1"/>
  <c r="AP104" i="1"/>
  <c r="BT141" i="1"/>
  <c r="Z141" i="2" s="1"/>
  <c r="BT127" i="1"/>
  <c r="Z127" i="2" s="1"/>
  <c r="AQ139" i="1"/>
  <c r="T139" i="2" s="1"/>
  <c r="BV139" i="1"/>
  <c r="AB139" i="2" s="1"/>
  <c r="BT121" i="1"/>
  <c r="Z120" i="2" s="1"/>
  <c r="AP131" i="1"/>
  <c r="BV138" i="1"/>
  <c r="AB138" i="2" s="1"/>
  <c r="BU138" i="1"/>
  <c r="AA138" i="2" s="1"/>
  <c r="BV136" i="1"/>
  <c r="AB136" i="2" s="1"/>
  <c r="AQ135" i="1"/>
  <c r="T135" i="2" s="1"/>
  <c r="AP135" i="1"/>
  <c r="AQ128" i="1"/>
  <c r="T128" i="2" s="1"/>
  <c r="AP128" i="1"/>
  <c r="AP129" i="1"/>
  <c r="AQ129" i="1"/>
  <c r="T129" i="2" s="1"/>
  <c r="AQ125" i="1"/>
  <c r="T125" i="2" s="1"/>
  <c r="AP125" i="1"/>
  <c r="AQ132" i="1"/>
  <c r="T132" i="2" s="1"/>
  <c r="AP132" i="1"/>
  <c r="AP134" i="1"/>
  <c r="BT122" i="1"/>
  <c r="Z121" i="2" s="1"/>
  <c r="BT123" i="1"/>
  <c r="Z123" i="2" s="1"/>
  <c r="AP127" i="1"/>
  <c r="AP123" i="1"/>
  <c r="BT125" i="1"/>
  <c r="Z125" i="2" s="1"/>
  <c r="AP126" i="1"/>
  <c r="AP124" i="1"/>
  <c r="BT113" i="1"/>
  <c r="Z112" i="2" s="1"/>
  <c r="BT89" i="1"/>
  <c r="Z88" i="2" s="1"/>
  <c r="BT107" i="1"/>
  <c r="Z106" i="2" s="1"/>
  <c r="BT117" i="1"/>
  <c r="Z116" i="2" s="1"/>
  <c r="BT105" i="1"/>
  <c r="Z104" i="2" s="1"/>
  <c r="BT106" i="1"/>
  <c r="Z105" i="2" s="1"/>
  <c r="BT119" i="1"/>
  <c r="Z118" i="2" s="1"/>
  <c r="BT100" i="1"/>
  <c r="Z99" i="2" s="1"/>
  <c r="BT120" i="1"/>
  <c r="Z119" i="2" s="1"/>
  <c r="AQ99" i="1"/>
  <c r="T98" i="2" s="1"/>
  <c r="AQ102" i="1"/>
  <c r="T101" i="2" s="1"/>
  <c r="BT103" i="1"/>
  <c r="Z102" i="2" s="1"/>
  <c r="AQ114" i="1"/>
  <c r="T113" i="2" s="1"/>
  <c r="AP114" i="1"/>
  <c r="AP89" i="1"/>
  <c r="AP94" i="1"/>
  <c r="AQ101" i="1"/>
  <c r="T100" i="2" s="1"/>
  <c r="AQ104" i="1"/>
  <c r="T103" i="2" s="1"/>
  <c r="BT88" i="1"/>
  <c r="Z87" i="2" s="1"/>
  <c r="AP97" i="1"/>
  <c r="AP105" i="1"/>
  <c r="BT112" i="1"/>
  <c r="Z111" i="2" s="1"/>
  <c r="AP122" i="1"/>
  <c r="AP103" i="1"/>
  <c r="BT87" i="1"/>
  <c r="Z86" i="2" s="1"/>
  <c r="BT96" i="1"/>
  <c r="Z95" i="2" s="1"/>
  <c r="BT114" i="1"/>
  <c r="Z113" i="2" s="1"/>
  <c r="BT104" i="1"/>
  <c r="Z103" i="2" s="1"/>
  <c r="BT115" i="1"/>
  <c r="Z114" i="2" s="1"/>
  <c r="BT116" i="1"/>
  <c r="Z115" i="2" s="1"/>
  <c r="BT99" i="1"/>
  <c r="Z98" i="2" s="1"/>
  <c r="AP107" i="1"/>
  <c r="AQ107" i="1"/>
  <c r="T106" i="2" s="1"/>
  <c r="AQ115" i="1"/>
  <c r="T114" i="2" s="1"/>
  <c r="AP115" i="1"/>
  <c r="AP116" i="1"/>
  <c r="AQ116" i="1"/>
  <c r="T115" i="2" s="1"/>
  <c r="AP117" i="1"/>
  <c r="AQ117" i="1"/>
  <c r="T116" i="2" s="1"/>
  <c r="AP118" i="1"/>
  <c r="AQ118" i="1"/>
  <c r="T117" i="2" s="1"/>
  <c r="AP111" i="1"/>
  <c r="AQ111" i="1"/>
  <c r="T110" i="2" s="1"/>
  <c r="AQ119" i="1"/>
  <c r="T118" i="2" s="1"/>
  <c r="AP119" i="1"/>
  <c r="AQ108" i="1"/>
  <c r="T107" i="2" s="1"/>
  <c r="AP108" i="1"/>
  <c r="AP112" i="1"/>
  <c r="AQ112" i="1"/>
  <c r="T111" i="2" s="1"/>
  <c r="AP120" i="1"/>
  <c r="AQ120" i="1"/>
  <c r="T119" i="2" s="1"/>
  <c r="AQ103" i="1"/>
  <c r="T102" i="2" s="1"/>
  <c r="AQ113" i="1"/>
  <c r="T112" i="2" s="1"/>
  <c r="AP88" i="1"/>
  <c r="AP100" i="1"/>
  <c r="AP110" i="1"/>
  <c r="AP96" i="1"/>
  <c r="AP99" i="1"/>
  <c r="AP106" i="1"/>
  <c r="AP109" i="1"/>
  <c r="AP121" i="1"/>
  <c r="BT94" i="1"/>
  <c r="Z93" i="2" s="1"/>
  <c r="AQ97" i="1"/>
  <c r="T96" i="2" s="1"/>
  <c r="BT98" i="1"/>
  <c r="Z97" i="2" s="1"/>
  <c r="BT101" i="1"/>
  <c r="Z100" i="2" s="1"/>
  <c r="BT110" i="1"/>
  <c r="Z109" i="2" s="1"/>
  <c r="AQ94" i="1"/>
  <c r="T93" i="2" s="1"/>
  <c r="AP98" i="1"/>
  <c r="BT109" i="1"/>
  <c r="Z108" i="2" s="1"/>
  <c r="AP95" i="1"/>
  <c r="BT108" i="1"/>
  <c r="Z107" i="2" s="1"/>
  <c r="BT111" i="1"/>
  <c r="Z110" i="2" s="1"/>
  <c r="BT118" i="1"/>
  <c r="Z117" i="2" s="1"/>
  <c r="BU113" i="1"/>
  <c r="AA112" i="2" s="1"/>
  <c r="BV113" i="1"/>
  <c r="AB112" i="2" s="1"/>
  <c r="AQ100" i="1"/>
  <c r="T99" i="2" s="1"/>
  <c r="AQ96" i="1"/>
  <c r="T95" i="2" s="1"/>
  <c r="AQ92" i="1"/>
  <c r="T91" i="2" s="1"/>
  <c r="AP101" i="1"/>
  <c r="BT93" i="1"/>
  <c r="Z92" i="2" s="1"/>
  <c r="BT85" i="1"/>
  <c r="Z84" i="2" s="1"/>
  <c r="BT90" i="1"/>
  <c r="Z89" i="2" s="1"/>
  <c r="AQ98" i="1"/>
  <c r="T97" i="2" s="1"/>
  <c r="BT102" i="1"/>
  <c r="Z101" i="2" s="1"/>
  <c r="BT86" i="1"/>
  <c r="Z85" i="2" s="1"/>
  <c r="AP90" i="1"/>
  <c r="AQ95" i="1"/>
  <c r="T94" i="2" s="1"/>
  <c r="AP102" i="1"/>
  <c r="BT91" i="1"/>
  <c r="Z90" i="2" s="1"/>
  <c r="BT95" i="1"/>
  <c r="Z94" i="2" s="1"/>
  <c r="BV92" i="1"/>
  <c r="AB91" i="2" s="1"/>
  <c r="BU92" i="1"/>
  <c r="AA91" i="2" s="1"/>
  <c r="AP86" i="1"/>
  <c r="AP87" i="1"/>
  <c r="AQ91" i="1"/>
  <c r="T90" i="2" s="1"/>
  <c r="AP93" i="1"/>
  <c r="AQ85" i="1"/>
  <c r="T84" i="2" s="1"/>
  <c r="BU91" i="1"/>
  <c r="AA90" i="2" s="1"/>
  <c r="BV91" i="1"/>
  <c r="AB90" i="2" s="1"/>
  <c r="BU85" i="1"/>
  <c r="AA84" i="2" s="1"/>
  <c r="BV85" i="1"/>
  <c r="AB84" i="2" s="1"/>
  <c r="AQ145" i="1" l="1"/>
  <c r="T145" i="2" s="1"/>
  <c r="AP143" i="1"/>
  <c r="S143" i="2" s="1"/>
  <c r="AP130" i="1"/>
  <c r="BV130" i="1" s="1"/>
  <c r="AB130" i="2" s="1"/>
  <c r="BU136" i="1"/>
  <c r="AA136" i="2" s="1"/>
  <c r="AP142" i="1"/>
  <c r="S142" i="2" s="1"/>
  <c r="AQ136" i="1"/>
  <c r="T136" i="2" s="1"/>
  <c r="BV145" i="1"/>
  <c r="AB145" i="2" s="1"/>
  <c r="S145" i="2"/>
  <c r="BV115" i="1"/>
  <c r="AB114" i="2" s="1"/>
  <c r="S114" i="2"/>
  <c r="BV127" i="1"/>
  <c r="AB127" i="2" s="1"/>
  <c r="S127" i="2"/>
  <c r="S130" i="2"/>
  <c r="BV209" i="1"/>
  <c r="AB209" i="2" s="1"/>
  <c r="S209" i="2"/>
  <c r="BV106" i="1"/>
  <c r="AB105" i="2" s="1"/>
  <c r="S105" i="2"/>
  <c r="BU111" i="1"/>
  <c r="AA110" i="2" s="1"/>
  <c r="S110" i="2"/>
  <c r="BU144" i="1"/>
  <c r="AA144" i="2" s="1"/>
  <c r="S144" i="2"/>
  <c r="BV120" i="1"/>
  <c r="AB119" i="2" s="1"/>
  <c r="S119" i="2"/>
  <c r="BU104" i="1"/>
  <c r="AA103" i="2" s="1"/>
  <c r="S103" i="2"/>
  <c r="BU133" i="1"/>
  <c r="AA133" i="2" s="1"/>
  <c r="S133" i="2"/>
  <c r="BU99" i="1"/>
  <c r="AA98" i="2" s="1"/>
  <c r="S98" i="2"/>
  <c r="BV110" i="1"/>
  <c r="AB109" i="2" s="1"/>
  <c r="S109" i="2"/>
  <c r="BU103" i="1"/>
  <c r="AA102" i="2" s="1"/>
  <c r="S102" i="2"/>
  <c r="BV124" i="1"/>
  <c r="AB124" i="2" s="1"/>
  <c r="S124" i="2"/>
  <c r="BV134" i="1"/>
  <c r="AB134" i="2" s="1"/>
  <c r="S134" i="2"/>
  <c r="BU129" i="1"/>
  <c r="AA129" i="2" s="1"/>
  <c r="S129" i="2"/>
  <c r="BU140" i="1"/>
  <c r="AA140" i="2" s="1"/>
  <c r="S140" i="2"/>
  <c r="BV143" i="1"/>
  <c r="AB143" i="2" s="1"/>
  <c r="BV107" i="1"/>
  <c r="AB106" i="2" s="1"/>
  <c r="S106" i="2"/>
  <c r="BU100" i="1"/>
  <c r="AA99" i="2" s="1"/>
  <c r="S99" i="2"/>
  <c r="BU108" i="1"/>
  <c r="AA107" i="2" s="1"/>
  <c r="S107" i="2"/>
  <c r="BV122" i="1"/>
  <c r="AB121" i="2" s="1"/>
  <c r="S121" i="2"/>
  <c r="BV89" i="1"/>
  <c r="AB88" i="2" s="1"/>
  <c r="S88" i="2"/>
  <c r="BV126" i="1"/>
  <c r="AB126" i="2" s="1"/>
  <c r="S126" i="2"/>
  <c r="BV132" i="1"/>
  <c r="AB132" i="2" s="1"/>
  <c r="S132" i="2"/>
  <c r="BU128" i="1"/>
  <c r="AA128" i="2" s="1"/>
  <c r="S128" i="2"/>
  <c r="BU131" i="1"/>
  <c r="AA131" i="2" s="1"/>
  <c r="S131" i="2"/>
  <c r="BU141" i="1"/>
  <c r="AA141" i="2" s="1"/>
  <c r="S141" i="2"/>
  <c r="BV96" i="1"/>
  <c r="AB95" i="2" s="1"/>
  <c r="S95" i="2"/>
  <c r="BU93" i="1"/>
  <c r="AA92" i="2" s="1"/>
  <c r="S92" i="2"/>
  <c r="BV118" i="1"/>
  <c r="AB117" i="2" s="1"/>
  <c r="S117" i="2"/>
  <c r="BU87" i="1"/>
  <c r="AA86" i="2" s="1"/>
  <c r="S86" i="2"/>
  <c r="BV95" i="1"/>
  <c r="AB94" i="2" s="1"/>
  <c r="S94" i="2"/>
  <c r="BU117" i="1"/>
  <c r="AA116" i="2" s="1"/>
  <c r="S116" i="2"/>
  <c r="BU114" i="1"/>
  <c r="AA113" i="2" s="1"/>
  <c r="S113" i="2"/>
  <c r="BU137" i="1"/>
  <c r="AA137" i="2" s="1"/>
  <c r="S137" i="2"/>
  <c r="BU213" i="1"/>
  <c r="AA213" i="2" s="1"/>
  <c r="S213" i="2"/>
  <c r="BU112" i="1"/>
  <c r="AA111" i="2" s="1"/>
  <c r="S111" i="2"/>
  <c r="BU86" i="1"/>
  <c r="AA85" i="2" s="1"/>
  <c r="S85" i="2"/>
  <c r="BU121" i="1"/>
  <c r="AA120" i="2" s="1"/>
  <c r="S120" i="2"/>
  <c r="BV119" i="1"/>
  <c r="AB118" i="2" s="1"/>
  <c r="S118" i="2"/>
  <c r="BU105" i="1"/>
  <c r="AA104" i="2" s="1"/>
  <c r="S104" i="2"/>
  <c r="BV123" i="1"/>
  <c r="AB123" i="2" s="1"/>
  <c r="S123" i="2"/>
  <c r="BU125" i="1"/>
  <c r="AA125" i="2" s="1"/>
  <c r="S125" i="2"/>
  <c r="BU135" i="1"/>
  <c r="AA135" i="2" s="1"/>
  <c r="S135" i="2"/>
  <c r="BU217" i="1"/>
  <c r="AA217" i="2" s="1"/>
  <c r="S217" i="2"/>
  <c r="BV102" i="1"/>
  <c r="AB101" i="2" s="1"/>
  <c r="S101" i="2"/>
  <c r="BU94" i="1"/>
  <c r="AA93" i="2" s="1"/>
  <c r="S93" i="2"/>
  <c r="BV101" i="1"/>
  <c r="AB100" i="2" s="1"/>
  <c r="S100" i="2"/>
  <c r="BV90" i="1"/>
  <c r="AB89" i="2" s="1"/>
  <c r="S89" i="2"/>
  <c r="BV88" i="1"/>
  <c r="AB87" i="2" s="1"/>
  <c r="S87" i="2"/>
  <c r="BU98" i="1"/>
  <c r="AA97" i="2" s="1"/>
  <c r="S97" i="2"/>
  <c r="BV109" i="1"/>
  <c r="AB108" i="2" s="1"/>
  <c r="S108" i="2"/>
  <c r="BU116" i="1"/>
  <c r="AA115" i="2" s="1"/>
  <c r="S115" i="2"/>
  <c r="BU97" i="1"/>
  <c r="AA96" i="2" s="1"/>
  <c r="S96" i="2"/>
  <c r="BV217" i="1"/>
  <c r="AB217" i="2" s="1"/>
  <c r="BV213" i="1"/>
  <c r="AB213" i="2" s="1"/>
  <c r="BU209" i="1"/>
  <c r="AA209" i="2" s="1"/>
  <c r="BU143" i="1"/>
  <c r="AA143" i="2" s="1"/>
  <c r="BV133" i="1"/>
  <c r="AB133" i="2" s="1"/>
  <c r="BV140" i="1"/>
  <c r="AB140" i="2" s="1"/>
  <c r="BV137" i="1"/>
  <c r="AB137" i="2" s="1"/>
  <c r="BV135" i="1"/>
  <c r="AB135" i="2" s="1"/>
  <c r="BV142" i="1"/>
  <c r="AB142" i="2" s="1"/>
  <c r="BU123" i="1"/>
  <c r="AA123" i="2" s="1"/>
  <c r="BV141" i="1"/>
  <c r="AB141" i="2" s="1"/>
  <c r="BV129" i="1"/>
  <c r="AB129" i="2" s="1"/>
  <c r="BU132" i="1"/>
  <c r="AA132" i="2" s="1"/>
  <c r="BV144" i="1"/>
  <c r="AB144" i="2" s="1"/>
  <c r="BU145" i="1"/>
  <c r="AA145" i="2" s="1"/>
  <c r="BU127" i="1"/>
  <c r="AA127" i="2" s="1"/>
  <c r="BV128" i="1"/>
  <c r="AB128" i="2" s="1"/>
  <c r="BV104" i="1"/>
  <c r="AB103" i="2" s="1"/>
  <c r="BU130" i="1"/>
  <c r="AA130" i="2" s="1"/>
  <c r="BV131" i="1"/>
  <c r="AB131" i="2" s="1"/>
  <c r="BU134" i="1"/>
  <c r="AA134" i="2" s="1"/>
  <c r="BV125" i="1"/>
  <c r="AB125" i="2" s="1"/>
  <c r="BU124" i="1"/>
  <c r="AA124" i="2" s="1"/>
  <c r="BU126" i="1"/>
  <c r="AA126" i="2" s="1"/>
  <c r="BU107" i="1"/>
  <c r="AA106" i="2" s="1"/>
  <c r="BU118" i="1"/>
  <c r="AA117" i="2" s="1"/>
  <c r="BV105" i="1"/>
  <c r="AB104" i="2" s="1"/>
  <c r="BV114" i="1"/>
  <c r="AB113" i="2" s="1"/>
  <c r="BV94" i="1"/>
  <c r="AB93" i="2" s="1"/>
  <c r="BU89" i="1"/>
  <c r="AA88" i="2" s="1"/>
  <c r="BV103" i="1"/>
  <c r="AB102" i="2" s="1"/>
  <c r="BU122" i="1"/>
  <c r="AA121" i="2" s="1"/>
  <c r="BV99" i="1"/>
  <c r="AB98" i="2" s="1"/>
  <c r="BU96" i="1"/>
  <c r="AA95" i="2" s="1"/>
  <c r="BV108" i="1"/>
  <c r="AB107" i="2" s="1"/>
  <c r="BU102" i="1"/>
  <c r="AA101" i="2" s="1"/>
  <c r="BU110" i="1"/>
  <c r="AA109" i="2" s="1"/>
  <c r="BU106" i="1"/>
  <c r="AA105" i="2" s="1"/>
  <c r="BV121" i="1"/>
  <c r="AB120" i="2" s="1"/>
  <c r="BU119" i="1"/>
  <c r="AA118" i="2" s="1"/>
  <c r="BV97" i="1"/>
  <c r="AB96" i="2" s="1"/>
  <c r="BV116" i="1"/>
  <c r="AB115" i="2" s="1"/>
  <c r="BV100" i="1"/>
  <c r="AB99" i="2" s="1"/>
  <c r="BU95" i="1"/>
  <c r="AA94" i="2" s="1"/>
  <c r="BU109" i="1"/>
  <c r="AA108" i="2" s="1"/>
  <c r="BV117" i="1"/>
  <c r="AB116" i="2" s="1"/>
  <c r="BU90" i="1"/>
  <c r="AA89" i="2" s="1"/>
  <c r="BU88" i="1"/>
  <c r="AA87" i="2" s="1"/>
  <c r="BV112" i="1"/>
  <c r="AB111" i="2" s="1"/>
  <c r="BU120" i="1"/>
  <c r="AA119" i="2" s="1"/>
  <c r="BV98" i="1"/>
  <c r="AB97" i="2" s="1"/>
  <c r="BV111" i="1"/>
  <c r="AB110" i="2" s="1"/>
  <c r="BU115" i="1"/>
  <c r="AA114" i="2" s="1"/>
  <c r="BU101" i="1"/>
  <c r="AA100" i="2" s="1"/>
  <c r="BV87" i="1"/>
  <c r="AB86" i="2" s="1"/>
  <c r="BV93" i="1"/>
  <c r="AB92" i="2" s="1"/>
  <c r="BV86" i="1"/>
  <c r="AB85" i="2" s="1"/>
  <c r="BU142" i="1" l="1"/>
  <c r="AA142" i="2" s="1"/>
  <c r="BJ147" i="1"/>
  <c r="BT147" i="1"/>
  <c r="Z147" i="2" s="1"/>
  <c r="BK147" i="1"/>
  <c r="BC147" i="1"/>
  <c r="U147" i="2" s="1"/>
  <c r="AB147" i="1"/>
  <c r="AQ147" i="1" s="1"/>
  <c r="T147" i="2" s="1"/>
  <c r="BJ146" i="1"/>
  <c r="BT146" i="1"/>
  <c r="Z146" i="2" s="1"/>
  <c r="BK146" i="1"/>
  <c r="BC146" i="1"/>
  <c r="U146" i="2" s="1"/>
  <c r="AQ146" i="1"/>
  <c r="T146" i="2" s="1"/>
  <c r="AP146" i="1"/>
  <c r="S146" i="2" s="1"/>
  <c r="BJ150" i="1"/>
  <c r="BT150" i="1"/>
  <c r="Z150" i="2" s="1"/>
  <c r="BK150" i="1"/>
  <c r="BC150" i="1"/>
  <c r="U150" i="2" s="1"/>
  <c r="AB150" i="1"/>
  <c r="AQ150" i="1" s="1"/>
  <c r="T150" i="2" s="1"/>
  <c r="BJ149" i="1"/>
  <c r="BT149" i="1"/>
  <c r="Z149" i="2" s="1"/>
  <c r="BK149" i="1"/>
  <c r="BC149" i="1"/>
  <c r="U149" i="2" s="1"/>
  <c r="AQ149" i="1"/>
  <c r="T149" i="2" s="1"/>
  <c r="AP149" i="1"/>
  <c r="S149" i="2" s="1"/>
  <c r="BJ148" i="1"/>
  <c r="BT148" i="1"/>
  <c r="Z148" i="2" s="1"/>
  <c r="BK148" i="1"/>
  <c r="BC148" i="1"/>
  <c r="U148" i="2" s="1"/>
  <c r="AB148" i="1"/>
  <c r="AP148" i="1" s="1"/>
  <c r="S148" i="2" s="1"/>
  <c r="BJ155" i="1"/>
  <c r="BK155" i="1"/>
  <c r="BC155" i="1"/>
  <c r="U155" i="2" s="1"/>
  <c r="AB155" i="1"/>
  <c r="AQ155" i="1" s="1"/>
  <c r="T155" i="2" s="1"/>
  <c r="BJ154" i="1"/>
  <c r="BT154" i="1"/>
  <c r="Z154" i="2" s="1"/>
  <c r="BK154" i="1"/>
  <c r="BC154" i="1"/>
  <c r="U154" i="2" s="1"/>
  <c r="AQ154" i="1"/>
  <c r="T154" i="2" s="1"/>
  <c r="AP154" i="1"/>
  <c r="S154" i="2" s="1"/>
  <c r="BJ153" i="1"/>
  <c r="BT153" i="1"/>
  <c r="Z153" i="2" s="1"/>
  <c r="BK153" i="1"/>
  <c r="BC153" i="1"/>
  <c r="U153" i="2" s="1"/>
  <c r="AB153" i="1"/>
  <c r="AP153" i="1" s="1"/>
  <c r="S153" i="2" s="1"/>
  <c r="BJ152" i="1"/>
  <c r="BT152" i="1"/>
  <c r="Z152" i="2" s="1"/>
  <c r="BK152" i="1"/>
  <c r="BC152" i="1"/>
  <c r="U152" i="2" s="1"/>
  <c r="AB152" i="1"/>
  <c r="AQ152" i="1" s="1"/>
  <c r="T152" i="2" s="1"/>
  <c r="BJ151" i="1"/>
  <c r="BT151" i="1"/>
  <c r="Z151" i="2" s="1"/>
  <c r="BK151" i="1"/>
  <c r="BC151" i="1"/>
  <c r="U151" i="2" s="1"/>
  <c r="AB151" i="1"/>
  <c r="AP151" i="1" s="1"/>
  <c r="S151" i="2" s="1"/>
  <c r="BK84" i="1"/>
  <c r="BT84" i="1"/>
  <c r="Z83" i="2" s="1"/>
  <c r="BJ84" i="1"/>
  <c r="Z84" i="1"/>
  <c r="AP84" i="1" s="1"/>
  <c r="S83" i="2" s="1"/>
  <c r="Z83" i="1"/>
  <c r="AP83" i="1" s="1"/>
  <c r="S82" i="2" s="1"/>
  <c r="Z82" i="1"/>
  <c r="AQ82" i="1" s="1"/>
  <c r="T81" i="2" s="1"/>
  <c r="Z81" i="1"/>
  <c r="AQ81" i="1" s="1"/>
  <c r="T80" i="2" s="1"/>
  <c r="BK83" i="1"/>
  <c r="BJ83" i="1"/>
  <c r="AM83" i="1"/>
  <c r="Q82" i="2" s="1"/>
  <c r="R83" i="1"/>
  <c r="N82" i="2" s="1"/>
  <c r="BK82" i="1"/>
  <c r="BJ82" i="1"/>
  <c r="AM82" i="1"/>
  <c r="Q81" i="2" s="1"/>
  <c r="AM81" i="1"/>
  <c r="Q80" i="2" s="1"/>
  <c r="R81" i="1"/>
  <c r="N80" i="2" s="1"/>
  <c r="R82" i="1"/>
  <c r="N81" i="2" s="1"/>
  <c r="BJ81" i="1"/>
  <c r="BK81" i="1"/>
  <c r="AB5" i="1"/>
  <c r="AB43" i="1"/>
  <c r="AQ43" i="1" s="1"/>
  <c r="T42" i="2" s="1"/>
  <c r="BV146" i="1" l="1"/>
  <c r="AB146" i="2" s="1"/>
  <c r="BT82" i="1"/>
  <c r="Z81" i="2" s="1"/>
  <c r="BV154" i="1"/>
  <c r="AB154" i="2" s="1"/>
  <c r="BV149" i="1"/>
  <c r="AB149" i="2" s="1"/>
  <c r="AQ153" i="1"/>
  <c r="T153" i="2" s="1"/>
  <c r="BU146" i="1"/>
  <c r="AA146" i="2" s="1"/>
  <c r="AP147" i="1"/>
  <c r="BU148" i="1"/>
  <c r="AA148" i="2" s="1"/>
  <c r="BV148" i="1"/>
  <c r="AB148" i="2" s="1"/>
  <c r="AQ148" i="1"/>
  <c r="T148" i="2" s="1"/>
  <c r="BU149" i="1"/>
  <c r="AA149" i="2" s="1"/>
  <c r="AP150" i="1"/>
  <c r="BU153" i="1"/>
  <c r="AA153" i="2" s="1"/>
  <c r="BV153" i="1"/>
  <c r="AB153" i="2" s="1"/>
  <c r="BV151" i="1"/>
  <c r="AB151" i="2" s="1"/>
  <c r="BU154" i="1"/>
  <c r="AA154" i="2" s="1"/>
  <c r="AQ151" i="1"/>
  <c r="T151" i="2" s="1"/>
  <c r="AP152" i="1"/>
  <c r="BU151" i="1"/>
  <c r="AA151" i="2" s="1"/>
  <c r="AP155" i="1"/>
  <c r="AP81" i="1"/>
  <c r="BU81" i="1" s="1"/>
  <c r="AQ83" i="1"/>
  <c r="T82" i="2" s="1"/>
  <c r="AP82" i="1"/>
  <c r="BT81" i="1"/>
  <c r="Z80" i="2" s="1"/>
  <c r="BT83" i="1"/>
  <c r="Z82" i="2" s="1"/>
  <c r="BU84" i="1"/>
  <c r="AA83" i="2" s="1"/>
  <c r="BV84" i="1"/>
  <c r="AB83" i="2" s="1"/>
  <c r="AQ84" i="1"/>
  <c r="T83" i="2" s="1"/>
  <c r="BU83" i="1"/>
  <c r="AA82" i="2" s="1"/>
  <c r="BV83" i="1"/>
  <c r="AB82" i="2" s="1"/>
  <c r="AP43" i="1"/>
  <c r="S42" i="2" s="1"/>
  <c r="BV81" i="1" l="1"/>
  <c r="AB80" i="2" s="1"/>
  <c r="BU82" i="1"/>
  <c r="AA81" i="2" s="1"/>
  <c r="S81" i="2"/>
  <c r="AA80" i="2"/>
  <c r="S80" i="2"/>
  <c r="BV155" i="1"/>
  <c r="AB155" i="2" s="1"/>
  <c r="S155" i="2"/>
  <c r="BV150" i="1"/>
  <c r="AB150" i="2" s="1"/>
  <c r="S150" i="2"/>
  <c r="BV152" i="1"/>
  <c r="AB152" i="2" s="1"/>
  <c r="S152" i="2"/>
  <c r="BV147" i="1"/>
  <c r="AB147" i="2" s="1"/>
  <c r="S147" i="2"/>
  <c r="BU155" i="1"/>
  <c r="AA155" i="2" s="1"/>
  <c r="BV82" i="1"/>
  <c r="AB81" i="2" s="1"/>
  <c r="BU147" i="1"/>
  <c r="AA147" i="2" s="1"/>
  <c r="BU150" i="1"/>
  <c r="AA150" i="2" s="1"/>
  <c r="BU152" i="1"/>
  <c r="AA152" i="2" s="1"/>
  <c r="AQ5" i="1" l="1"/>
  <c r="T4" i="2" s="1"/>
  <c r="AQ7" i="1"/>
  <c r="T6" i="2" s="1"/>
  <c r="AQ21" i="1"/>
  <c r="T20" i="2" s="1"/>
  <c r="AQ22" i="1"/>
  <c r="T21" i="2" s="1"/>
  <c r="AQ27" i="1"/>
  <c r="T26" i="2" s="1"/>
  <c r="AQ28" i="1"/>
  <c r="T27" i="2" s="1"/>
  <c r="AQ29" i="1"/>
  <c r="T28" i="2" s="1"/>
  <c r="AQ31" i="1"/>
  <c r="T30" i="2" s="1"/>
  <c r="AQ32" i="1"/>
  <c r="T31" i="2" s="1"/>
  <c r="AQ38" i="1"/>
  <c r="T37" i="2" s="1"/>
  <c r="AQ42" i="1"/>
  <c r="T41" i="2" s="1"/>
  <c r="AQ45" i="1"/>
  <c r="T44" i="2" s="1"/>
  <c r="AQ46" i="1"/>
  <c r="T45" i="2" s="1"/>
  <c r="AQ47" i="1"/>
  <c r="T46" i="2" s="1"/>
  <c r="AQ49" i="1"/>
  <c r="T48" i="2" s="1"/>
  <c r="AQ50" i="1"/>
  <c r="T49" i="2" s="1"/>
  <c r="AQ51" i="1"/>
  <c r="T50" i="2" s="1"/>
  <c r="AQ60" i="1"/>
  <c r="T59" i="2" s="1"/>
  <c r="AQ61" i="1"/>
  <c r="T60" i="2" s="1"/>
  <c r="AQ62" i="1"/>
  <c r="T61" i="2" s="1"/>
  <c r="AQ63" i="1"/>
  <c r="T62" i="2" s="1"/>
  <c r="AQ65" i="1"/>
  <c r="T64" i="2" s="1"/>
  <c r="AQ165" i="1"/>
  <c r="T165" i="2" s="1"/>
  <c r="AQ168" i="1"/>
  <c r="T168" i="2" s="1"/>
  <c r="AQ169" i="1"/>
  <c r="T169" i="2" s="1"/>
  <c r="AQ170" i="1"/>
  <c r="T170" i="2" s="1"/>
  <c r="AQ171" i="1"/>
  <c r="T171" i="2" s="1"/>
  <c r="AQ173" i="1"/>
  <c r="T173" i="2" s="1"/>
  <c r="AQ174" i="1"/>
  <c r="T174" i="2" s="1"/>
  <c r="AQ177" i="1"/>
  <c r="T177" i="2" s="1"/>
  <c r="AQ229" i="1"/>
  <c r="T229" i="2" s="1"/>
  <c r="AQ232" i="1"/>
  <c r="T232" i="2" s="1"/>
  <c r="AQ233" i="1"/>
  <c r="T233" i="2" s="1"/>
  <c r="AQ239" i="1"/>
  <c r="T239" i="2" s="1"/>
  <c r="AQ240" i="1"/>
  <c r="T240" i="2" s="1"/>
  <c r="AQ241" i="1"/>
  <c r="T241" i="2" s="1"/>
  <c r="AQ242" i="1"/>
  <c r="T242" i="2" s="1"/>
  <c r="AQ243" i="1"/>
  <c r="T243" i="2" s="1"/>
  <c r="AQ244" i="1"/>
  <c r="T244" i="2" s="1"/>
  <c r="AQ245" i="1"/>
  <c r="T245" i="2" s="1"/>
  <c r="AQ247" i="1"/>
  <c r="T247" i="2" s="1"/>
  <c r="AQ248" i="1"/>
  <c r="T248" i="2" s="1"/>
  <c r="AQ249" i="1"/>
  <c r="T249" i="2" s="1"/>
  <c r="AQ253" i="1"/>
  <c r="T253" i="2" s="1"/>
  <c r="AQ287" i="1"/>
  <c r="T287" i="2" s="1"/>
  <c r="AQ288" i="1"/>
  <c r="T288" i="2" s="1"/>
  <c r="AQ289" i="1"/>
  <c r="T289" i="2" s="1"/>
  <c r="AQ290" i="1"/>
  <c r="T290" i="2" s="1"/>
  <c r="AQ291" i="1"/>
  <c r="T291" i="2" s="1"/>
  <c r="AQ292" i="1"/>
  <c r="T292" i="2" s="1"/>
  <c r="AQ293" i="1"/>
  <c r="T293" i="2" s="1"/>
  <c r="AQ294" i="1"/>
  <c r="T294" i="2" s="1"/>
  <c r="AQ295" i="1"/>
  <c r="T295" i="2" s="1"/>
  <c r="BJ173" i="1"/>
  <c r="BT159" i="1"/>
  <c r="Z159" i="2" s="1"/>
  <c r="BT180" i="1"/>
  <c r="Z180" i="2" s="1"/>
  <c r="BT4" i="1"/>
  <c r="BT227" i="1"/>
  <c r="Z227" i="2" s="1"/>
  <c r="BT6" i="1"/>
  <c r="Z5" i="2" s="1"/>
  <c r="BT5" i="1"/>
  <c r="Z4" i="2" s="1"/>
  <c r="BT247" i="1"/>
  <c r="Z247" i="2" s="1"/>
  <c r="BT30" i="1"/>
  <c r="Z29" i="2" s="1"/>
  <c r="BT21" i="1"/>
  <c r="Z20" i="2" s="1"/>
  <c r="BT22" i="1"/>
  <c r="Z21" i="2" s="1"/>
  <c r="BT27" i="1"/>
  <c r="Z26" i="2" s="1"/>
  <c r="BT11" i="1"/>
  <c r="Z10" i="2" s="1"/>
  <c r="BT12" i="1"/>
  <c r="Z11" i="2" s="1"/>
  <c r="BT13" i="1"/>
  <c r="Z12" i="2" s="1"/>
  <c r="BT33" i="1"/>
  <c r="Z32" i="2" s="1"/>
  <c r="BT34" i="1"/>
  <c r="Z33" i="2" s="1"/>
  <c r="BT35" i="1"/>
  <c r="Z34" i="2" s="1"/>
  <c r="BT36" i="1"/>
  <c r="Z35" i="2" s="1"/>
  <c r="BT37" i="1"/>
  <c r="Z36" i="2" s="1"/>
  <c r="BT78" i="1"/>
  <c r="Z77" i="2" s="1"/>
  <c r="BT79" i="1"/>
  <c r="Z78" i="2" s="1"/>
  <c r="BT80" i="1"/>
  <c r="Z79" i="2" s="1"/>
  <c r="BT39" i="1"/>
  <c r="Z38" i="2" s="1"/>
  <c r="BT40" i="1"/>
  <c r="Z39" i="2" s="1"/>
  <c r="BT16" i="1"/>
  <c r="Z15" i="2" s="1"/>
  <c r="BT17" i="1"/>
  <c r="Z16" i="2" s="1"/>
  <c r="BT18" i="1"/>
  <c r="Z17" i="2" s="1"/>
  <c r="BT19" i="1"/>
  <c r="Z18" i="2" s="1"/>
  <c r="BT28" i="1"/>
  <c r="Z27" i="2" s="1"/>
  <c r="BT29" i="1"/>
  <c r="Z28" i="2" s="1"/>
  <c r="BT62" i="1"/>
  <c r="Z61" i="2" s="1"/>
  <c r="BT49" i="1"/>
  <c r="Z48" i="2" s="1"/>
  <c r="BT60" i="1"/>
  <c r="Z59" i="2" s="1"/>
  <c r="BT50" i="1"/>
  <c r="Z49" i="2" s="1"/>
  <c r="BT51" i="1"/>
  <c r="Z50" i="2" s="1"/>
  <c r="BT61" i="1"/>
  <c r="Z60" i="2" s="1"/>
  <c r="BT47" i="1"/>
  <c r="Z46" i="2" s="1"/>
  <c r="BT63" i="1"/>
  <c r="Z62" i="2" s="1"/>
  <c r="BT45" i="1"/>
  <c r="Z44" i="2" s="1"/>
  <c r="BT46" i="1"/>
  <c r="Z45" i="2" s="1"/>
  <c r="BT64" i="1"/>
  <c r="Z63" i="2" s="1"/>
  <c r="BT41" i="1"/>
  <c r="Z40" i="2" s="1"/>
  <c r="BT43" i="1"/>
  <c r="Z42" i="2" s="1"/>
  <c r="BT38" i="1"/>
  <c r="Z37" i="2" s="1"/>
  <c r="BT32" i="1"/>
  <c r="Z31" i="2" s="1"/>
  <c r="BT31" i="1"/>
  <c r="Z30" i="2" s="1"/>
  <c r="BT44" i="1"/>
  <c r="Z43" i="2" s="1"/>
  <c r="BT42" i="1"/>
  <c r="Z41" i="2" s="1"/>
  <c r="BT53" i="1"/>
  <c r="Z52" i="2" s="1"/>
  <c r="BT54" i="1"/>
  <c r="Z53" i="2" s="1"/>
  <c r="BT14" i="1"/>
  <c r="Z13" i="2" s="1"/>
  <c r="BT20" i="1"/>
  <c r="Z19" i="2" s="1"/>
  <c r="BT56" i="1"/>
  <c r="Z55" i="2" s="1"/>
  <c r="BT59" i="1"/>
  <c r="Z58" i="2" s="1"/>
  <c r="BT57" i="1"/>
  <c r="Z56" i="2" s="1"/>
  <c r="BT58" i="1"/>
  <c r="Z57" i="2" s="1"/>
  <c r="BT68" i="1"/>
  <c r="Z67" i="2" s="1"/>
  <c r="BT69" i="1"/>
  <c r="Z68" i="2" s="1"/>
  <c r="BT70" i="1"/>
  <c r="Z69" i="2" s="1"/>
  <c r="BT72" i="1"/>
  <c r="Z71" i="2" s="1"/>
  <c r="BT71" i="1"/>
  <c r="Z70" i="2" s="1"/>
  <c r="BT73" i="1"/>
  <c r="Z72" i="2" s="1"/>
  <c r="BT74" i="1"/>
  <c r="Z73" i="2" s="1"/>
  <c r="BT15" i="1"/>
  <c r="Z14" i="2" s="1"/>
  <c r="BT287" i="1"/>
  <c r="Z287" i="2" s="1"/>
  <c r="BT288" i="1"/>
  <c r="Z288" i="2" s="1"/>
  <c r="BT289" i="1"/>
  <c r="Z289" i="2" s="1"/>
  <c r="BT290" i="1"/>
  <c r="Z290" i="2" s="1"/>
  <c r="BT291" i="1"/>
  <c r="Z291" i="2" s="1"/>
  <c r="BT292" i="1"/>
  <c r="Z292" i="2" s="1"/>
  <c r="BT293" i="1"/>
  <c r="Z293" i="2" s="1"/>
  <c r="BT294" i="1"/>
  <c r="Z294" i="2" s="1"/>
  <c r="BT295" i="1"/>
  <c r="Z295" i="2" s="1"/>
  <c r="BT263" i="1"/>
  <c r="Z263" i="2" s="1"/>
  <c r="BT268" i="1"/>
  <c r="Z268" i="2" s="1"/>
  <c r="BT278" i="1"/>
  <c r="Z278" i="2" s="1"/>
  <c r="BT279" i="1"/>
  <c r="Z279" i="2" s="1"/>
  <c r="BT280" i="1"/>
  <c r="Z280" i="2" s="1"/>
  <c r="BT284" i="1"/>
  <c r="Z284" i="2" s="1"/>
  <c r="BT269" i="1"/>
  <c r="Z269" i="2" s="1"/>
  <c r="BT270" i="1"/>
  <c r="Z270" i="2" s="1"/>
  <c r="BT271" i="1"/>
  <c r="Z271" i="2" s="1"/>
  <c r="BT272" i="1"/>
  <c r="Z272" i="2" s="1"/>
  <c r="BT276" i="1"/>
  <c r="Z276" i="2" s="1"/>
  <c r="BT277" i="1"/>
  <c r="Z277" i="2" s="1"/>
  <c r="BT281" i="1"/>
  <c r="Z281" i="2" s="1"/>
  <c r="BT283" i="1"/>
  <c r="Z283" i="2" s="1"/>
  <c r="BT274" i="1"/>
  <c r="Z274" i="2" s="1"/>
  <c r="BT285" i="1"/>
  <c r="Z285" i="2" s="1"/>
  <c r="BT286" i="1"/>
  <c r="Z286" i="2" s="1"/>
  <c r="BT275" i="1"/>
  <c r="Z275" i="2" s="1"/>
  <c r="BT174" i="1"/>
  <c r="Z174" i="2" s="1"/>
  <c r="BT172" i="1"/>
  <c r="Z172" i="2" s="1"/>
  <c r="BT181" i="1"/>
  <c r="Z181" i="2" s="1"/>
  <c r="BT183" i="1"/>
  <c r="Z183" i="2" s="1"/>
  <c r="BT226" i="1"/>
  <c r="Z226" i="2" s="1"/>
  <c r="BT186" i="1"/>
  <c r="Z186" i="2" s="1"/>
  <c r="BT167" i="1"/>
  <c r="Z167" i="2" s="1"/>
  <c r="BT230" i="1"/>
  <c r="Z230" i="2" s="1"/>
  <c r="BT222" i="1"/>
  <c r="Z222" i="2" s="1"/>
  <c r="BT176" i="1"/>
  <c r="Z176" i="2" s="1"/>
  <c r="BT178" i="1"/>
  <c r="Z178" i="2" s="1"/>
  <c r="BT246" i="1"/>
  <c r="Z246" i="2" s="1"/>
  <c r="BT262" i="1"/>
  <c r="Z262" i="2" s="1"/>
  <c r="BT231" i="1"/>
  <c r="Z231" i="2" s="1"/>
  <c r="BT229" i="1"/>
  <c r="Z229" i="2" s="1"/>
  <c r="Z6" i="2"/>
  <c r="BT8" i="1"/>
  <c r="Z7" i="2" s="1"/>
  <c r="BT9" i="1"/>
  <c r="Z8" i="2" s="1"/>
  <c r="BT175" i="1"/>
  <c r="Z175" i="2" s="1"/>
  <c r="BT75" i="1"/>
  <c r="Z74" i="2" s="1"/>
  <c r="BT48" i="1"/>
  <c r="Z47" i="2" s="1"/>
  <c r="BT55" i="1"/>
  <c r="Z54" i="2" s="1"/>
  <c r="BT65" i="1"/>
  <c r="Z64" i="2" s="1"/>
  <c r="BT10" i="1"/>
  <c r="Z9" i="2" s="1"/>
  <c r="BT184" i="1"/>
  <c r="Z184" i="2" s="1"/>
  <c r="BT52" i="1"/>
  <c r="Z51" i="2" s="1"/>
  <c r="BT76" i="1"/>
  <c r="Z75" i="2" s="1"/>
  <c r="BT77" i="1"/>
  <c r="Z76" i="2" s="1"/>
  <c r="BT163" i="1"/>
  <c r="Z163" i="2" s="1"/>
  <c r="BT253" i="1"/>
  <c r="Z253" i="2" s="1"/>
  <c r="BT179" i="1"/>
  <c r="Z179" i="2" s="1"/>
  <c r="BT166" i="1"/>
  <c r="Z166" i="2" s="1"/>
  <c r="BT232" i="1"/>
  <c r="Z232" i="2" s="1"/>
  <c r="BT250" i="1"/>
  <c r="Z250" i="2" s="1"/>
  <c r="BT160" i="1"/>
  <c r="Z160" i="2" s="1"/>
  <c r="BT234" i="1"/>
  <c r="Z234" i="2" s="1"/>
  <c r="BT235" i="1"/>
  <c r="Z235" i="2" s="1"/>
  <c r="BT182" i="1"/>
  <c r="Z182" i="2" s="1"/>
  <c r="BT164" i="1"/>
  <c r="Z164" i="2" s="1"/>
  <c r="BT165" i="1"/>
  <c r="Z165" i="2" s="1"/>
  <c r="BT228" i="1"/>
  <c r="Z228" i="2" s="1"/>
  <c r="BT177" i="1"/>
  <c r="Z177" i="2" s="1"/>
  <c r="BT185" i="1"/>
  <c r="Z185" i="2" s="1"/>
  <c r="BT187" i="1"/>
  <c r="Z187" i="2" s="1"/>
  <c r="BT188" i="1"/>
  <c r="Z188" i="2" s="1"/>
  <c r="BT189" i="1"/>
  <c r="Z189" i="2" s="1"/>
  <c r="BT190" i="1"/>
  <c r="Z190" i="2" s="1"/>
  <c r="BT255" i="1"/>
  <c r="Z255" i="2" s="1"/>
  <c r="BT256" i="1"/>
  <c r="Z256" i="2" s="1"/>
  <c r="BT257" i="1"/>
  <c r="Z257" i="2" s="1"/>
  <c r="BT258" i="1"/>
  <c r="Z258" i="2" s="1"/>
  <c r="BT266" i="1"/>
  <c r="Z266" i="2" s="1"/>
  <c r="BT264" i="1"/>
  <c r="Z264" i="2" s="1"/>
  <c r="BT265" i="1"/>
  <c r="Z265" i="2" s="1"/>
  <c r="BT267" i="1"/>
  <c r="Z267" i="2" s="1"/>
  <c r="BT259" i="1"/>
  <c r="Z259" i="2" s="1"/>
  <c r="BT260" i="1"/>
  <c r="Z260" i="2" s="1"/>
  <c r="BT261" i="1"/>
  <c r="Z261" i="2" s="1"/>
  <c r="BT239" i="1"/>
  <c r="Z239" i="2" s="1"/>
  <c r="BT240" i="1"/>
  <c r="Z240" i="2" s="1"/>
  <c r="BT241" i="1"/>
  <c r="Z241" i="2" s="1"/>
  <c r="BT242" i="1"/>
  <c r="Z242" i="2" s="1"/>
  <c r="BT248" i="1"/>
  <c r="Z248" i="2" s="1"/>
  <c r="BT249" i="1"/>
  <c r="Z249" i="2" s="1"/>
  <c r="BT243" i="1"/>
  <c r="Z243" i="2" s="1"/>
  <c r="BT244" i="1"/>
  <c r="Z244" i="2" s="1"/>
  <c r="BT66" i="1"/>
  <c r="Z65" i="2" s="1"/>
  <c r="BT156" i="1"/>
  <c r="Z156" i="2" s="1"/>
  <c r="BT157" i="1"/>
  <c r="Z157" i="2" s="1"/>
  <c r="BT158" i="1"/>
  <c r="Z158" i="2" s="1"/>
  <c r="BT67" i="1"/>
  <c r="Z66" i="2" s="1"/>
  <c r="BT245" i="1"/>
  <c r="Z245" i="2" s="1"/>
  <c r="BT254" i="1"/>
  <c r="Z254" i="2" s="1"/>
  <c r="BT223" i="1"/>
  <c r="Z223" i="2" s="1"/>
  <c r="BT224" i="1"/>
  <c r="Z224" i="2" s="1"/>
  <c r="BT225" i="1"/>
  <c r="Z225" i="2" s="1"/>
  <c r="BT168" i="1"/>
  <c r="Z168" i="2" s="1"/>
  <c r="BT169" i="1"/>
  <c r="Z169" i="2" s="1"/>
  <c r="BT170" i="1"/>
  <c r="Z170" i="2" s="1"/>
  <c r="BT171" i="1"/>
  <c r="Z171" i="2" s="1"/>
  <c r="BT236" i="1"/>
  <c r="Z236" i="2" s="1"/>
  <c r="BT237" i="1"/>
  <c r="Z237" i="2" s="1"/>
  <c r="BT238" i="1"/>
  <c r="Z238" i="2" s="1"/>
  <c r="BT251" i="1"/>
  <c r="Z251" i="2" s="1"/>
  <c r="BT252" i="1"/>
  <c r="Z252" i="2" s="1"/>
  <c r="BT162" i="1"/>
  <c r="Z162" i="2" s="1"/>
  <c r="BT233" i="1"/>
  <c r="Z233" i="2" s="1"/>
  <c r="BT173" i="1"/>
  <c r="Z173" i="2" s="1"/>
  <c r="BC21" i="1" l="1"/>
  <c r="U20" i="2" s="1"/>
  <c r="AP21" i="1"/>
  <c r="S20" i="2" s="1"/>
  <c r="BC22" i="1"/>
  <c r="U21" i="2" s="1"/>
  <c r="BK159" i="1"/>
  <c r="BK180" i="1"/>
  <c r="BK227" i="1"/>
  <c r="BK6" i="1"/>
  <c r="BK5" i="1"/>
  <c r="BK30" i="1"/>
  <c r="BK11" i="1"/>
  <c r="BK12" i="1"/>
  <c r="BK13" i="1"/>
  <c r="BK33" i="1"/>
  <c r="BK34" i="1"/>
  <c r="BK78" i="1"/>
  <c r="BK79" i="1"/>
  <c r="BK80" i="1"/>
  <c r="BK39" i="1"/>
  <c r="BK40" i="1"/>
  <c r="BK17" i="1"/>
  <c r="BK19" i="1"/>
  <c r="BK28" i="1"/>
  <c r="BK29" i="1"/>
  <c r="BK62" i="1"/>
  <c r="BK49" i="1"/>
  <c r="BK47" i="1"/>
  <c r="BK63" i="1"/>
  <c r="BK45" i="1"/>
  <c r="BK46" i="1"/>
  <c r="BK43" i="1"/>
  <c r="BK38" i="1"/>
  <c r="BK32" i="1"/>
  <c r="BK31" i="1"/>
  <c r="BK44" i="1"/>
  <c r="BK42" i="1"/>
  <c r="BK53" i="1"/>
  <c r="BK54" i="1"/>
  <c r="BK14" i="1"/>
  <c r="BK56" i="1"/>
  <c r="BK59" i="1"/>
  <c r="BK57" i="1"/>
  <c r="BK58" i="1"/>
  <c r="BK70" i="1"/>
  <c r="BK72" i="1"/>
  <c r="BK71" i="1"/>
  <c r="BK73" i="1"/>
  <c r="BK74" i="1"/>
  <c r="BK15" i="1"/>
  <c r="BK288" i="1"/>
  <c r="BK289" i="1"/>
  <c r="BK291" i="1"/>
  <c r="BK292" i="1"/>
  <c r="BK293" i="1"/>
  <c r="BK278" i="1"/>
  <c r="BK280" i="1"/>
  <c r="BK284" i="1"/>
  <c r="BK270" i="1"/>
  <c r="BK271" i="1"/>
  <c r="BK272" i="1"/>
  <c r="BK277" i="1"/>
  <c r="BK282" i="1"/>
  <c r="BK283" i="1"/>
  <c r="BK273" i="1"/>
  <c r="BK275" i="1"/>
  <c r="BK174" i="1"/>
  <c r="BK172" i="1"/>
  <c r="BK183" i="1"/>
  <c r="BK226" i="1"/>
  <c r="BK186" i="1"/>
  <c r="BK167" i="1"/>
  <c r="BK230" i="1"/>
  <c r="BK222" i="1"/>
  <c r="BK176" i="1"/>
  <c r="BK178" i="1"/>
  <c r="BK231" i="1"/>
  <c r="BK229" i="1"/>
  <c r="BK7" i="1"/>
  <c r="BK8" i="1"/>
  <c r="BK9" i="1"/>
  <c r="BK48" i="1"/>
  <c r="BK55" i="1"/>
  <c r="BK65" i="1"/>
  <c r="BK10" i="1"/>
  <c r="BK184" i="1"/>
  <c r="BK52" i="1"/>
  <c r="BK76" i="1"/>
  <c r="BK77" i="1"/>
  <c r="BK163" i="1"/>
  <c r="BK166" i="1"/>
  <c r="BK232" i="1"/>
  <c r="BK250" i="1"/>
  <c r="BK160" i="1"/>
  <c r="BK235" i="1"/>
  <c r="BK182" i="1"/>
  <c r="BK165" i="1"/>
  <c r="BK228" i="1"/>
  <c r="BK177" i="1"/>
  <c r="BK185" i="1"/>
  <c r="BK190" i="1"/>
  <c r="BK191" i="1"/>
  <c r="BK192" i="1"/>
  <c r="BK193" i="1"/>
  <c r="BK195" i="1"/>
  <c r="BK199" i="1"/>
  <c r="BK200" i="1"/>
  <c r="BK201" i="1"/>
  <c r="BK202" i="1"/>
  <c r="BK203" i="1"/>
  <c r="BK205" i="1"/>
  <c r="BK255" i="1"/>
  <c r="BK256" i="1"/>
  <c r="BK258" i="1"/>
  <c r="BK264" i="1"/>
  <c r="BK265" i="1"/>
  <c r="BK267" i="1"/>
  <c r="BK259" i="1"/>
  <c r="BK260" i="1"/>
  <c r="BK239" i="1"/>
  <c r="BK240" i="1"/>
  <c r="BK241" i="1"/>
  <c r="BK242" i="1"/>
  <c r="BK248" i="1"/>
  <c r="BK249" i="1"/>
  <c r="BK156" i="1"/>
  <c r="BK157" i="1"/>
  <c r="BK158" i="1"/>
  <c r="BK254" i="1"/>
  <c r="BK223" i="1"/>
  <c r="BK224" i="1"/>
  <c r="BK225" i="1"/>
  <c r="BK168" i="1"/>
  <c r="BK169" i="1"/>
  <c r="BK170" i="1"/>
  <c r="BK171" i="1"/>
  <c r="BK236" i="1"/>
  <c r="BK237" i="1"/>
  <c r="BK162" i="1"/>
  <c r="BK233" i="1"/>
  <c r="BK173" i="1"/>
  <c r="AB162" i="1"/>
  <c r="AQ162" i="1" s="1"/>
  <c r="T162" i="2" s="1"/>
  <c r="AB252" i="1"/>
  <c r="AQ252" i="1" s="1"/>
  <c r="T252" i="2" s="1"/>
  <c r="AB251" i="1"/>
  <c r="AQ251" i="1" s="1"/>
  <c r="T251" i="2" s="1"/>
  <c r="AB238" i="1"/>
  <c r="AQ238" i="1" s="1"/>
  <c r="T238" i="2" s="1"/>
  <c r="AB237" i="1"/>
  <c r="AQ237" i="1" s="1"/>
  <c r="T237" i="2" s="1"/>
  <c r="AB236" i="1"/>
  <c r="AQ236" i="1" s="1"/>
  <c r="T236" i="2" s="1"/>
  <c r="AB225" i="1"/>
  <c r="AQ225" i="1" s="1"/>
  <c r="T225" i="2" s="1"/>
  <c r="AB224" i="1"/>
  <c r="AQ224" i="1" s="1"/>
  <c r="T224" i="2" s="1"/>
  <c r="AB223" i="1"/>
  <c r="AQ223" i="1" s="1"/>
  <c r="T223" i="2" s="1"/>
  <c r="AB254" i="1"/>
  <c r="AQ254" i="1" s="1"/>
  <c r="T254" i="2" s="1"/>
  <c r="AB67" i="1"/>
  <c r="AQ67" i="1" s="1"/>
  <c r="T66" i="2" s="1"/>
  <c r="AB158" i="1"/>
  <c r="AQ158" i="1" s="1"/>
  <c r="T158" i="2" s="1"/>
  <c r="AB157" i="1"/>
  <c r="AQ157" i="1" s="1"/>
  <c r="T157" i="2" s="1"/>
  <c r="AB156" i="1"/>
  <c r="AQ156" i="1" s="1"/>
  <c r="T156" i="2" s="1"/>
  <c r="AB66" i="1"/>
  <c r="AQ66" i="1" s="1"/>
  <c r="T65" i="2" s="1"/>
  <c r="AB261" i="1"/>
  <c r="AQ261" i="1" s="1"/>
  <c r="T261" i="2" s="1"/>
  <c r="AB260" i="1"/>
  <c r="AQ260" i="1" s="1"/>
  <c r="T260" i="2" s="1"/>
  <c r="AB259" i="1"/>
  <c r="AQ259" i="1" s="1"/>
  <c r="T259" i="2" s="1"/>
  <c r="AB267" i="1"/>
  <c r="AQ267" i="1" s="1"/>
  <c r="T267" i="2" s="1"/>
  <c r="AB265" i="1"/>
  <c r="AQ265" i="1" s="1"/>
  <c r="T265" i="2" s="1"/>
  <c r="AB264" i="1"/>
  <c r="AQ264" i="1" s="1"/>
  <c r="T264" i="2" s="1"/>
  <c r="AB266" i="1"/>
  <c r="AQ266" i="1" s="1"/>
  <c r="T266" i="2" s="1"/>
  <c r="AB258" i="1"/>
  <c r="AQ258" i="1" s="1"/>
  <c r="T258" i="2" s="1"/>
  <c r="AB257" i="1"/>
  <c r="AQ257" i="1" s="1"/>
  <c r="T257" i="2" s="1"/>
  <c r="AB256" i="1"/>
  <c r="AQ256" i="1" s="1"/>
  <c r="T256" i="2" s="1"/>
  <c r="AB255" i="1"/>
  <c r="AQ255" i="1" s="1"/>
  <c r="T255" i="2" s="1"/>
  <c r="AB205" i="1"/>
  <c r="AQ205" i="1" s="1"/>
  <c r="T205" i="2" s="1"/>
  <c r="AB204" i="1"/>
  <c r="AQ204" i="1" s="1"/>
  <c r="T204" i="2" s="1"/>
  <c r="AB203" i="1"/>
  <c r="AQ203" i="1" s="1"/>
  <c r="T203" i="2" s="1"/>
  <c r="AB202" i="1"/>
  <c r="AQ202" i="1" s="1"/>
  <c r="T202" i="2" s="1"/>
  <c r="AB201" i="1"/>
  <c r="AQ201" i="1" s="1"/>
  <c r="T201" i="2" s="1"/>
  <c r="AB200" i="1"/>
  <c r="AQ200" i="1" s="1"/>
  <c r="T200" i="2" s="1"/>
  <c r="AB199" i="1"/>
  <c r="AQ199" i="1" s="1"/>
  <c r="T199" i="2" s="1"/>
  <c r="AB198" i="1"/>
  <c r="AQ198" i="1" s="1"/>
  <c r="T198" i="2" s="1"/>
  <c r="AB197" i="1"/>
  <c r="AQ197" i="1" s="1"/>
  <c r="T197" i="2" s="1"/>
  <c r="AB196" i="1"/>
  <c r="AQ196" i="1" s="1"/>
  <c r="T196" i="2" s="1"/>
  <c r="AB195" i="1"/>
  <c r="AQ195" i="1" s="1"/>
  <c r="T195" i="2" s="1"/>
  <c r="AB194" i="1"/>
  <c r="AQ194" i="1" s="1"/>
  <c r="T194" i="2" s="1"/>
  <c r="AB193" i="1"/>
  <c r="AQ193" i="1" s="1"/>
  <c r="T193" i="2" s="1"/>
  <c r="AB192" i="1"/>
  <c r="AQ192" i="1" s="1"/>
  <c r="T192" i="2" s="1"/>
  <c r="AB191" i="1"/>
  <c r="AQ191" i="1" s="1"/>
  <c r="T191" i="2" s="1"/>
  <c r="AB190" i="1"/>
  <c r="AQ190" i="1" s="1"/>
  <c r="T190" i="2" s="1"/>
  <c r="AB189" i="1"/>
  <c r="AQ189" i="1" s="1"/>
  <c r="T189" i="2" s="1"/>
  <c r="AB188" i="1"/>
  <c r="AQ188" i="1" s="1"/>
  <c r="T188" i="2" s="1"/>
  <c r="AB187" i="1"/>
  <c r="AQ187" i="1" s="1"/>
  <c r="T187" i="2" s="1"/>
  <c r="AB185" i="1"/>
  <c r="AQ185" i="1" s="1"/>
  <c r="T185" i="2" s="1"/>
  <c r="AB228" i="1"/>
  <c r="AQ228" i="1" s="1"/>
  <c r="T228" i="2" s="1"/>
  <c r="AB164" i="1"/>
  <c r="AQ164" i="1" s="1"/>
  <c r="T164" i="2" s="1"/>
  <c r="AB182" i="1"/>
  <c r="AQ182" i="1" s="1"/>
  <c r="T182" i="2" s="1"/>
  <c r="AB235" i="1"/>
  <c r="AQ235" i="1" s="1"/>
  <c r="T235" i="2" s="1"/>
  <c r="AB234" i="1"/>
  <c r="AQ234" i="1" s="1"/>
  <c r="T234" i="2" s="1"/>
  <c r="AB160" i="1"/>
  <c r="AQ160" i="1" s="1"/>
  <c r="T160" i="2" s="1"/>
  <c r="AB250" i="1"/>
  <c r="AQ250" i="1" s="1"/>
  <c r="T250" i="2" s="1"/>
  <c r="AB166" i="1"/>
  <c r="AQ166" i="1" s="1"/>
  <c r="T166" i="2" s="1"/>
  <c r="AB179" i="1"/>
  <c r="AQ179" i="1" s="1"/>
  <c r="T179" i="2" s="1"/>
  <c r="AB163" i="1"/>
  <c r="AQ163" i="1" s="1"/>
  <c r="T163" i="2" s="1"/>
  <c r="AB77" i="1"/>
  <c r="AQ77" i="1" s="1"/>
  <c r="T76" i="2" s="1"/>
  <c r="AB76" i="1"/>
  <c r="AQ76" i="1" s="1"/>
  <c r="T75" i="2" s="1"/>
  <c r="AB52" i="1"/>
  <c r="AQ52" i="1" s="1"/>
  <c r="T51" i="2" s="1"/>
  <c r="AB184" i="1"/>
  <c r="AQ184" i="1" s="1"/>
  <c r="T184" i="2" s="1"/>
  <c r="AB10" i="1"/>
  <c r="AQ10" i="1" s="1"/>
  <c r="T9" i="2" s="1"/>
  <c r="AB55" i="1"/>
  <c r="AQ55" i="1" s="1"/>
  <c r="T54" i="2" s="1"/>
  <c r="AB48" i="1"/>
  <c r="AQ48" i="1" s="1"/>
  <c r="T47" i="2" s="1"/>
  <c r="AB75" i="1"/>
  <c r="AQ75" i="1" s="1"/>
  <c r="T74" i="2" s="1"/>
  <c r="AB175" i="1"/>
  <c r="AQ175" i="1" s="1"/>
  <c r="T175" i="2" s="1"/>
  <c r="AB9" i="1"/>
  <c r="AQ9" i="1" s="1"/>
  <c r="T8" i="2" s="1"/>
  <c r="AB8" i="1"/>
  <c r="AQ8" i="1" s="1"/>
  <c r="T7" i="2" s="1"/>
  <c r="AB231" i="1"/>
  <c r="AQ231" i="1" s="1"/>
  <c r="T231" i="2" s="1"/>
  <c r="AB262" i="1"/>
  <c r="AQ262" i="1" s="1"/>
  <c r="T262" i="2" s="1"/>
  <c r="AB246" i="1"/>
  <c r="AQ246" i="1" s="1"/>
  <c r="T246" i="2" s="1"/>
  <c r="AB178" i="1"/>
  <c r="AQ178" i="1" s="1"/>
  <c r="T178" i="2" s="1"/>
  <c r="AB176" i="1"/>
  <c r="AQ176" i="1" s="1"/>
  <c r="T176" i="2" s="1"/>
  <c r="AB222" i="1"/>
  <c r="AQ222" i="1" s="1"/>
  <c r="T222" i="2" s="1"/>
  <c r="AB230" i="1"/>
  <c r="AQ230" i="1" s="1"/>
  <c r="T230" i="2" s="1"/>
  <c r="AB167" i="1"/>
  <c r="AQ167" i="1" s="1"/>
  <c r="T167" i="2" s="1"/>
  <c r="AB186" i="1"/>
  <c r="AQ186" i="1" s="1"/>
  <c r="T186" i="2" s="1"/>
  <c r="AB226" i="1"/>
  <c r="AQ226" i="1" s="1"/>
  <c r="T226" i="2" s="1"/>
  <c r="AB183" i="1"/>
  <c r="AQ183" i="1" s="1"/>
  <c r="T183" i="2" s="1"/>
  <c r="AB181" i="1"/>
  <c r="AQ181" i="1" s="1"/>
  <c r="T181" i="2" s="1"/>
  <c r="AB172" i="1"/>
  <c r="AQ172" i="1" s="1"/>
  <c r="T172" i="2" s="1"/>
  <c r="AB275" i="1"/>
  <c r="AQ275" i="1" s="1"/>
  <c r="T275" i="2" s="1"/>
  <c r="AB286" i="1"/>
  <c r="AQ286" i="1" s="1"/>
  <c r="T286" i="2" s="1"/>
  <c r="AB285" i="1"/>
  <c r="AQ285" i="1" s="1"/>
  <c r="T285" i="2" s="1"/>
  <c r="AB274" i="1"/>
  <c r="AQ274" i="1" s="1"/>
  <c r="T274" i="2" s="1"/>
  <c r="AB273" i="1"/>
  <c r="AQ273" i="1" s="1"/>
  <c r="T273" i="2" s="1"/>
  <c r="AB283" i="1"/>
  <c r="AQ283" i="1" s="1"/>
  <c r="T283" i="2" s="1"/>
  <c r="AB282" i="1"/>
  <c r="AQ282" i="1" s="1"/>
  <c r="T282" i="2" s="1"/>
  <c r="AB281" i="1"/>
  <c r="AQ281" i="1" s="1"/>
  <c r="T281" i="2" s="1"/>
  <c r="AB277" i="1"/>
  <c r="AQ277" i="1" s="1"/>
  <c r="T277" i="2" s="1"/>
  <c r="AB276" i="1"/>
  <c r="AQ276" i="1" s="1"/>
  <c r="T276" i="2" s="1"/>
  <c r="AB272" i="1"/>
  <c r="AQ272" i="1" s="1"/>
  <c r="T272" i="2" s="1"/>
  <c r="AB271" i="1"/>
  <c r="AQ271" i="1" s="1"/>
  <c r="T271" i="2" s="1"/>
  <c r="AB270" i="1"/>
  <c r="AQ270" i="1" s="1"/>
  <c r="T270" i="2" s="1"/>
  <c r="AB269" i="1"/>
  <c r="AQ269" i="1" s="1"/>
  <c r="T269" i="2" s="1"/>
  <c r="AB284" i="1"/>
  <c r="AQ284" i="1" s="1"/>
  <c r="T284" i="2" s="1"/>
  <c r="AB280" i="1"/>
  <c r="AQ280" i="1" s="1"/>
  <c r="T280" i="2" s="1"/>
  <c r="AB279" i="1"/>
  <c r="AQ279" i="1" s="1"/>
  <c r="T279" i="2" s="1"/>
  <c r="AB278" i="1"/>
  <c r="AQ278" i="1" s="1"/>
  <c r="T278" i="2" s="1"/>
  <c r="AB268" i="1"/>
  <c r="AQ268" i="1" s="1"/>
  <c r="T268" i="2" s="1"/>
  <c r="AB263" i="1"/>
  <c r="AQ263" i="1" s="1"/>
  <c r="T263" i="2" s="1"/>
  <c r="AB15" i="1"/>
  <c r="AQ15" i="1" s="1"/>
  <c r="T14" i="2" s="1"/>
  <c r="AB74" i="1"/>
  <c r="AQ74" i="1" s="1"/>
  <c r="T73" i="2" s="1"/>
  <c r="AB73" i="1"/>
  <c r="AQ73" i="1" s="1"/>
  <c r="T72" i="2" s="1"/>
  <c r="AB71" i="1"/>
  <c r="AQ71" i="1" s="1"/>
  <c r="T70" i="2" s="1"/>
  <c r="AB72" i="1"/>
  <c r="AQ72" i="1" s="1"/>
  <c r="T71" i="2" s="1"/>
  <c r="AB70" i="1"/>
  <c r="AQ70" i="1" s="1"/>
  <c r="T69" i="2" s="1"/>
  <c r="AB69" i="1"/>
  <c r="AQ69" i="1" s="1"/>
  <c r="T68" i="2" s="1"/>
  <c r="AB68" i="1"/>
  <c r="AQ68" i="1" s="1"/>
  <c r="T67" i="2" s="1"/>
  <c r="AB58" i="1"/>
  <c r="AQ58" i="1" s="1"/>
  <c r="T57" i="2" s="1"/>
  <c r="AB59" i="1"/>
  <c r="AQ59" i="1" s="1"/>
  <c r="T58" i="2" s="1"/>
  <c r="AB20" i="1"/>
  <c r="AQ20" i="1" s="1"/>
  <c r="T19" i="2" s="1"/>
  <c r="AB14" i="1"/>
  <c r="AQ14" i="1" s="1"/>
  <c r="T13" i="2" s="1"/>
  <c r="AB54" i="1"/>
  <c r="AQ54" i="1" s="1"/>
  <c r="T53" i="2" s="1"/>
  <c r="AB53" i="1"/>
  <c r="AQ53" i="1" s="1"/>
  <c r="T52" i="2" s="1"/>
  <c r="AB44" i="1"/>
  <c r="AQ44" i="1" s="1"/>
  <c r="T43" i="2" s="1"/>
  <c r="AB41" i="1"/>
  <c r="AQ41" i="1" s="1"/>
  <c r="T40" i="2" s="1"/>
  <c r="AB64" i="1"/>
  <c r="AQ64" i="1" s="1"/>
  <c r="T63" i="2" s="1"/>
  <c r="AB19" i="1"/>
  <c r="AQ19" i="1" s="1"/>
  <c r="T18" i="2" s="1"/>
  <c r="AB18" i="1"/>
  <c r="AQ18" i="1" s="1"/>
  <c r="T17" i="2" s="1"/>
  <c r="AB17" i="1"/>
  <c r="AQ17" i="1" s="1"/>
  <c r="T16" i="2" s="1"/>
  <c r="AB16" i="1"/>
  <c r="AQ16" i="1" s="1"/>
  <c r="T15" i="2" s="1"/>
  <c r="AB40" i="1"/>
  <c r="AQ40" i="1" s="1"/>
  <c r="T39" i="2" s="1"/>
  <c r="AB39" i="1"/>
  <c r="AQ39" i="1" s="1"/>
  <c r="T38" i="2" s="1"/>
  <c r="AB80" i="1"/>
  <c r="AQ80" i="1" s="1"/>
  <c r="T79" i="2" s="1"/>
  <c r="AB79" i="1"/>
  <c r="AQ79" i="1" s="1"/>
  <c r="T78" i="2" s="1"/>
  <c r="AQ78" i="1"/>
  <c r="T77" i="2" s="1"/>
  <c r="AB37" i="1"/>
  <c r="AQ37" i="1" s="1"/>
  <c r="T36" i="2" s="1"/>
  <c r="AB36" i="1"/>
  <c r="AQ36" i="1" s="1"/>
  <c r="T35" i="2" s="1"/>
  <c r="AB35" i="1"/>
  <c r="AQ35" i="1" s="1"/>
  <c r="T34" i="2" s="1"/>
  <c r="AB34" i="1"/>
  <c r="AQ34" i="1" s="1"/>
  <c r="T33" i="2" s="1"/>
  <c r="AB33" i="1"/>
  <c r="AQ33" i="1" s="1"/>
  <c r="T32" i="2" s="1"/>
  <c r="AB13" i="1"/>
  <c r="AQ13" i="1" s="1"/>
  <c r="T12" i="2" s="1"/>
  <c r="AB12" i="1"/>
  <c r="AQ12" i="1" s="1"/>
  <c r="T11" i="2" s="1"/>
  <c r="AB11" i="1"/>
  <c r="AQ11" i="1" s="1"/>
  <c r="T10" i="2" s="1"/>
  <c r="AB30" i="1"/>
  <c r="AQ30" i="1" s="1"/>
  <c r="T29" i="2" s="1"/>
  <c r="AB6" i="1"/>
  <c r="AQ6" i="1" s="1"/>
  <c r="T5" i="2" s="1"/>
  <c r="AB227" i="1"/>
  <c r="AQ227" i="1" s="1"/>
  <c r="T227" i="2" s="1"/>
  <c r="AB4" i="1"/>
  <c r="AQ4" i="1" s="1"/>
  <c r="AB180" i="1"/>
  <c r="AQ180" i="1" s="1"/>
  <c r="T180" i="2" s="1"/>
  <c r="AB159" i="1"/>
  <c r="AQ159" i="1" s="1"/>
  <c r="T159" i="2" s="1"/>
  <c r="BJ159" i="1"/>
  <c r="BJ180" i="1"/>
  <c r="BJ4" i="1"/>
  <c r="BJ227" i="1"/>
  <c r="BJ6" i="1"/>
  <c r="BJ5" i="1"/>
  <c r="BJ247" i="1"/>
  <c r="BJ30" i="1"/>
  <c r="BJ11" i="1"/>
  <c r="BJ12" i="1"/>
  <c r="BJ13" i="1"/>
  <c r="BJ33" i="1"/>
  <c r="BJ34" i="1"/>
  <c r="BJ35" i="1"/>
  <c r="BJ36" i="1"/>
  <c r="BJ37" i="1"/>
  <c r="BJ78" i="1"/>
  <c r="BJ79" i="1"/>
  <c r="BJ80" i="1"/>
  <c r="BJ39" i="1"/>
  <c r="BJ40" i="1"/>
  <c r="BJ16" i="1"/>
  <c r="BJ17" i="1"/>
  <c r="BJ18" i="1"/>
  <c r="BJ19" i="1"/>
  <c r="BJ28" i="1"/>
  <c r="BJ29" i="1"/>
  <c r="BJ62" i="1"/>
  <c r="BJ49" i="1"/>
  <c r="BJ60" i="1"/>
  <c r="BJ50" i="1"/>
  <c r="BJ51" i="1"/>
  <c r="BJ61" i="1"/>
  <c r="BJ47" i="1"/>
  <c r="BJ63" i="1"/>
  <c r="BJ45" i="1"/>
  <c r="BJ46" i="1"/>
  <c r="BJ64" i="1"/>
  <c r="BJ41" i="1"/>
  <c r="BJ43" i="1"/>
  <c r="BJ38" i="1"/>
  <c r="BJ32" i="1"/>
  <c r="BJ31" i="1"/>
  <c r="BJ44" i="1"/>
  <c r="BJ42" i="1"/>
  <c r="BJ53" i="1"/>
  <c r="BJ54" i="1"/>
  <c r="BJ14" i="1"/>
  <c r="BJ20" i="1"/>
  <c r="BJ56" i="1"/>
  <c r="BJ59" i="1"/>
  <c r="BJ57" i="1"/>
  <c r="BJ58" i="1"/>
  <c r="BJ68" i="1"/>
  <c r="BJ69" i="1"/>
  <c r="BJ70" i="1"/>
  <c r="BJ72" i="1"/>
  <c r="BJ71" i="1"/>
  <c r="BJ73" i="1"/>
  <c r="BJ74" i="1"/>
  <c r="BJ15" i="1"/>
  <c r="BJ287" i="1"/>
  <c r="BJ288" i="1"/>
  <c r="BJ289" i="1"/>
  <c r="BJ290" i="1"/>
  <c r="BJ291" i="1"/>
  <c r="BJ292" i="1"/>
  <c r="BJ293" i="1"/>
  <c r="BJ294" i="1"/>
  <c r="BJ295" i="1"/>
  <c r="BJ263" i="1"/>
  <c r="BJ268" i="1"/>
  <c r="BJ278" i="1"/>
  <c r="BJ279" i="1"/>
  <c r="BJ280" i="1"/>
  <c r="BJ284" i="1"/>
  <c r="BJ269" i="1"/>
  <c r="BJ270" i="1"/>
  <c r="BJ271" i="1"/>
  <c r="BJ272" i="1"/>
  <c r="BJ276" i="1"/>
  <c r="BJ277" i="1"/>
  <c r="BJ281" i="1"/>
  <c r="BJ282" i="1"/>
  <c r="BJ283" i="1"/>
  <c r="BJ273" i="1"/>
  <c r="BJ274" i="1"/>
  <c r="BJ285" i="1"/>
  <c r="BJ286" i="1"/>
  <c r="BJ275" i="1"/>
  <c r="BJ174" i="1"/>
  <c r="BJ172" i="1"/>
  <c r="BJ181" i="1"/>
  <c r="BJ183" i="1"/>
  <c r="BJ226" i="1"/>
  <c r="BJ186" i="1"/>
  <c r="BJ167" i="1"/>
  <c r="BJ230" i="1"/>
  <c r="BJ222" i="1"/>
  <c r="BJ176" i="1"/>
  <c r="BJ178" i="1"/>
  <c r="BJ246" i="1"/>
  <c r="BJ262" i="1"/>
  <c r="BJ231" i="1"/>
  <c r="BJ229" i="1"/>
  <c r="BJ7" i="1"/>
  <c r="BJ8" i="1"/>
  <c r="BJ9" i="1"/>
  <c r="BJ175" i="1"/>
  <c r="BJ75" i="1"/>
  <c r="BJ48" i="1"/>
  <c r="BJ55" i="1"/>
  <c r="BJ65" i="1"/>
  <c r="BJ10" i="1"/>
  <c r="BJ184" i="1"/>
  <c r="BJ52" i="1"/>
  <c r="BJ76" i="1"/>
  <c r="BJ77" i="1"/>
  <c r="BJ163" i="1"/>
  <c r="BJ253" i="1"/>
  <c r="BJ179" i="1"/>
  <c r="BJ166" i="1"/>
  <c r="BJ232" i="1"/>
  <c r="BJ250" i="1"/>
  <c r="BJ160" i="1"/>
  <c r="BJ234" i="1"/>
  <c r="BJ235" i="1"/>
  <c r="BJ182" i="1"/>
  <c r="BJ164" i="1"/>
  <c r="BJ165" i="1"/>
  <c r="BJ228" i="1"/>
  <c r="BJ177" i="1"/>
  <c r="BJ185" i="1"/>
  <c r="BJ187" i="1"/>
  <c r="BJ188" i="1"/>
  <c r="BJ189" i="1"/>
  <c r="BJ190" i="1"/>
  <c r="BJ191" i="1"/>
  <c r="BJ192" i="1"/>
  <c r="BJ193" i="1"/>
  <c r="BJ194" i="1"/>
  <c r="BJ195" i="1"/>
  <c r="BJ196" i="1"/>
  <c r="BJ197" i="1"/>
  <c r="BJ198" i="1"/>
  <c r="BJ199" i="1"/>
  <c r="BJ200" i="1"/>
  <c r="BJ201" i="1"/>
  <c r="BJ202" i="1"/>
  <c r="BJ203" i="1"/>
  <c r="BJ204" i="1"/>
  <c r="BJ205" i="1"/>
  <c r="BJ255" i="1"/>
  <c r="BJ256" i="1"/>
  <c r="BJ257" i="1"/>
  <c r="BJ258" i="1"/>
  <c r="BJ266" i="1"/>
  <c r="BJ264" i="1"/>
  <c r="BJ265" i="1"/>
  <c r="BJ267" i="1"/>
  <c r="BJ259" i="1"/>
  <c r="BJ260" i="1"/>
  <c r="BJ261" i="1"/>
  <c r="BJ239" i="1"/>
  <c r="BJ240" i="1"/>
  <c r="BJ241" i="1"/>
  <c r="BJ242" i="1"/>
  <c r="BJ248" i="1"/>
  <c r="BJ249" i="1"/>
  <c r="BJ243" i="1"/>
  <c r="BJ244" i="1"/>
  <c r="BJ66" i="1"/>
  <c r="BJ156" i="1"/>
  <c r="BJ157" i="1"/>
  <c r="BJ158" i="1"/>
  <c r="BJ67" i="1"/>
  <c r="BJ245" i="1"/>
  <c r="BJ254" i="1"/>
  <c r="BJ223" i="1"/>
  <c r="BJ224" i="1"/>
  <c r="BJ225" i="1"/>
  <c r="BJ168" i="1"/>
  <c r="BJ169" i="1"/>
  <c r="BJ170" i="1"/>
  <c r="BJ171" i="1"/>
  <c r="BJ236" i="1"/>
  <c r="BJ237" i="1"/>
  <c r="BJ238" i="1"/>
  <c r="BJ251" i="1"/>
  <c r="BJ252" i="1"/>
  <c r="BJ162" i="1"/>
  <c r="BJ233" i="1"/>
  <c r="BT282" i="1"/>
  <c r="Z282" i="2" s="1"/>
  <c r="BT273" i="1"/>
  <c r="Z273" i="2" s="1"/>
  <c r="BC173" i="1"/>
  <c r="U173" i="2" s="1"/>
  <c r="A3" i="2"/>
  <c r="B3" i="2"/>
  <c r="C3" i="2"/>
  <c r="D3" i="2"/>
  <c r="E3" i="2"/>
  <c r="F3" i="2"/>
  <c r="G3" i="2"/>
  <c r="H3" i="2"/>
  <c r="I3" i="2"/>
  <c r="J3" i="2"/>
  <c r="K3" i="2"/>
  <c r="L3" i="2"/>
  <c r="M3" i="2"/>
  <c r="N3" i="2"/>
  <c r="O3" i="2"/>
  <c r="P3" i="2"/>
  <c r="Q3" i="2"/>
  <c r="R3" i="2"/>
  <c r="V3" i="2"/>
  <c r="W3" i="2"/>
  <c r="X3" i="2"/>
  <c r="AC3" i="2"/>
  <c r="AD3" i="2"/>
  <c r="AE3" i="2"/>
  <c r="AF3" i="2"/>
  <c r="AG3" i="2"/>
  <c r="AH3"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BC159" i="1"/>
  <c r="U159" i="2" s="1"/>
  <c r="BC180" i="1"/>
  <c r="U180" i="2" s="1"/>
  <c r="BC4" i="1"/>
  <c r="BC227" i="1"/>
  <c r="U227" i="2" s="1"/>
  <c r="BC6" i="1"/>
  <c r="U5" i="2" s="1"/>
  <c r="BC5" i="1"/>
  <c r="U4" i="2" s="1"/>
  <c r="BC247" i="1"/>
  <c r="U247" i="2" s="1"/>
  <c r="BC30" i="1"/>
  <c r="U29" i="2" s="1"/>
  <c r="BC27" i="1"/>
  <c r="U26" i="2" s="1"/>
  <c r="BC11" i="1"/>
  <c r="U10" i="2" s="1"/>
  <c r="BC12" i="1"/>
  <c r="U11" i="2" s="1"/>
  <c r="BC13" i="1"/>
  <c r="U12" i="2" s="1"/>
  <c r="BC33" i="1"/>
  <c r="U32" i="2" s="1"/>
  <c r="BC34" i="1"/>
  <c r="U33" i="2" s="1"/>
  <c r="BC35" i="1"/>
  <c r="U34" i="2" s="1"/>
  <c r="BC36" i="1"/>
  <c r="U35" i="2" s="1"/>
  <c r="BC37" i="1"/>
  <c r="U36" i="2" s="1"/>
  <c r="BC78" i="1"/>
  <c r="U77" i="2" s="1"/>
  <c r="BC79" i="1"/>
  <c r="U78" i="2" s="1"/>
  <c r="BC80" i="1"/>
  <c r="U79" i="2" s="1"/>
  <c r="BC39" i="1"/>
  <c r="U38" i="2" s="1"/>
  <c r="BC40" i="1"/>
  <c r="U39" i="2" s="1"/>
  <c r="BC16" i="1"/>
  <c r="U15" i="2" s="1"/>
  <c r="BC17" i="1"/>
  <c r="U16" i="2" s="1"/>
  <c r="BC18" i="1"/>
  <c r="U17" i="2" s="1"/>
  <c r="BC19" i="1"/>
  <c r="U18" i="2" s="1"/>
  <c r="BC28" i="1"/>
  <c r="U27" i="2" s="1"/>
  <c r="BC29" i="1"/>
  <c r="U28" i="2" s="1"/>
  <c r="BC62" i="1"/>
  <c r="U61" i="2" s="1"/>
  <c r="BC49" i="1"/>
  <c r="U48" i="2" s="1"/>
  <c r="BC60" i="1"/>
  <c r="U59" i="2" s="1"/>
  <c r="BC50" i="1"/>
  <c r="U49" i="2" s="1"/>
  <c r="BC51" i="1"/>
  <c r="U50" i="2" s="1"/>
  <c r="BC61" i="1"/>
  <c r="U60" i="2" s="1"/>
  <c r="BC47" i="1"/>
  <c r="U46" i="2" s="1"/>
  <c r="BC63" i="1"/>
  <c r="U62" i="2" s="1"/>
  <c r="BC45" i="1"/>
  <c r="U44" i="2" s="1"/>
  <c r="BC46" i="1"/>
  <c r="U45" i="2" s="1"/>
  <c r="BC64" i="1"/>
  <c r="U63" i="2" s="1"/>
  <c r="BC41" i="1"/>
  <c r="U40" i="2" s="1"/>
  <c r="BC43" i="1"/>
  <c r="U42" i="2" s="1"/>
  <c r="BC38" i="1"/>
  <c r="U37" i="2" s="1"/>
  <c r="BC32" i="1"/>
  <c r="U31" i="2" s="1"/>
  <c r="BC31" i="1"/>
  <c r="U30" i="2" s="1"/>
  <c r="BC44" i="1"/>
  <c r="U43" i="2" s="1"/>
  <c r="BC42" i="1"/>
  <c r="U41" i="2" s="1"/>
  <c r="BC53" i="1"/>
  <c r="U52" i="2" s="1"/>
  <c r="BC54" i="1"/>
  <c r="U53" i="2" s="1"/>
  <c r="BC14" i="1"/>
  <c r="U13" i="2" s="1"/>
  <c r="BC56" i="1"/>
  <c r="U55" i="2" s="1"/>
  <c r="BC59" i="1"/>
  <c r="U58" i="2" s="1"/>
  <c r="BC57" i="1"/>
  <c r="U56" i="2" s="1"/>
  <c r="BC58" i="1"/>
  <c r="U57" i="2" s="1"/>
  <c r="BC68" i="1"/>
  <c r="U67" i="2" s="1"/>
  <c r="BC69" i="1"/>
  <c r="U68" i="2" s="1"/>
  <c r="BC70" i="1"/>
  <c r="U69" i="2" s="1"/>
  <c r="BC72" i="1"/>
  <c r="U71" i="2" s="1"/>
  <c r="BC71" i="1"/>
  <c r="U70" i="2" s="1"/>
  <c r="BC73" i="1"/>
  <c r="U72" i="2" s="1"/>
  <c r="BC74" i="1"/>
  <c r="U73" i="2" s="1"/>
  <c r="BC15" i="1"/>
  <c r="U14" i="2" s="1"/>
  <c r="BC287" i="1"/>
  <c r="U287" i="2" s="1"/>
  <c r="BC288" i="1"/>
  <c r="U288" i="2" s="1"/>
  <c r="BC289" i="1"/>
  <c r="U289" i="2" s="1"/>
  <c r="BC290" i="1"/>
  <c r="U290" i="2" s="1"/>
  <c r="BC291" i="1"/>
  <c r="U291" i="2" s="1"/>
  <c r="BC292" i="1"/>
  <c r="U292" i="2" s="1"/>
  <c r="BC293" i="1"/>
  <c r="U293" i="2" s="1"/>
  <c r="BC294" i="1"/>
  <c r="U294" i="2" s="1"/>
  <c r="BC295" i="1"/>
  <c r="U295" i="2" s="1"/>
  <c r="BC263" i="1"/>
  <c r="U263" i="2" s="1"/>
  <c r="BC268" i="1"/>
  <c r="U268" i="2" s="1"/>
  <c r="BC278" i="1"/>
  <c r="U278" i="2" s="1"/>
  <c r="BC279" i="1"/>
  <c r="U279" i="2" s="1"/>
  <c r="BC280" i="1"/>
  <c r="U280" i="2" s="1"/>
  <c r="BC284" i="1"/>
  <c r="U284" i="2" s="1"/>
  <c r="BC269" i="1"/>
  <c r="U269" i="2" s="1"/>
  <c r="BC270" i="1"/>
  <c r="U270" i="2" s="1"/>
  <c r="BC271" i="1"/>
  <c r="U271" i="2" s="1"/>
  <c r="BC272" i="1"/>
  <c r="U272" i="2" s="1"/>
  <c r="BC276" i="1"/>
  <c r="U276" i="2" s="1"/>
  <c r="BC277" i="1"/>
  <c r="U277" i="2" s="1"/>
  <c r="BC281" i="1"/>
  <c r="U281" i="2" s="1"/>
  <c r="BC282" i="1"/>
  <c r="U282" i="2" s="1"/>
  <c r="BC283" i="1"/>
  <c r="U283" i="2" s="1"/>
  <c r="BC273" i="1"/>
  <c r="U273" i="2" s="1"/>
  <c r="BC274" i="1"/>
  <c r="U274" i="2" s="1"/>
  <c r="BC285" i="1"/>
  <c r="U285" i="2" s="1"/>
  <c r="BC286" i="1"/>
  <c r="U286" i="2" s="1"/>
  <c r="BC275" i="1"/>
  <c r="U275" i="2" s="1"/>
  <c r="BC174" i="1"/>
  <c r="U174" i="2" s="1"/>
  <c r="BC172" i="1"/>
  <c r="U172" i="2" s="1"/>
  <c r="BC181" i="1"/>
  <c r="U181" i="2" s="1"/>
  <c r="BC183" i="1"/>
  <c r="U183" i="2" s="1"/>
  <c r="BC226" i="1"/>
  <c r="U226" i="2" s="1"/>
  <c r="BC186" i="1"/>
  <c r="U186" i="2" s="1"/>
  <c r="BC167" i="1"/>
  <c r="U167" i="2" s="1"/>
  <c r="BC230" i="1"/>
  <c r="U230" i="2" s="1"/>
  <c r="BC222" i="1"/>
  <c r="U222" i="2" s="1"/>
  <c r="BC176" i="1"/>
  <c r="U176" i="2" s="1"/>
  <c r="BC178" i="1"/>
  <c r="U178" i="2" s="1"/>
  <c r="BC246" i="1"/>
  <c r="U246" i="2" s="1"/>
  <c r="BC262" i="1"/>
  <c r="U262" i="2" s="1"/>
  <c r="BC231" i="1"/>
  <c r="U231" i="2" s="1"/>
  <c r="BC229" i="1"/>
  <c r="U229" i="2" s="1"/>
  <c r="BC7" i="1"/>
  <c r="U6" i="2" s="1"/>
  <c r="BC8" i="1"/>
  <c r="U7" i="2" s="1"/>
  <c r="BC9" i="1"/>
  <c r="U8" i="2" s="1"/>
  <c r="BC175" i="1"/>
  <c r="U175" i="2" s="1"/>
  <c r="BC75" i="1"/>
  <c r="U74" i="2" s="1"/>
  <c r="BC48" i="1"/>
  <c r="U47" i="2" s="1"/>
  <c r="BC55" i="1"/>
  <c r="U54" i="2" s="1"/>
  <c r="BC65" i="1"/>
  <c r="U64" i="2" s="1"/>
  <c r="BC10" i="1"/>
  <c r="U9" i="2" s="1"/>
  <c r="BC184" i="1"/>
  <c r="U184" i="2" s="1"/>
  <c r="BC52" i="1"/>
  <c r="U51" i="2" s="1"/>
  <c r="BC76" i="1"/>
  <c r="U75" i="2" s="1"/>
  <c r="BC77" i="1"/>
  <c r="U76" i="2" s="1"/>
  <c r="BC163" i="1"/>
  <c r="U163" i="2" s="1"/>
  <c r="BC253" i="1"/>
  <c r="U253" i="2" s="1"/>
  <c r="BC179" i="1"/>
  <c r="U179" i="2" s="1"/>
  <c r="BC166" i="1"/>
  <c r="U166" i="2" s="1"/>
  <c r="BC232" i="1"/>
  <c r="U232" i="2" s="1"/>
  <c r="BC250" i="1"/>
  <c r="U250" i="2" s="1"/>
  <c r="BC160" i="1"/>
  <c r="U160" i="2" s="1"/>
  <c r="BC234" i="1"/>
  <c r="U234" i="2" s="1"/>
  <c r="BC235" i="1"/>
  <c r="U235" i="2" s="1"/>
  <c r="BC182" i="1"/>
  <c r="U182" i="2" s="1"/>
  <c r="BC164" i="1"/>
  <c r="U164" i="2" s="1"/>
  <c r="BC165" i="1"/>
  <c r="U165" i="2" s="1"/>
  <c r="BC228" i="1"/>
  <c r="U228" i="2" s="1"/>
  <c r="BC177" i="1"/>
  <c r="U177" i="2" s="1"/>
  <c r="BC185" i="1"/>
  <c r="U185" i="2" s="1"/>
  <c r="BC187" i="1"/>
  <c r="U187" i="2" s="1"/>
  <c r="BC188" i="1"/>
  <c r="U188" i="2" s="1"/>
  <c r="BC189" i="1"/>
  <c r="U189" i="2" s="1"/>
  <c r="BC190" i="1"/>
  <c r="U190" i="2" s="1"/>
  <c r="BC191" i="1"/>
  <c r="U191" i="2" s="1"/>
  <c r="BC192" i="1"/>
  <c r="U192" i="2" s="1"/>
  <c r="BC193" i="1"/>
  <c r="U193" i="2" s="1"/>
  <c r="BC194" i="1"/>
  <c r="U194" i="2" s="1"/>
  <c r="BC195" i="1"/>
  <c r="U195" i="2" s="1"/>
  <c r="BC196" i="1"/>
  <c r="U196" i="2" s="1"/>
  <c r="BC197" i="1"/>
  <c r="U197" i="2" s="1"/>
  <c r="BC198" i="1"/>
  <c r="U198" i="2" s="1"/>
  <c r="BC199" i="1"/>
  <c r="U199" i="2" s="1"/>
  <c r="BC200" i="1"/>
  <c r="U200" i="2" s="1"/>
  <c r="BC201" i="1"/>
  <c r="U201" i="2" s="1"/>
  <c r="BC202" i="1"/>
  <c r="U202" i="2" s="1"/>
  <c r="BC203" i="1"/>
  <c r="U203" i="2" s="1"/>
  <c r="BC204" i="1"/>
  <c r="U204" i="2" s="1"/>
  <c r="BC205" i="1"/>
  <c r="U205" i="2" s="1"/>
  <c r="BC255" i="1"/>
  <c r="U255" i="2" s="1"/>
  <c r="BC256" i="1"/>
  <c r="U256" i="2" s="1"/>
  <c r="BC257" i="1"/>
  <c r="U257" i="2" s="1"/>
  <c r="BC258" i="1"/>
  <c r="U258" i="2" s="1"/>
  <c r="BC266" i="1"/>
  <c r="U266" i="2" s="1"/>
  <c r="BC264" i="1"/>
  <c r="U264" i="2" s="1"/>
  <c r="BC265" i="1"/>
  <c r="U265" i="2" s="1"/>
  <c r="BC267" i="1"/>
  <c r="U267" i="2" s="1"/>
  <c r="BC259" i="1"/>
  <c r="U259" i="2" s="1"/>
  <c r="BC260" i="1"/>
  <c r="U260" i="2" s="1"/>
  <c r="BC261" i="1"/>
  <c r="U261" i="2" s="1"/>
  <c r="BC239" i="1"/>
  <c r="U239" i="2" s="1"/>
  <c r="BC240" i="1"/>
  <c r="U240" i="2" s="1"/>
  <c r="BC241" i="1"/>
  <c r="U241" i="2" s="1"/>
  <c r="BC242" i="1"/>
  <c r="U242" i="2" s="1"/>
  <c r="BC248" i="1"/>
  <c r="U248" i="2" s="1"/>
  <c r="BC249" i="1"/>
  <c r="U249" i="2" s="1"/>
  <c r="BC243" i="1"/>
  <c r="U243" i="2" s="1"/>
  <c r="BC244" i="1"/>
  <c r="U244" i="2" s="1"/>
  <c r="BC66" i="1"/>
  <c r="U65" i="2" s="1"/>
  <c r="BC156" i="1"/>
  <c r="U156" i="2" s="1"/>
  <c r="BC157" i="1"/>
  <c r="U157" i="2" s="1"/>
  <c r="BC158" i="1"/>
  <c r="U158" i="2" s="1"/>
  <c r="BC67" i="1"/>
  <c r="U66" i="2" s="1"/>
  <c r="BC245" i="1"/>
  <c r="U245" i="2" s="1"/>
  <c r="BC254" i="1"/>
  <c r="U254" i="2" s="1"/>
  <c r="BC224" i="1"/>
  <c r="U224" i="2" s="1"/>
  <c r="BC225" i="1"/>
  <c r="U225" i="2" s="1"/>
  <c r="BC168" i="1"/>
  <c r="U168" i="2" s="1"/>
  <c r="BC169" i="1"/>
  <c r="U169" i="2" s="1"/>
  <c r="BC170" i="1"/>
  <c r="U170" i="2" s="1"/>
  <c r="BC171" i="1"/>
  <c r="U171" i="2" s="1"/>
  <c r="BC236" i="1"/>
  <c r="U236" i="2" s="1"/>
  <c r="BC237" i="1"/>
  <c r="U237" i="2" s="1"/>
  <c r="BC238" i="1"/>
  <c r="U238" i="2" s="1"/>
  <c r="BC251" i="1"/>
  <c r="U251" i="2" s="1"/>
  <c r="BC252" i="1"/>
  <c r="U252" i="2" s="1"/>
  <c r="BC162" i="1"/>
  <c r="U162" i="2" s="1"/>
  <c r="BC233" i="1"/>
  <c r="U233" i="2" s="1"/>
  <c r="BK20" i="1" l="1"/>
  <c r="BK268" i="1"/>
  <c r="BK290" i="1"/>
  <c r="BK61" i="1"/>
  <c r="BK187" i="1"/>
  <c r="AP166" i="1"/>
  <c r="BK294" i="1"/>
  <c r="U3" i="2"/>
  <c r="BV21" i="1"/>
  <c r="AB20" i="2" s="1"/>
  <c r="BU21" i="1"/>
  <c r="AA20" i="2" s="1"/>
  <c r="BV22" i="1"/>
  <c r="AB21" i="2" s="1"/>
  <c r="BU22" i="1"/>
  <c r="AA21" i="2" s="1"/>
  <c r="BK194" i="1"/>
  <c r="BK274" i="1"/>
  <c r="BK269" i="1"/>
  <c r="BK234" i="1"/>
  <c r="BK4" i="1"/>
  <c r="BK196" i="1"/>
  <c r="BK50" i="1"/>
  <c r="BK247" i="1"/>
  <c r="BK246" i="1"/>
  <c r="BK266" i="1"/>
  <c r="BK253" i="1"/>
  <c r="BK204" i="1"/>
  <c r="BK69" i="1"/>
  <c r="BK41" i="1"/>
  <c r="BU185" i="1"/>
  <c r="AA185" i="2" s="1"/>
  <c r="BK181" i="1"/>
  <c r="BK18" i="1"/>
  <c r="BK263" i="1"/>
  <c r="BK51" i="1"/>
  <c r="BK257" i="1"/>
  <c r="BK37" i="1"/>
  <c r="BK188" i="1"/>
  <c r="BK175" i="1"/>
  <c r="BK287" i="1"/>
  <c r="BK261" i="1"/>
  <c r="BK243" i="1"/>
  <c r="BK281" i="1"/>
  <c r="BK238" i="1"/>
  <c r="BK251" i="1"/>
  <c r="BK36" i="1"/>
  <c r="BK286" i="1"/>
  <c r="BK164" i="1"/>
  <c r="BK279" i="1"/>
  <c r="BK66" i="1"/>
  <c r="BK75" i="1"/>
  <c r="BK276" i="1"/>
  <c r="BK198" i="1"/>
  <c r="BK295" i="1"/>
  <c r="BK35" i="1"/>
  <c r="BK16" i="1"/>
  <c r="BK60" i="1"/>
  <c r="BK64" i="1"/>
  <c r="BK68" i="1"/>
  <c r="BK244" i="1"/>
  <c r="BK197" i="1"/>
  <c r="BK189" i="1"/>
  <c r="BK179" i="1"/>
  <c r="BK262" i="1"/>
  <c r="BK285" i="1"/>
  <c r="BK245" i="1"/>
  <c r="BK252" i="1"/>
  <c r="BK67" i="1"/>
  <c r="Y3" i="2"/>
  <c r="BV185" i="1"/>
  <c r="AB185" i="2" s="1"/>
  <c r="CA39" i="1"/>
  <c r="CA40" i="1"/>
  <c r="AP267" i="1"/>
  <c r="S267" i="2" s="1"/>
  <c r="BV166" i="1" l="1"/>
  <c r="AB166" i="2" s="1"/>
  <c r="S166" i="2"/>
  <c r="BU166" i="1"/>
  <c r="AA166" i="2" s="1"/>
  <c r="BV267" i="1"/>
  <c r="AB267" i="2" s="1"/>
  <c r="BU267" i="1"/>
  <c r="AA267" i="2" s="1"/>
  <c r="AM193" i="1" l="1"/>
  <c r="Q193" i="2" s="1"/>
  <c r="AM194" i="1"/>
  <c r="Q194" i="2" s="1"/>
  <c r="AM195" i="1"/>
  <c r="Q195" i="2" s="1"/>
  <c r="AM196" i="1"/>
  <c r="Q196" i="2" s="1"/>
  <c r="AM197" i="1"/>
  <c r="Q197" i="2" s="1"/>
  <c r="AM198" i="1"/>
  <c r="Q198" i="2" s="1"/>
  <c r="AM199" i="1"/>
  <c r="Q199" i="2" s="1"/>
  <c r="AM200" i="1"/>
  <c r="Q200" i="2" s="1"/>
  <c r="AM201" i="1"/>
  <c r="Q201" i="2" s="1"/>
  <c r="AM202" i="1"/>
  <c r="Q202" i="2" s="1"/>
  <c r="AM203" i="1"/>
  <c r="Q203" i="2" s="1"/>
  <c r="AM204" i="1"/>
  <c r="Q204" i="2" s="1"/>
  <c r="AM205" i="1"/>
  <c r="Q205" i="2" s="1"/>
  <c r="BT194" i="1" l="1"/>
  <c r="Z194" i="2" s="1"/>
  <c r="BT195" i="1"/>
  <c r="Z195" i="2" s="1"/>
  <c r="BT202" i="1"/>
  <c r="Z202" i="2" s="1"/>
  <c r="BT191" i="1"/>
  <c r="Z191" i="2" s="1"/>
  <c r="BT200" i="1"/>
  <c r="Z200" i="2" s="1"/>
  <c r="BT201" i="1"/>
  <c r="Z201" i="2" s="1"/>
  <c r="BT193" i="1"/>
  <c r="Z193" i="2" s="1"/>
  <c r="BT192" i="1"/>
  <c r="Z192" i="2" s="1"/>
  <c r="BT199" i="1"/>
  <c r="Z199" i="2" s="1"/>
  <c r="BT203" i="1"/>
  <c r="Z203" i="2" s="1"/>
  <c r="BT198" i="1"/>
  <c r="Z198" i="2" s="1"/>
  <c r="BT205" i="1"/>
  <c r="Z205" i="2" s="1"/>
  <c r="BT197" i="1"/>
  <c r="Z197" i="2" s="1"/>
  <c r="BT204" i="1"/>
  <c r="Z204" i="2" s="1"/>
  <c r="BT196" i="1"/>
  <c r="Z196" i="2" s="1"/>
  <c r="AP193" i="1" l="1"/>
  <c r="S193" i="2" s="1"/>
  <c r="BV193" i="1" l="1"/>
  <c r="AB193" i="2" s="1"/>
  <c r="BU193" i="1"/>
  <c r="AA193" i="2" s="1"/>
  <c r="AP64" i="1"/>
  <c r="S63" i="2" s="1"/>
  <c r="AP233" i="1"/>
  <c r="S233" i="2" s="1"/>
  <c r="AP173" i="1"/>
  <c r="AP159" i="1"/>
  <c r="S159" i="2" s="1"/>
  <c r="AP247" i="1"/>
  <c r="S247" i="2" s="1"/>
  <c r="AP180" i="1"/>
  <c r="S180" i="2" s="1"/>
  <c r="AP227" i="1"/>
  <c r="S227" i="2" s="1"/>
  <c r="AP6" i="1"/>
  <c r="S5" i="2" s="1"/>
  <c r="AP5" i="1"/>
  <c r="S4" i="2" s="1"/>
  <c r="AP4" i="1"/>
  <c r="AP205" i="1"/>
  <c r="S205" i="2" s="1"/>
  <c r="AP204" i="1"/>
  <c r="S204" i="2" s="1"/>
  <c r="AP203" i="1"/>
  <c r="S203" i="2" s="1"/>
  <c r="AP202" i="1"/>
  <c r="S202" i="2" s="1"/>
  <c r="AP201" i="1"/>
  <c r="S201" i="2" s="1"/>
  <c r="AP200" i="1"/>
  <c r="S200" i="2" s="1"/>
  <c r="AP199" i="1"/>
  <c r="S199" i="2" s="1"/>
  <c r="AP198" i="1"/>
  <c r="S198" i="2" s="1"/>
  <c r="AP197" i="1"/>
  <c r="S197" i="2" s="1"/>
  <c r="AP196" i="1"/>
  <c r="S196" i="2" s="1"/>
  <c r="AP195" i="1"/>
  <c r="S195" i="2" s="1"/>
  <c r="AP194" i="1"/>
  <c r="S194" i="2" s="1"/>
  <c r="AP192" i="1"/>
  <c r="S192" i="2" s="1"/>
  <c r="AP191" i="1"/>
  <c r="S191" i="2" s="1"/>
  <c r="AP171" i="1"/>
  <c r="S171" i="2" s="1"/>
  <c r="AP170" i="1"/>
  <c r="S170" i="2" s="1"/>
  <c r="AP169" i="1"/>
  <c r="S169" i="2" s="1"/>
  <c r="AP168" i="1"/>
  <c r="S168" i="2" s="1"/>
  <c r="AP162" i="1"/>
  <c r="S162" i="2" s="1"/>
  <c r="AP238" i="1"/>
  <c r="S238" i="2" s="1"/>
  <c r="AP237" i="1"/>
  <c r="S237" i="2" s="1"/>
  <c r="AP236" i="1"/>
  <c r="S236" i="2" s="1"/>
  <c r="AP225" i="1"/>
  <c r="S225" i="2" s="1"/>
  <c r="AP224" i="1"/>
  <c r="S224" i="2" s="1"/>
  <c r="AP223" i="1"/>
  <c r="S223" i="2" s="1"/>
  <c r="AP252" i="1"/>
  <c r="S252" i="2" s="1"/>
  <c r="AP251" i="1"/>
  <c r="S251" i="2" s="1"/>
  <c r="AP254" i="1"/>
  <c r="S254" i="2" s="1"/>
  <c r="AP295" i="1"/>
  <c r="S295" i="2" s="1"/>
  <c r="AP294" i="1"/>
  <c r="S294" i="2" s="1"/>
  <c r="AP293" i="1"/>
  <c r="S293" i="2" s="1"/>
  <c r="AP292" i="1"/>
  <c r="S292" i="2" s="1"/>
  <c r="AP291" i="1"/>
  <c r="S291" i="2" s="1"/>
  <c r="AP290" i="1"/>
  <c r="S290" i="2" s="1"/>
  <c r="AP289" i="1"/>
  <c r="S289" i="2" s="1"/>
  <c r="AP288" i="1"/>
  <c r="S288" i="2" s="1"/>
  <c r="AP287" i="1"/>
  <c r="S287" i="2" s="1"/>
  <c r="AP190" i="1"/>
  <c r="S190" i="2" s="1"/>
  <c r="AP189" i="1"/>
  <c r="S189" i="2" s="1"/>
  <c r="AP188" i="1"/>
  <c r="S188" i="2" s="1"/>
  <c r="AP187" i="1"/>
  <c r="S187" i="2" s="1"/>
  <c r="AP239" i="1"/>
  <c r="S239" i="2" s="1"/>
  <c r="AP242" i="1"/>
  <c r="S242" i="2" s="1"/>
  <c r="AP241" i="1"/>
  <c r="S241" i="2" s="1"/>
  <c r="AP240" i="1"/>
  <c r="S240" i="2" s="1"/>
  <c r="AP244" i="1"/>
  <c r="S244" i="2" s="1"/>
  <c r="AP243" i="1"/>
  <c r="S243" i="2" s="1"/>
  <c r="AP249" i="1"/>
  <c r="S249" i="2" s="1"/>
  <c r="AP248" i="1"/>
  <c r="S248" i="2" s="1"/>
  <c r="AP286" i="1"/>
  <c r="S286" i="2" s="1"/>
  <c r="AP285" i="1"/>
  <c r="S285" i="2" s="1"/>
  <c r="AP284" i="1"/>
  <c r="S284" i="2" s="1"/>
  <c r="AP283" i="1"/>
  <c r="S283" i="2" s="1"/>
  <c r="AP282" i="1"/>
  <c r="S282" i="2" s="1"/>
  <c r="AP281" i="1"/>
  <c r="S281" i="2" s="1"/>
  <c r="AP280" i="1"/>
  <c r="S280" i="2" s="1"/>
  <c r="AP279" i="1"/>
  <c r="S279" i="2" s="1"/>
  <c r="AP278" i="1"/>
  <c r="S278" i="2" s="1"/>
  <c r="AP277" i="1"/>
  <c r="S277" i="2" s="1"/>
  <c r="AP276" i="1"/>
  <c r="S276" i="2" s="1"/>
  <c r="AP268" i="1"/>
  <c r="S268" i="2" s="1"/>
  <c r="AP263" i="1"/>
  <c r="S263" i="2" s="1"/>
  <c r="AP274" i="1"/>
  <c r="S274" i="2" s="1"/>
  <c r="AP275" i="1"/>
  <c r="S275" i="2" s="1"/>
  <c r="AP273" i="1"/>
  <c r="S273" i="2" s="1"/>
  <c r="AP272" i="1"/>
  <c r="S272" i="2" s="1"/>
  <c r="AP271" i="1"/>
  <c r="S271" i="2" s="1"/>
  <c r="AP270" i="1"/>
  <c r="S270" i="2" s="1"/>
  <c r="AP269" i="1"/>
  <c r="S269" i="2" s="1"/>
  <c r="AP165" i="1"/>
  <c r="S165" i="2" s="1"/>
  <c r="AP232" i="1"/>
  <c r="S232" i="2" s="1"/>
  <c r="AP253" i="1"/>
  <c r="S253" i="2" s="1"/>
  <c r="AP48" i="1"/>
  <c r="S47" i="2" s="1"/>
  <c r="AP228" i="1"/>
  <c r="S228" i="2" s="1"/>
  <c r="AP76" i="1"/>
  <c r="S75" i="2" s="1"/>
  <c r="AP184" i="1"/>
  <c r="S184" i="2" s="1"/>
  <c r="AP246" i="1"/>
  <c r="S246" i="2" s="1"/>
  <c r="AP75" i="1"/>
  <c r="S74" i="2" s="1"/>
  <c r="AP222" i="1"/>
  <c r="S222" i="2" s="1"/>
  <c r="AP262" i="1"/>
  <c r="S262" i="2" s="1"/>
  <c r="AP158" i="1"/>
  <c r="S158" i="2" s="1"/>
  <c r="AP183" i="1"/>
  <c r="S183" i="2" s="1"/>
  <c r="AP250" i="1"/>
  <c r="S250" i="2" s="1"/>
  <c r="AP175" i="1"/>
  <c r="S175" i="2" s="1"/>
  <c r="AP52" i="1"/>
  <c r="S51" i="2" s="1"/>
  <c r="AP182" i="1"/>
  <c r="S182" i="2" s="1"/>
  <c r="AP174" i="1"/>
  <c r="S174" i="2" s="1"/>
  <c r="AP181" i="1"/>
  <c r="S181" i="2" s="1"/>
  <c r="AP176" i="1"/>
  <c r="S176" i="2" s="1"/>
  <c r="AP186" i="1"/>
  <c r="S186" i="2" s="1"/>
  <c r="AP229" i="1"/>
  <c r="S229" i="2" s="1"/>
  <c r="AP177" i="1"/>
  <c r="S177" i="2" s="1"/>
  <c r="AP245" i="1"/>
  <c r="S245" i="2" s="1"/>
  <c r="AP9" i="1"/>
  <c r="S8" i="2" s="1"/>
  <c r="AP65" i="1"/>
  <c r="S64" i="2" s="1"/>
  <c r="AP10" i="1"/>
  <c r="S9" i="2" s="1"/>
  <c r="AP156" i="1"/>
  <c r="S156" i="2" s="1"/>
  <c r="AP8" i="1"/>
  <c r="S7" i="2" s="1"/>
  <c r="AP67" i="1"/>
  <c r="S66" i="2" s="1"/>
  <c r="AP226" i="1"/>
  <c r="S226" i="2" s="1"/>
  <c r="AP160" i="1"/>
  <c r="S160" i="2" s="1"/>
  <c r="AP55" i="1"/>
  <c r="S54" i="2" s="1"/>
  <c r="AP231" i="1"/>
  <c r="S231" i="2" s="1"/>
  <c r="AP164" i="1"/>
  <c r="S164" i="2" s="1"/>
  <c r="AP230" i="1"/>
  <c r="S230" i="2" s="1"/>
  <c r="AP234" i="1"/>
  <c r="S234" i="2" s="1"/>
  <c r="AP7" i="1"/>
  <c r="AP66" i="1"/>
  <c r="S65" i="2" s="1"/>
  <c r="AP235" i="1"/>
  <c r="S235" i="2" s="1"/>
  <c r="AP179" i="1"/>
  <c r="S179" i="2" s="1"/>
  <c r="AP167" i="1"/>
  <c r="S167" i="2" s="1"/>
  <c r="AP178" i="1"/>
  <c r="S178" i="2" s="1"/>
  <c r="AP163" i="1"/>
  <c r="S163" i="2" s="1"/>
  <c r="AP77" i="1"/>
  <c r="S76" i="2" s="1"/>
  <c r="AP172" i="1"/>
  <c r="S172" i="2" s="1"/>
  <c r="AP157" i="1"/>
  <c r="S157" i="2" s="1"/>
  <c r="AP265" i="1"/>
  <c r="S265" i="2" s="1"/>
  <c r="AP264" i="1"/>
  <c r="S264" i="2" s="1"/>
  <c r="AP266" i="1"/>
  <c r="S266" i="2" s="1"/>
  <c r="AP261" i="1"/>
  <c r="S261" i="2" s="1"/>
  <c r="AP260" i="1"/>
  <c r="S260" i="2" s="1"/>
  <c r="AP259" i="1"/>
  <c r="S259" i="2" s="1"/>
  <c r="AP256" i="1"/>
  <c r="S256" i="2" s="1"/>
  <c r="AP257" i="1"/>
  <c r="S257" i="2" s="1"/>
  <c r="AP258" i="1"/>
  <c r="S258" i="2" s="1"/>
  <c r="AP255" i="1"/>
  <c r="S255" i="2" s="1"/>
  <c r="AP59" i="1"/>
  <c r="S58" i="2" s="1"/>
  <c r="AP58" i="1"/>
  <c r="S57" i="2" s="1"/>
  <c r="AP70" i="1"/>
  <c r="S69" i="2" s="1"/>
  <c r="AP68" i="1"/>
  <c r="S67" i="2" s="1"/>
  <c r="AP69" i="1"/>
  <c r="S68" i="2" s="1"/>
  <c r="AP71" i="1"/>
  <c r="S70" i="2" s="1"/>
  <c r="AP72" i="1"/>
  <c r="S71" i="2" s="1"/>
  <c r="AP74" i="1"/>
  <c r="S73" i="2" s="1"/>
  <c r="AP73" i="1"/>
  <c r="S72" i="2" s="1"/>
  <c r="AP31" i="1"/>
  <c r="S30" i="2" s="1"/>
  <c r="AP19" i="1"/>
  <c r="S18" i="2" s="1"/>
  <c r="AP18" i="1"/>
  <c r="S17" i="2" s="1"/>
  <c r="AP17" i="1"/>
  <c r="S16" i="2" s="1"/>
  <c r="AP16" i="1"/>
  <c r="S15" i="2" s="1"/>
  <c r="AP32" i="1"/>
  <c r="S31" i="2" s="1"/>
  <c r="AP38" i="1"/>
  <c r="S37" i="2" s="1"/>
  <c r="AP15" i="1"/>
  <c r="S14" i="2" s="1"/>
  <c r="AP44" i="1"/>
  <c r="S43" i="2" s="1"/>
  <c r="AP27" i="1"/>
  <c r="S26" i="2" s="1"/>
  <c r="AP51" i="1"/>
  <c r="S50" i="2" s="1"/>
  <c r="AP60" i="1"/>
  <c r="S59" i="2" s="1"/>
  <c r="AP45" i="1"/>
  <c r="S44" i="2" s="1"/>
  <c r="AP46" i="1"/>
  <c r="S45" i="2" s="1"/>
  <c r="AP49" i="1"/>
  <c r="S48" i="2" s="1"/>
  <c r="AP50" i="1"/>
  <c r="S49" i="2" s="1"/>
  <c r="AP63" i="1"/>
  <c r="S62" i="2" s="1"/>
  <c r="AP61" i="1"/>
  <c r="S60" i="2" s="1"/>
  <c r="AP62" i="1"/>
  <c r="S61" i="2" s="1"/>
  <c r="AP47" i="1"/>
  <c r="S46" i="2" s="1"/>
  <c r="AP29" i="1"/>
  <c r="S28" i="2" s="1"/>
  <c r="AP28" i="1"/>
  <c r="S27" i="2" s="1"/>
  <c r="AP13" i="1"/>
  <c r="S12" i="2" s="1"/>
  <c r="AP12" i="1"/>
  <c r="S11" i="2" s="1"/>
  <c r="AP11" i="1"/>
  <c r="S10" i="2" s="1"/>
  <c r="AP37" i="1"/>
  <c r="S36" i="2" s="1"/>
  <c r="AP36" i="1"/>
  <c r="S35" i="2" s="1"/>
  <c r="AP35" i="1"/>
  <c r="S34" i="2" s="1"/>
  <c r="AP34" i="1"/>
  <c r="S33" i="2" s="1"/>
  <c r="AP33" i="1"/>
  <c r="S32" i="2" s="1"/>
  <c r="AP80" i="1"/>
  <c r="AP79" i="1"/>
  <c r="S78" i="2" s="1"/>
  <c r="AP78" i="1"/>
  <c r="S77" i="2" s="1"/>
  <c r="AP14" i="1"/>
  <c r="S13" i="2" s="1"/>
  <c r="AP54" i="1"/>
  <c r="S53" i="2" s="1"/>
  <c r="AP53" i="1"/>
  <c r="S52" i="2" s="1"/>
  <c r="AP40" i="1"/>
  <c r="S39" i="2" s="1"/>
  <c r="AP39" i="1"/>
  <c r="S38" i="2" s="1"/>
  <c r="AP42" i="1"/>
  <c r="S41" i="2" s="1"/>
  <c r="AP30" i="1"/>
  <c r="S29" i="2" s="1"/>
  <c r="AP41" i="1"/>
  <c r="S40" i="2" s="1"/>
  <c r="AP20" i="1"/>
  <c r="S19" i="2" s="1"/>
  <c r="S6" i="2" l="1"/>
  <c r="BU7" i="1"/>
  <c r="S79" i="2"/>
  <c r="BU80" i="1"/>
  <c r="AA79" i="2" s="1"/>
  <c r="BU173" i="1"/>
  <c r="AA173" i="2" s="1"/>
  <c r="S173" i="2"/>
  <c r="T3" i="2"/>
  <c r="BV80" i="1"/>
  <c r="AB79" i="2" s="1"/>
  <c r="BV17" i="1"/>
  <c r="AB16" i="2" s="1"/>
  <c r="BU17" i="1"/>
  <c r="AA16" i="2" s="1"/>
  <c r="BV28" i="1"/>
  <c r="AB27" i="2" s="1"/>
  <c r="BU28" i="1"/>
  <c r="AA27" i="2" s="1"/>
  <c r="BV18" i="1"/>
  <c r="AB17" i="2" s="1"/>
  <c r="BU18" i="1"/>
  <c r="AA17" i="2" s="1"/>
  <c r="BV34" i="1"/>
  <c r="AB33" i="2" s="1"/>
  <c r="BU34" i="1"/>
  <c r="AA33" i="2" s="1"/>
  <c r="BU45" i="1"/>
  <c r="AA44" i="2" s="1"/>
  <c r="BV45" i="1"/>
  <c r="AB44" i="2" s="1"/>
  <c r="BV53" i="1"/>
  <c r="AB52" i="2" s="1"/>
  <c r="BU53" i="1"/>
  <c r="AA52" i="2" s="1"/>
  <c r="BV35" i="1"/>
  <c r="AB34" i="2" s="1"/>
  <c r="BU35" i="1"/>
  <c r="AA34" i="2" s="1"/>
  <c r="BV47" i="1"/>
  <c r="AB46" i="2" s="1"/>
  <c r="BU47" i="1"/>
  <c r="AA46" i="2" s="1"/>
  <c r="BV60" i="1"/>
  <c r="AB59" i="2" s="1"/>
  <c r="BU60" i="1"/>
  <c r="AA59" i="2" s="1"/>
  <c r="BV16" i="1"/>
  <c r="AB15" i="2" s="1"/>
  <c r="BU16" i="1"/>
  <c r="AA15" i="2" s="1"/>
  <c r="BV58" i="1"/>
  <c r="AB57" i="2" s="1"/>
  <c r="BU58" i="1"/>
  <c r="AA57" i="2" s="1"/>
  <c r="BV42" i="1"/>
  <c r="AB41" i="2" s="1"/>
  <c r="BU42" i="1"/>
  <c r="AA41" i="2" s="1"/>
  <c r="BV7" i="1"/>
  <c r="AB6" i="2" s="1"/>
  <c r="AA6" i="2"/>
  <c r="BV231" i="1"/>
  <c r="AB231" i="2" s="1"/>
  <c r="BU231" i="1"/>
  <c r="AA231" i="2" s="1"/>
  <c r="BV67" i="1"/>
  <c r="AB66" i="2" s="1"/>
  <c r="BU67" i="1"/>
  <c r="AA66" i="2" s="1"/>
  <c r="BV65" i="1"/>
  <c r="AB64" i="2" s="1"/>
  <c r="BU65" i="1"/>
  <c r="AA64" i="2" s="1"/>
  <c r="BV229" i="1"/>
  <c r="AB229" i="2" s="1"/>
  <c r="BU229" i="1"/>
  <c r="AA229" i="2" s="1"/>
  <c r="BV174" i="1"/>
  <c r="AB174" i="2" s="1"/>
  <c r="BU174" i="1"/>
  <c r="AA174" i="2" s="1"/>
  <c r="BV250" i="1"/>
  <c r="AB250" i="2" s="1"/>
  <c r="BU250" i="1"/>
  <c r="AA250" i="2" s="1"/>
  <c r="BV222" i="1"/>
  <c r="AB222" i="2" s="1"/>
  <c r="BU222" i="1"/>
  <c r="AA222" i="2" s="1"/>
  <c r="BV76" i="1"/>
  <c r="AB75" i="2" s="1"/>
  <c r="BU76" i="1"/>
  <c r="AA75" i="2" s="1"/>
  <c r="BU253" i="1"/>
  <c r="AA253" i="2" s="1"/>
  <c r="BV253" i="1"/>
  <c r="AB253" i="2" s="1"/>
  <c r="BV165" i="1"/>
  <c r="AB165" i="2" s="1"/>
  <c r="BU165" i="1"/>
  <c r="AA165" i="2" s="1"/>
  <c r="BU271" i="1"/>
  <c r="AA271" i="2" s="1"/>
  <c r="BV271" i="1"/>
  <c r="AB271" i="2" s="1"/>
  <c r="BU274" i="1"/>
  <c r="AA274" i="2" s="1"/>
  <c r="BV274" i="1"/>
  <c r="AB274" i="2" s="1"/>
  <c r="BV263" i="1"/>
  <c r="AB263" i="2" s="1"/>
  <c r="BU263" i="1"/>
  <c r="AA263" i="2" s="1"/>
  <c r="BV276" i="1"/>
  <c r="AB276" i="2" s="1"/>
  <c r="BU276" i="1"/>
  <c r="AA276" i="2" s="1"/>
  <c r="BV280" i="1"/>
  <c r="AB280" i="2" s="1"/>
  <c r="BU280" i="1"/>
  <c r="AA280" i="2" s="1"/>
  <c r="BV284" i="1"/>
  <c r="AB284" i="2" s="1"/>
  <c r="BU284" i="1"/>
  <c r="AA284" i="2" s="1"/>
  <c r="BV249" i="1"/>
  <c r="AB249" i="2" s="1"/>
  <c r="BU249" i="1"/>
  <c r="AA249" i="2" s="1"/>
  <c r="BV241" i="1"/>
  <c r="AB241" i="2" s="1"/>
  <c r="BU241" i="1"/>
  <c r="AA241" i="2" s="1"/>
  <c r="BV187" i="1"/>
  <c r="AB187" i="2" s="1"/>
  <c r="BU187" i="1"/>
  <c r="AA187" i="2" s="1"/>
  <c r="BV287" i="1"/>
  <c r="AB287" i="2" s="1"/>
  <c r="BU287" i="1"/>
  <c r="AA287" i="2" s="1"/>
  <c r="BU291" i="1"/>
  <c r="AA291" i="2" s="1"/>
  <c r="BV291" i="1"/>
  <c r="AB291" i="2" s="1"/>
  <c r="BV295" i="1"/>
  <c r="AB295" i="2" s="1"/>
  <c r="BU295" i="1"/>
  <c r="AA295" i="2" s="1"/>
  <c r="BV254" i="1"/>
  <c r="AB254" i="2" s="1"/>
  <c r="BU254" i="1"/>
  <c r="AA254" i="2" s="1"/>
  <c r="BV224" i="1"/>
  <c r="AB224" i="2" s="1"/>
  <c r="BU224" i="1"/>
  <c r="AA224" i="2" s="1"/>
  <c r="BV238" i="1"/>
  <c r="AB238" i="2" s="1"/>
  <c r="BU238" i="1"/>
  <c r="AA238" i="2" s="1"/>
  <c r="BV171" i="1"/>
  <c r="AB171" i="2" s="1"/>
  <c r="BU171" i="1"/>
  <c r="AA171" i="2" s="1"/>
  <c r="BV54" i="1"/>
  <c r="AB53" i="2" s="1"/>
  <c r="BU54" i="1"/>
  <c r="AA53" i="2" s="1"/>
  <c r="BV15" i="1"/>
  <c r="AB14" i="2" s="1"/>
  <c r="BU15" i="1"/>
  <c r="AA14" i="2" s="1"/>
  <c r="BV258" i="1"/>
  <c r="AB258" i="2" s="1"/>
  <c r="BU258" i="1"/>
  <c r="AA258" i="2" s="1"/>
  <c r="BV264" i="1"/>
  <c r="AB264" i="2" s="1"/>
  <c r="BU264" i="1"/>
  <c r="AA264" i="2" s="1"/>
  <c r="BV163" i="1"/>
  <c r="AB163" i="2" s="1"/>
  <c r="BU163" i="1"/>
  <c r="AA163" i="2" s="1"/>
  <c r="BV195" i="1"/>
  <c r="AB195" i="2" s="1"/>
  <c r="BU195" i="1"/>
  <c r="AA195" i="2" s="1"/>
  <c r="BV199" i="1"/>
  <c r="AB199" i="2" s="1"/>
  <c r="BU199" i="1"/>
  <c r="AA199" i="2" s="1"/>
  <c r="BV203" i="1"/>
  <c r="AB203" i="2" s="1"/>
  <c r="BU203" i="1"/>
  <c r="AA203" i="2" s="1"/>
  <c r="S3" i="2"/>
  <c r="BV227" i="1"/>
  <c r="AB227" i="2" s="1"/>
  <c r="BU227" i="1"/>
  <c r="AA227" i="2" s="1"/>
  <c r="BV51" i="1"/>
  <c r="AB50" i="2" s="1"/>
  <c r="BU51" i="1"/>
  <c r="AA50" i="2" s="1"/>
  <c r="BV59" i="1"/>
  <c r="AB58" i="2" s="1"/>
  <c r="BU59" i="1"/>
  <c r="AA58" i="2" s="1"/>
  <c r="BV260" i="1"/>
  <c r="AB260" i="2" s="1"/>
  <c r="BU260" i="1"/>
  <c r="AA260" i="2" s="1"/>
  <c r="BV157" i="1"/>
  <c r="AB157" i="2" s="1"/>
  <c r="BU157" i="1"/>
  <c r="AA157" i="2" s="1"/>
  <c r="BV20" i="1"/>
  <c r="AB19" i="2" s="1"/>
  <c r="BU20" i="1"/>
  <c r="AA19" i="2" s="1"/>
  <c r="BV179" i="1"/>
  <c r="AB179" i="2" s="1"/>
  <c r="BU179" i="1"/>
  <c r="AA179" i="2" s="1"/>
  <c r="BU234" i="1"/>
  <c r="AA234" i="2" s="1"/>
  <c r="BV234" i="1"/>
  <c r="AB234" i="2" s="1"/>
  <c r="BV55" i="1"/>
  <c r="AB54" i="2" s="1"/>
  <c r="BU55" i="1"/>
  <c r="AA54" i="2" s="1"/>
  <c r="BV8" i="1"/>
  <c r="AB7" i="2" s="1"/>
  <c r="BU8" i="1"/>
  <c r="AA7" i="2" s="1"/>
  <c r="BU9" i="1"/>
  <c r="AA8" i="2" s="1"/>
  <c r="BV9" i="1"/>
  <c r="AB8" i="2" s="1"/>
  <c r="BV186" i="1"/>
  <c r="AB186" i="2" s="1"/>
  <c r="BU186" i="1"/>
  <c r="AA186" i="2" s="1"/>
  <c r="BV182" i="1"/>
  <c r="AB182" i="2" s="1"/>
  <c r="BU182" i="1"/>
  <c r="AA182" i="2" s="1"/>
  <c r="BV183" i="1"/>
  <c r="AB183" i="2" s="1"/>
  <c r="BU183" i="1"/>
  <c r="AA183" i="2" s="1"/>
  <c r="BV75" i="1"/>
  <c r="AB74" i="2" s="1"/>
  <c r="BU75" i="1"/>
  <c r="AA74" i="2" s="1"/>
  <c r="BV228" i="1"/>
  <c r="AB228" i="2" s="1"/>
  <c r="BU228" i="1"/>
  <c r="AA228" i="2" s="1"/>
  <c r="BV232" i="1"/>
  <c r="AB232" i="2" s="1"/>
  <c r="BU232" i="1"/>
  <c r="AA232" i="2" s="1"/>
  <c r="BV272" i="1"/>
  <c r="AB272" i="2" s="1"/>
  <c r="BU272" i="1"/>
  <c r="AA272" i="2" s="1"/>
  <c r="BU268" i="1"/>
  <c r="AA268" i="2" s="1"/>
  <c r="BV268" i="1"/>
  <c r="AB268" i="2" s="1"/>
  <c r="BV277" i="1"/>
  <c r="AB277" i="2" s="1"/>
  <c r="BU277" i="1"/>
  <c r="AA277" i="2" s="1"/>
  <c r="BV281" i="1"/>
  <c r="AB281" i="2" s="1"/>
  <c r="BU281" i="1"/>
  <c r="AA281" i="2" s="1"/>
  <c r="BV285" i="1"/>
  <c r="AB285" i="2" s="1"/>
  <c r="BU285" i="1"/>
  <c r="AA285" i="2" s="1"/>
  <c r="BV243" i="1"/>
  <c r="AB243" i="2" s="1"/>
  <c r="BU243" i="1"/>
  <c r="AA243" i="2" s="1"/>
  <c r="BV242" i="1"/>
  <c r="AB242" i="2" s="1"/>
  <c r="BU242" i="1"/>
  <c r="AA242" i="2" s="1"/>
  <c r="BV188" i="1"/>
  <c r="AB188" i="2" s="1"/>
  <c r="BU188" i="1"/>
  <c r="AA188" i="2" s="1"/>
  <c r="BV288" i="1"/>
  <c r="AB288" i="2" s="1"/>
  <c r="BU288" i="1"/>
  <c r="AA288" i="2" s="1"/>
  <c r="BV292" i="1"/>
  <c r="AB292" i="2" s="1"/>
  <c r="BU292" i="1"/>
  <c r="AA292" i="2" s="1"/>
  <c r="BV251" i="1"/>
  <c r="AB251" i="2" s="1"/>
  <c r="BU251" i="1"/>
  <c r="AA251" i="2" s="1"/>
  <c r="BV225" i="1"/>
  <c r="AB225" i="2" s="1"/>
  <c r="BU225" i="1"/>
  <c r="AA225" i="2" s="1"/>
  <c r="BU162" i="1"/>
  <c r="AA162" i="2" s="1"/>
  <c r="BV162" i="1"/>
  <c r="AB162" i="2" s="1"/>
  <c r="BV168" i="1"/>
  <c r="AB168" i="2" s="1"/>
  <c r="BU168" i="1"/>
  <c r="AA168" i="2" s="1"/>
  <c r="BV191" i="1"/>
  <c r="AB191" i="2" s="1"/>
  <c r="BU191" i="1"/>
  <c r="AA191" i="2" s="1"/>
  <c r="BU62" i="1"/>
  <c r="AA61" i="2" s="1"/>
  <c r="BV62" i="1"/>
  <c r="AB61" i="2" s="1"/>
  <c r="BU37" i="1"/>
  <c r="AA36" i="2" s="1"/>
  <c r="BV37" i="1"/>
  <c r="AB36" i="2" s="1"/>
  <c r="BV27" i="1"/>
  <c r="AB26" i="2" s="1"/>
  <c r="BU27" i="1"/>
  <c r="AA26" i="2" s="1"/>
  <c r="BV265" i="1"/>
  <c r="AB265" i="2" s="1"/>
  <c r="BU265" i="1"/>
  <c r="AA265" i="2" s="1"/>
  <c r="BV178" i="1"/>
  <c r="AB178" i="2" s="1"/>
  <c r="BU178" i="1"/>
  <c r="AA178" i="2" s="1"/>
  <c r="BV196" i="1"/>
  <c r="AB196" i="2" s="1"/>
  <c r="BU196" i="1"/>
  <c r="AA196" i="2" s="1"/>
  <c r="BV200" i="1"/>
  <c r="AB200" i="2" s="1"/>
  <c r="BU200" i="1"/>
  <c r="AA200" i="2" s="1"/>
  <c r="BV204" i="1"/>
  <c r="AB204" i="2" s="1"/>
  <c r="BU204" i="1"/>
  <c r="AA204" i="2" s="1"/>
  <c r="BV180" i="1"/>
  <c r="AB180" i="2" s="1"/>
  <c r="BU180" i="1"/>
  <c r="AA180" i="2" s="1"/>
  <c r="BV173" i="1"/>
  <c r="AB173" i="2" s="1"/>
  <c r="BV13" i="1"/>
  <c r="AB12" i="2" s="1"/>
  <c r="BU13" i="1"/>
  <c r="AA12" i="2" s="1"/>
  <c r="BV69" i="1"/>
  <c r="AB68" i="2" s="1"/>
  <c r="BU69" i="1"/>
  <c r="AA68" i="2" s="1"/>
  <c r="BU33" i="1"/>
  <c r="AA32" i="2" s="1"/>
  <c r="BV33" i="1"/>
  <c r="AB32" i="2" s="1"/>
  <c r="BV38" i="1"/>
  <c r="AB37" i="2" s="1"/>
  <c r="BU38" i="1"/>
  <c r="AA37" i="2" s="1"/>
  <c r="BV261" i="1"/>
  <c r="AB261" i="2" s="1"/>
  <c r="BU261" i="1"/>
  <c r="AA261" i="2" s="1"/>
  <c r="BV41" i="1"/>
  <c r="AB40" i="2" s="1"/>
  <c r="BU41" i="1"/>
  <c r="AA40" i="2" s="1"/>
  <c r="BV235" i="1"/>
  <c r="AB235" i="2" s="1"/>
  <c r="BU235" i="1"/>
  <c r="AA235" i="2" s="1"/>
  <c r="BV230" i="1"/>
  <c r="AB230" i="2" s="1"/>
  <c r="BU230" i="1"/>
  <c r="AA230" i="2" s="1"/>
  <c r="BV160" i="1"/>
  <c r="AB160" i="2" s="1"/>
  <c r="BU160" i="1"/>
  <c r="AA160" i="2" s="1"/>
  <c r="BV156" i="1"/>
  <c r="AB156" i="2" s="1"/>
  <c r="BU156" i="1"/>
  <c r="AA156" i="2" s="1"/>
  <c r="BV245" i="1"/>
  <c r="AB245" i="2" s="1"/>
  <c r="BU245" i="1"/>
  <c r="AA245" i="2" s="1"/>
  <c r="BU176" i="1"/>
  <c r="AA176" i="2" s="1"/>
  <c r="BV176" i="1"/>
  <c r="AB176" i="2" s="1"/>
  <c r="BV52" i="1"/>
  <c r="AB51" i="2" s="1"/>
  <c r="BU52" i="1"/>
  <c r="AA51" i="2" s="1"/>
  <c r="BV158" i="1"/>
  <c r="AB158" i="2" s="1"/>
  <c r="BU158" i="1"/>
  <c r="AA158" i="2" s="1"/>
  <c r="BU246" i="1"/>
  <c r="AA246" i="2" s="1"/>
  <c r="BV246" i="1"/>
  <c r="AB246" i="2" s="1"/>
  <c r="BV48" i="1"/>
  <c r="AB47" i="2" s="1"/>
  <c r="BU48" i="1"/>
  <c r="AA47" i="2" s="1"/>
  <c r="BU269" i="1"/>
  <c r="AA269" i="2" s="1"/>
  <c r="BV269" i="1"/>
  <c r="AB269" i="2" s="1"/>
  <c r="BV273" i="1"/>
  <c r="AB273" i="2" s="1"/>
  <c r="BU273" i="1"/>
  <c r="AA273" i="2" s="1"/>
  <c r="BV278" i="1"/>
  <c r="AB278" i="2" s="1"/>
  <c r="BU278" i="1"/>
  <c r="AA278" i="2" s="1"/>
  <c r="BV282" i="1"/>
  <c r="AB282" i="2" s="1"/>
  <c r="BU282" i="1"/>
  <c r="AA282" i="2" s="1"/>
  <c r="BV286" i="1"/>
  <c r="AB286" i="2" s="1"/>
  <c r="BU286" i="1"/>
  <c r="AA286" i="2" s="1"/>
  <c r="BV244" i="1"/>
  <c r="AB244" i="2" s="1"/>
  <c r="BU244" i="1"/>
  <c r="AA244" i="2" s="1"/>
  <c r="BV239" i="1"/>
  <c r="AB239" i="2" s="1"/>
  <c r="BU239" i="1"/>
  <c r="AA239" i="2" s="1"/>
  <c r="BV189" i="1"/>
  <c r="AB189" i="2" s="1"/>
  <c r="BU189" i="1"/>
  <c r="AA189" i="2" s="1"/>
  <c r="BV289" i="1"/>
  <c r="AB289" i="2" s="1"/>
  <c r="BU289" i="1"/>
  <c r="AA289" i="2" s="1"/>
  <c r="BU293" i="1"/>
  <c r="AA293" i="2" s="1"/>
  <c r="BV293" i="1"/>
  <c r="AB293" i="2" s="1"/>
  <c r="BV252" i="1"/>
  <c r="AB252" i="2" s="1"/>
  <c r="BU252" i="1"/>
  <c r="AA252" i="2" s="1"/>
  <c r="BU236" i="1"/>
  <c r="AA236" i="2" s="1"/>
  <c r="BV236" i="1"/>
  <c r="AB236" i="2" s="1"/>
  <c r="BV169" i="1"/>
  <c r="AB169" i="2" s="1"/>
  <c r="BU169" i="1"/>
  <c r="AA169" i="2" s="1"/>
  <c r="BV192" i="1"/>
  <c r="AB192" i="2" s="1"/>
  <c r="BU192" i="1"/>
  <c r="AA192" i="2" s="1"/>
  <c r="BV64" i="1"/>
  <c r="AB63" i="2" s="1"/>
  <c r="BU64" i="1"/>
  <c r="AA63" i="2" s="1"/>
  <c r="BV49" i="1"/>
  <c r="AB48" i="2" s="1"/>
  <c r="BU49" i="1"/>
  <c r="AA48" i="2" s="1"/>
  <c r="BV39" i="1"/>
  <c r="AB38" i="2" s="1"/>
  <c r="BU39" i="1"/>
  <c r="AA38" i="2" s="1"/>
  <c r="BV61" i="1"/>
  <c r="AB60" i="2" s="1"/>
  <c r="BU61" i="1"/>
  <c r="AA60" i="2" s="1"/>
  <c r="BU74" i="1"/>
  <c r="AA73" i="2" s="1"/>
  <c r="BV74" i="1"/>
  <c r="AB73" i="2" s="1"/>
  <c r="BV78" i="1"/>
  <c r="AB77" i="2" s="1"/>
  <c r="BU78" i="1"/>
  <c r="AA77" i="2" s="1"/>
  <c r="BV29" i="1"/>
  <c r="AB28" i="2" s="1"/>
  <c r="BU29" i="1"/>
  <c r="AA28" i="2" s="1"/>
  <c r="BV32" i="1"/>
  <c r="AB31" i="2" s="1"/>
  <c r="BU32" i="1"/>
  <c r="AA31" i="2" s="1"/>
  <c r="BV72" i="1"/>
  <c r="AB71" i="2" s="1"/>
  <c r="BU72" i="1"/>
  <c r="AA71" i="2" s="1"/>
  <c r="BV266" i="1"/>
  <c r="AB266" i="2" s="1"/>
  <c r="BU266" i="1"/>
  <c r="AA266" i="2" s="1"/>
  <c r="BV172" i="1"/>
  <c r="AB172" i="2" s="1"/>
  <c r="BU172" i="1"/>
  <c r="AA172" i="2" s="1"/>
  <c r="BV197" i="1"/>
  <c r="AB197" i="2" s="1"/>
  <c r="BU197" i="1"/>
  <c r="AA197" i="2" s="1"/>
  <c r="BV201" i="1"/>
  <c r="AB201" i="2" s="1"/>
  <c r="BU201" i="1"/>
  <c r="AA201" i="2" s="1"/>
  <c r="BV205" i="1"/>
  <c r="AB205" i="2" s="1"/>
  <c r="BU205" i="1"/>
  <c r="AA205" i="2" s="1"/>
  <c r="BV247" i="1"/>
  <c r="AB247" i="2" s="1"/>
  <c r="BU247" i="1"/>
  <c r="AA247" i="2" s="1"/>
  <c r="BV233" i="1"/>
  <c r="AB233" i="2" s="1"/>
  <c r="BU233" i="1"/>
  <c r="AA233" i="2" s="1"/>
  <c r="BV36" i="1"/>
  <c r="AB35" i="2" s="1"/>
  <c r="BU36" i="1"/>
  <c r="AA35" i="2" s="1"/>
  <c r="BV73" i="1"/>
  <c r="AB72" i="2" s="1"/>
  <c r="BU73" i="1"/>
  <c r="AA72" i="2" s="1"/>
  <c r="BV14" i="1"/>
  <c r="AB13" i="2" s="1"/>
  <c r="BU14" i="1"/>
  <c r="AA13" i="2" s="1"/>
  <c r="BV46" i="1"/>
  <c r="AB45" i="2" s="1"/>
  <c r="BU46" i="1"/>
  <c r="AA45" i="2" s="1"/>
  <c r="BV68" i="1"/>
  <c r="AB67" i="2" s="1"/>
  <c r="BU68" i="1"/>
  <c r="AA67" i="2" s="1"/>
  <c r="BU257" i="1"/>
  <c r="AA257" i="2" s="1"/>
  <c r="BV257" i="1"/>
  <c r="AB257" i="2" s="1"/>
  <c r="BV40" i="1"/>
  <c r="AB39" i="2" s="1"/>
  <c r="BU40" i="1"/>
  <c r="AA39" i="2" s="1"/>
  <c r="BV11" i="1"/>
  <c r="AB10" i="2" s="1"/>
  <c r="BU11" i="1"/>
  <c r="AA10" i="2" s="1"/>
  <c r="BU44" i="1"/>
  <c r="AA43" i="2" s="1"/>
  <c r="BV44" i="1"/>
  <c r="AB43" i="2" s="1"/>
  <c r="BV19" i="1"/>
  <c r="AB18" i="2" s="1"/>
  <c r="BU19" i="1"/>
  <c r="AA18" i="2" s="1"/>
  <c r="BU70" i="1"/>
  <c r="AA69" i="2" s="1"/>
  <c r="BV70" i="1"/>
  <c r="AB69" i="2" s="1"/>
  <c r="BV256" i="1"/>
  <c r="AB256" i="2" s="1"/>
  <c r="BU256" i="1"/>
  <c r="AA256" i="2" s="1"/>
  <c r="BV30" i="1"/>
  <c r="AB29" i="2" s="1"/>
  <c r="BU30" i="1"/>
  <c r="AA29" i="2" s="1"/>
  <c r="BV66" i="1"/>
  <c r="AB65" i="2" s="1"/>
  <c r="BU66" i="1"/>
  <c r="AA65" i="2" s="1"/>
  <c r="BV164" i="1"/>
  <c r="AB164" i="2" s="1"/>
  <c r="BU164" i="1"/>
  <c r="AA164" i="2" s="1"/>
  <c r="BU226" i="1"/>
  <c r="AA226" i="2" s="1"/>
  <c r="BV226" i="1"/>
  <c r="AB226" i="2" s="1"/>
  <c r="BU10" i="1"/>
  <c r="AA9" i="2" s="1"/>
  <c r="BV10" i="1"/>
  <c r="AB9" i="2" s="1"/>
  <c r="BV177" i="1"/>
  <c r="AB177" i="2" s="1"/>
  <c r="BU177" i="1"/>
  <c r="AA177" i="2" s="1"/>
  <c r="BU181" i="1"/>
  <c r="AA181" i="2" s="1"/>
  <c r="BV181" i="1"/>
  <c r="AB181" i="2" s="1"/>
  <c r="BU175" i="1"/>
  <c r="AA175" i="2" s="1"/>
  <c r="BV175" i="1"/>
  <c r="AB175" i="2" s="1"/>
  <c r="BV262" i="1"/>
  <c r="AB262" i="2" s="1"/>
  <c r="BU262" i="1"/>
  <c r="AA262" i="2" s="1"/>
  <c r="BV184" i="1"/>
  <c r="AB184" i="2" s="1"/>
  <c r="BU184" i="1"/>
  <c r="AA184" i="2" s="1"/>
  <c r="BV270" i="1"/>
  <c r="AB270" i="2" s="1"/>
  <c r="BU270" i="1"/>
  <c r="AA270" i="2" s="1"/>
  <c r="BV275" i="1"/>
  <c r="AB275" i="2" s="1"/>
  <c r="BU275" i="1"/>
  <c r="AA275" i="2" s="1"/>
  <c r="BV279" i="1"/>
  <c r="AB279" i="2" s="1"/>
  <c r="BU279" i="1"/>
  <c r="AA279" i="2" s="1"/>
  <c r="BU283" i="1"/>
  <c r="AA283" i="2" s="1"/>
  <c r="BV283" i="1"/>
  <c r="AB283" i="2" s="1"/>
  <c r="BU248" i="1"/>
  <c r="AA248" i="2" s="1"/>
  <c r="BV248" i="1"/>
  <c r="AB248" i="2" s="1"/>
  <c r="BV240" i="1"/>
  <c r="AB240" i="2" s="1"/>
  <c r="BU240" i="1"/>
  <c r="AA240" i="2" s="1"/>
  <c r="BV190" i="1"/>
  <c r="AB190" i="2" s="1"/>
  <c r="BU190" i="1"/>
  <c r="AA190" i="2" s="1"/>
  <c r="BV290" i="1"/>
  <c r="AB290" i="2" s="1"/>
  <c r="BU290" i="1"/>
  <c r="AA290" i="2" s="1"/>
  <c r="BV294" i="1"/>
  <c r="AB294" i="2" s="1"/>
  <c r="BU294" i="1"/>
  <c r="AA294" i="2" s="1"/>
  <c r="BV223" i="1"/>
  <c r="AB223" i="2" s="1"/>
  <c r="BU223" i="1"/>
  <c r="AA223" i="2" s="1"/>
  <c r="BV237" i="1"/>
  <c r="AB237" i="2" s="1"/>
  <c r="BU237" i="1"/>
  <c r="AA237" i="2" s="1"/>
  <c r="BV170" i="1"/>
  <c r="AB170" i="2" s="1"/>
  <c r="BU170" i="1"/>
  <c r="AA170" i="2" s="1"/>
  <c r="BV63" i="1"/>
  <c r="AB62" i="2" s="1"/>
  <c r="BU63" i="1"/>
  <c r="AA62" i="2" s="1"/>
  <c r="BV79" i="1"/>
  <c r="AB78" i="2" s="1"/>
  <c r="BU79" i="1"/>
  <c r="AA78" i="2" s="1"/>
  <c r="BV12" i="1"/>
  <c r="AB11" i="2" s="1"/>
  <c r="BU12" i="1"/>
  <c r="AA11" i="2" s="1"/>
  <c r="BV50" i="1"/>
  <c r="AB49" i="2" s="1"/>
  <c r="BU50" i="1"/>
  <c r="AA49" i="2" s="1"/>
  <c r="BU43" i="1"/>
  <c r="AA42" i="2" s="1"/>
  <c r="BV43" i="1"/>
  <c r="AB42" i="2" s="1"/>
  <c r="BV31" i="1"/>
  <c r="AB30" i="2" s="1"/>
  <c r="BU31" i="1"/>
  <c r="AA30" i="2" s="1"/>
  <c r="BV71" i="1"/>
  <c r="AB70" i="2" s="1"/>
  <c r="BU71" i="1"/>
  <c r="AA70" i="2" s="1"/>
  <c r="BV255" i="1"/>
  <c r="AB255" i="2" s="1"/>
  <c r="BU255" i="1"/>
  <c r="AA255" i="2" s="1"/>
  <c r="BU259" i="1"/>
  <c r="AA259" i="2" s="1"/>
  <c r="BV259" i="1"/>
  <c r="AB259" i="2" s="1"/>
  <c r="BV77" i="1"/>
  <c r="AB76" i="2" s="1"/>
  <c r="BU77" i="1"/>
  <c r="AA76" i="2" s="1"/>
  <c r="BV167" i="1"/>
  <c r="AB167" i="2" s="1"/>
  <c r="BU167" i="1"/>
  <c r="AA167" i="2" s="1"/>
  <c r="BU194" i="1"/>
  <c r="AA194" i="2" s="1"/>
  <c r="BV194" i="1"/>
  <c r="AB194" i="2" s="1"/>
  <c r="BV198" i="1"/>
  <c r="AB198" i="2" s="1"/>
  <c r="BU198" i="1"/>
  <c r="AA198" i="2" s="1"/>
  <c r="BU202" i="1"/>
  <c r="AA202" i="2" s="1"/>
  <c r="BV202" i="1"/>
  <c r="AB202" i="2" s="1"/>
  <c r="BV4" i="1"/>
  <c r="BU4" i="1"/>
  <c r="BV5" i="1"/>
  <c r="AB4" i="2" s="1"/>
  <c r="BU5" i="1"/>
  <c r="AA4" i="2" s="1"/>
  <c r="BV6" i="1"/>
  <c r="AB5" i="2" s="1"/>
  <c r="BU6" i="1"/>
  <c r="AA5" i="2" s="1"/>
  <c r="BV159" i="1"/>
  <c r="AB159" i="2" s="1"/>
  <c r="BU159" i="1"/>
  <c r="AA159" i="2" s="1"/>
  <c r="AB3" i="2" l="1"/>
  <c r="AA3" i="2"/>
  <c r="S48" i="1"/>
  <c r="O47" i="2" s="1"/>
  <c r="R56" i="1" l="1"/>
  <c r="N55" i="2" s="1"/>
  <c r="R57" i="1"/>
  <c r="N56" i="2" s="1"/>
  <c r="AB57" i="1" l="1"/>
  <c r="AB56" i="1"/>
  <c r="AP56" i="1" l="1"/>
  <c r="S55" i="2" s="1"/>
  <c r="AQ56" i="1"/>
  <c r="T55" i="2" s="1"/>
  <c r="AP57" i="1"/>
  <c r="S56" i="2" s="1"/>
  <c r="AQ57" i="1"/>
  <c r="T56" i="2" s="1"/>
  <c r="BV56" i="1" l="1"/>
  <c r="AB55" i="2" s="1"/>
  <c r="BU56" i="1"/>
  <c r="AA55" i="2" s="1"/>
  <c r="BU57" i="1"/>
  <c r="AA56" i="2" s="1"/>
  <c r="BV57" i="1"/>
  <c r="AB56" i="2" s="1"/>
  <c r="Z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yadian@connect.hku.hk</author>
  </authors>
  <commentList>
    <comment ref="I53" authorId="0" shapeId="0" xr:uid="{46770003-A42B-4360-8FD6-0B584BAFAC00}">
      <text>
        <r>
          <rPr>
            <sz val="12"/>
            <color theme="1"/>
            <rFont val="Calibri"/>
            <family val="2"/>
            <scheme val="minor"/>
          </rPr>
          <t>yadian@connect.hku.hk:
email to ask if their age is conventional age.</t>
        </r>
      </text>
    </comment>
  </commentList>
</comments>
</file>

<file path=xl/sharedStrings.xml><?xml version="1.0" encoding="utf-8"?>
<sst xmlns="http://schemas.openxmlformats.org/spreadsheetml/2006/main" count="11873" uniqueCount="1046">
  <si>
    <t>Category</t>
  </si>
  <si>
    <t>#</t>
  </si>
  <si>
    <t>Column heading</t>
  </si>
  <si>
    <t>Data, interpretation, or comment</t>
  </si>
  <si>
    <t>Units</t>
  </si>
  <si>
    <t>A. Identifier/original citation</t>
  </si>
  <si>
    <t>Unique sample ID</t>
  </si>
  <si>
    <t>Data</t>
  </si>
  <si>
    <t>n/a</t>
  </si>
  <si>
    <t>Reference</t>
  </si>
  <si>
    <t xml:space="preserve">B. Fields related to geographic location </t>
  </si>
  <si>
    <t>Region code</t>
  </si>
  <si>
    <t>Interpretation</t>
  </si>
  <si>
    <t>Sub-region</t>
  </si>
  <si>
    <t>Latitude</t>
  </si>
  <si>
    <t>degrees</t>
  </si>
  <si>
    <t>Longitude</t>
  </si>
  <si>
    <t>C. Fields related to horizontal position of RSL</t>
  </si>
  <si>
    <t>Dating method</t>
  </si>
  <si>
    <t xml:space="preserve">Corrected age </t>
  </si>
  <si>
    <r>
      <rPr>
        <vertAlign val="superscript"/>
        <sz val="12"/>
        <color theme="1"/>
        <rFont val="Arial "/>
      </rPr>
      <t>14</t>
    </r>
    <r>
      <rPr>
        <sz val="12"/>
        <color theme="1"/>
        <rFont val="Arial "/>
      </rPr>
      <t>C a BP</t>
    </r>
  </si>
  <si>
    <t>Corrected age uncertainty</t>
  </si>
  <si>
    <r>
      <rPr>
        <vertAlign val="superscript"/>
        <sz val="12"/>
        <color theme="1"/>
        <rFont val="Arial "/>
      </rPr>
      <t>14</t>
    </r>
    <r>
      <rPr>
        <sz val="12"/>
        <color theme="1"/>
        <rFont val="Arial "/>
      </rPr>
      <t xml:space="preserve">C a </t>
    </r>
  </si>
  <si>
    <t>Age</t>
  </si>
  <si>
    <t>cal a BP</t>
  </si>
  <si>
    <t>Age 2σ Uncertainty +</t>
  </si>
  <si>
    <t>cal a</t>
  </si>
  <si>
    <t xml:space="preserve">Age 2σ Uncertainty - </t>
  </si>
  <si>
    <t>D.1 Fields related to stratigraphy from which the sample was obtained</t>
  </si>
  <si>
    <t>13a</t>
  </si>
  <si>
    <t>Dated facies</t>
  </si>
  <si>
    <t>13b</t>
  </si>
  <si>
    <t>Dated material</t>
  </si>
  <si>
    <t>Overburden facies (nearest layer)</t>
  </si>
  <si>
    <t>Underlying facies (nearest layer)</t>
  </si>
  <si>
    <t>Tendency</t>
  </si>
  <si>
    <t>Sample depth/Overburden thickness</t>
  </si>
  <si>
    <t>m</t>
  </si>
  <si>
    <t>Depth to consolidated substrate</t>
  </si>
  <si>
    <t>Intercalated</t>
  </si>
  <si>
    <t>yes/no</t>
  </si>
  <si>
    <t>D.2 Fields related to uncertainties in determining the depth of a sample in a core or section</t>
  </si>
  <si>
    <t>Sampling method</t>
  </si>
  <si>
    <t xml:space="preserve">Sample thickness </t>
  </si>
  <si>
    <t>Sample thickness type</t>
  </si>
  <si>
    <t>Comment</t>
  </si>
  <si>
    <t>Corrected sample thickness</t>
  </si>
  <si>
    <t>Sample thickness uncertainty</t>
  </si>
  <si>
    <t>Sampling uncertainty</t>
  </si>
  <si>
    <t>Core shortening/stretching uncertainty</t>
  </si>
  <si>
    <t>Non-vertical drilling uncertainty</t>
  </si>
  <si>
    <t xml:space="preserve">D.3 Fields related to uncertainties in determining the absolute elevation of a core or section </t>
  </si>
  <si>
    <t>Tidal uncertainty</t>
  </si>
  <si>
    <t xml:space="preserve">Water depth uncertainty </t>
  </si>
  <si>
    <t>Leveling uncertainty</t>
  </si>
  <si>
    <t>(d)GPS or RTK uncertainty</t>
  </si>
  <si>
    <t>Benchmark uncertainty</t>
  </si>
  <si>
    <t>Vegetation zone uncertainty</t>
  </si>
  <si>
    <t>Map uncertainty</t>
  </si>
  <si>
    <t>DEM uncertainty</t>
  </si>
  <si>
    <t>Orthometric sample elevation</t>
  </si>
  <si>
    <t xml:space="preserve">Orthometric datum or MSL epoch </t>
  </si>
  <si>
    <t>38a</t>
  </si>
  <si>
    <t>Sample elevation</t>
  </si>
  <si>
    <t>38b</t>
  </si>
  <si>
    <t>Elevation datum</t>
  </si>
  <si>
    <t>Sample elevation type</t>
  </si>
  <si>
    <t>Sample elevation uncertainty +</t>
  </si>
  <si>
    <t>Sample elevation uncertainty -</t>
  </si>
  <si>
    <t>D.4 Tidal datums</t>
  </si>
  <si>
    <t xml:space="preserve">MLWS </t>
  </si>
  <si>
    <t xml:space="preserve">m </t>
  </si>
  <si>
    <t>MLWN</t>
  </si>
  <si>
    <t>MLLW</t>
  </si>
  <si>
    <t>MLW</t>
  </si>
  <si>
    <t>MTL</t>
  </si>
  <si>
    <t>MHW</t>
  </si>
  <si>
    <t>MHHW</t>
  </si>
  <si>
    <t>MHWN</t>
  </si>
  <si>
    <t>MHWS</t>
  </si>
  <si>
    <t>HAT</t>
  </si>
  <si>
    <t>D.5 Fields related to uncertainties associate with the sample's indicative meaning</t>
  </si>
  <si>
    <t>Type</t>
  </si>
  <si>
    <t>Primary indicator type</t>
  </si>
  <si>
    <t>Secondary indicator type</t>
  </si>
  <si>
    <t>Supporting evidence</t>
  </si>
  <si>
    <t xml:space="preserve">Sample indicative meaning </t>
  </si>
  <si>
    <t>Reference water level</t>
  </si>
  <si>
    <t xml:space="preserve">Indicative range uncertainty </t>
  </si>
  <si>
    <t>RWL modeling uncertainty</t>
  </si>
  <si>
    <t>IR modeling uncertainty</t>
  </si>
  <si>
    <t>Paleotide-corrected RWL (if any)</t>
  </si>
  <si>
    <t>Paleotide-corrected indicative range (if any)</t>
  </si>
  <si>
    <t>Paleo indicative range change uncertainty (if any)</t>
  </si>
  <si>
    <t>D.6 Fields used to account for effects of sediment compaction and tectonics on sample elevation</t>
  </si>
  <si>
    <t>Compaction correction (if any)</t>
  </si>
  <si>
    <t>Compaction correction uncertainty (if any)</t>
  </si>
  <si>
    <t>Tectonic correction (if any)</t>
  </si>
  <si>
    <t>m/ka</t>
  </si>
  <si>
    <t>Tectonic correction uncertainty (if any)</t>
  </si>
  <si>
    <t>D.7 Fields use to calculate the past position and uncertainty of RSL from each sample</t>
  </si>
  <si>
    <t>RSL 2σ Uncertainty +</t>
  </si>
  <si>
    <t xml:space="preserve">RSL 2σ Uncertainty - </t>
  </si>
  <si>
    <t>Corrected RSL (if any)</t>
  </si>
  <si>
    <t>Corrected RSL uncertainty + (if any)</t>
  </si>
  <si>
    <t>Corrected RSL uncertainty - (if any)</t>
  </si>
  <si>
    <t>Correction type (if any)</t>
  </si>
  <si>
    <t xml:space="preserve">E. Additional notes </t>
  </si>
  <si>
    <t>Reject</t>
  </si>
  <si>
    <t>Why rejected?</t>
  </si>
  <si>
    <t>Notes</t>
  </si>
  <si>
    <r>
      <t>Corrected age       (</t>
    </r>
    <r>
      <rPr>
        <b/>
        <vertAlign val="superscript"/>
        <sz val="12"/>
        <color theme="1"/>
        <rFont val="Arial"/>
        <family val="2"/>
      </rPr>
      <t>14</t>
    </r>
    <r>
      <rPr>
        <b/>
        <sz val="12"/>
        <color theme="1"/>
        <rFont val="Arial"/>
        <family val="2"/>
      </rPr>
      <t>C a BP)</t>
    </r>
  </si>
  <si>
    <r>
      <t>Corrected age uncertainty (</t>
    </r>
    <r>
      <rPr>
        <b/>
        <vertAlign val="superscript"/>
        <sz val="12"/>
        <color theme="1"/>
        <rFont val="Arial"/>
        <family val="2"/>
      </rPr>
      <t>14</t>
    </r>
    <r>
      <rPr>
        <b/>
        <sz val="12"/>
        <color theme="1"/>
        <rFont val="Arial"/>
        <family val="2"/>
      </rPr>
      <t>C a)</t>
    </r>
  </si>
  <si>
    <t>Age                   (cal a BP)</t>
  </si>
  <si>
    <t>Age 2σ Uncertainty +              (cal a)</t>
  </si>
  <si>
    <t>Age 2σ Uncertainty  -                (cal a)</t>
  </si>
  <si>
    <t>Tendency (Howard check)</t>
  </si>
  <si>
    <t>Sample depth/ Overburden thickness (m)</t>
  </si>
  <si>
    <t>Depth to consolidated substrate (m)</t>
  </si>
  <si>
    <t>Sample thickness (m)</t>
  </si>
  <si>
    <t>Corrected sample thickness (m)</t>
  </si>
  <si>
    <t>Sample thickness uncertainty       (m)</t>
  </si>
  <si>
    <t xml:space="preserve">Sampling uncertainty     (m) </t>
  </si>
  <si>
    <t xml:space="preserve">Core shortening/stretching uncertainty      (m) </t>
  </si>
  <si>
    <t xml:space="preserve">Non-vertical drilling uncertainty      (m) </t>
  </si>
  <si>
    <t>Tidal uncertainty (m)</t>
  </si>
  <si>
    <t>Water depth uncertainty           (m)</t>
  </si>
  <si>
    <t>Leveling uncertainty (m)</t>
  </si>
  <si>
    <t>(d)GPS or RTK uncertainty (m)</t>
  </si>
  <si>
    <t>Vegetation zone uncertainty (m)</t>
  </si>
  <si>
    <t>Map uncertainty (m)</t>
  </si>
  <si>
    <t>DEM uncertainty (m)</t>
  </si>
  <si>
    <t>Orthometric sample elevation (m)</t>
  </si>
  <si>
    <t>Sample elevation (m)</t>
  </si>
  <si>
    <t>Elevation datum (m)</t>
  </si>
  <si>
    <t>Sample elevation uncertainty + (m)</t>
  </si>
  <si>
    <t>Sample elevation uncertainty - (m)</t>
  </si>
  <si>
    <t>LAT (m)</t>
  </si>
  <si>
    <t>MLWS
(m)</t>
  </si>
  <si>
    <t>MLWN (m)</t>
  </si>
  <si>
    <t>MLLW (m)</t>
  </si>
  <si>
    <t>MLW (m)</t>
  </si>
  <si>
    <t>MTL (m)</t>
  </si>
  <si>
    <t>MHW (m)</t>
  </si>
  <si>
    <t>MHHW (m)</t>
  </si>
  <si>
    <t>MHWN (m)</t>
  </si>
  <si>
    <t>MHWS (m)</t>
  </si>
  <si>
    <t>HAT (m)</t>
  </si>
  <si>
    <t>Sample indicative meaning  (HOWARD)</t>
  </si>
  <si>
    <t>Reference water level   (m)</t>
  </si>
  <si>
    <t>Indicative range uncertainty  (m)</t>
  </si>
  <si>
    <t>RWL  modeling uncertainty (m)</t>
  </si>
  <si>
    <t>IR modeling uncertainty (m)</t>
  </si>
  <si>
    <t>Paleotide-corrected RWL         (m)           (if any)</t>
  </si>
  <si>
    <t>Paleotide-corrected indicative range          (m)           (if any)</t>
  </si>
  <si>
    <t>Paleo indicative range change uncertainty          (m)         (if any)</t>
  </si>
  <si>
    <t>Compaction correction uncertainty           (if any)</t>
  </si>
  <si>
    <t>Tectonic correction (m/ka)     (if any)</t>
  </si>
  <si>
    <t>Tectonic correction uncertainty (m/ka)         (if any)</t>
  </si>
  <si>
    <t>RSL (m)</t>
  </si>
  <si>
    <t>RSL 2σ Uncertainty + (m)</t>
  </si>
  <si>
    <t>RSL 2σ Uncertainty - (m)</t>
  </si>
  <si>
    <t>Corrected RSL       (m)           (if any)</t>
  </si>
  <si>
    <t>Corrected RSL uncertainty + (m)                 (if any)</t>
  </si>
  <si>
    <t>Corrected RSL uncertainty - (m)              (if any)</t>
  </si>
  <si>
    <t>Correction type            (if any)</t>
  </si>
  <si>
    <t>CS-619</t>
  </si>
  <si>
    <t>Hong Kong</t>
  </si>
  <si>
    <t>1 = Radiocarbon</t>
  </si>
  <si>
    <t>shelly silty dark blue grey to greenish grey clay</t>
  </si>
  <si>
    <t>shell</t>
  </si>
  <si>
    <t>light blue grey silty clay with yellow ochre streaks and mottles, interbedded sand layers, scatter black plant fragments</t>
  </si>
  <si>
    <t>transgressive</t>
  </si>
  <si>
    <t>drill core</t>
  </si>
  <si>
    <t>estimated</t>
  </si>
  <si>
    <t>nd</t>
  </si>
  <si>
    <t>YSD</t>
  </si>
  <si>
    <t>midpoint</t>
  </si>
  <si>
    <t>5 = Sedimentary (e.g., deltaic, estuarine, wetland, lacustrine, marine facies)</t>
  </si>
  <si>
    <t xml:space="preserve">sediment  texture, pollen, ostracod and foraminifera assemblage </t>
  </si>
  <si>
    <t>I-8269</t>
  </si>
  <si>
    <t>Meacham 1975</t>
  </si>
  <si>
    <t>clayey silty sand with fine gravels</t>
  </si>
  <si>
    <t>tree log</t>
  </si>
  <si>
    <t>silty sand with gravel and shell</t>
  </si>
  <si>
    <t>dicomposed grainite</t>
  </si>
  <si>
    <t>sediment color, texture and grain size</t>
  </si>
  <si>
    <t>I-8830</t>
  </si>
  <si>
    <t>Bard 1975</t>
  </si>
  <si>
    <t>muddy deposit with clay and boulders</t>
  </si>
  <si>
    <t>clay with concretion</t>
  </si>
  <si>
    <t>dicomposed volcanic rock</t>
  </si>
  <si>
    <t>excavation</t>
  </si>
  <si>
    <t>3 = Fixed biological indicators</t>
  </si>
  <si>
    <t xml:space="preserve">3 = Optically stimulated luminescence </t>
  </si>
  <si>
    <t>GIF-5243</t>
  </si>
  <si>
    <t>Meacham1982</t>
  </si>
  <si>
    <t>silty clayey sand with organic matter</t>
  </si>
  <si>
    <t>marine mud</t>
  </si>
  <si>
    <t>4 = Archeological</t>
  </si>
  <si>
    <t>CS-621</t>
  </si>
  <si>
    <t>firm dark grey silt to gravel with organic band</t>
  </si>
  <si>
    <t>soft grey silty clay with shells</t>
  </si>
  <si>
    <t>stiff greyish to yellowish and yellowish clay to gravels with plant and feldspar fragment</t>
  </si>
  <si>
    <t>KWG-406</t>
  </si>
  <si>
    <t>Howat 1985</t>
  </si>
  <si>
    <t>soils with cobbles and boulders in turbulent and near-linear flow pattern, and vortex cylinder structure, also with shell at the bottom</t>
  </si>
  <si>
    <t>grey silty sand rich in shell debris</t>
  </si>
  <si>
    <t xml:space="preserve">residual  soil and granite saprolite </t>
  </si>
  <si>
    <t>6 = Beach rock</t>
  </si>
  <si>
    <t>KWG-407</t>
  </si>
  <si>
    <t>Owen95A</t>
  </si>
  <si>
    <t>Owen 1995</t>
  </si>
  <si>
    <t>olive grey silt with scattered  fine sand laminae, and abundant diatom and carbonate content</t>
  </si>
  <si>
    <t xml:space="preserve">coarse olive grey sand and subangular gravel, low in organic matter comparing to succeeding marine mud </t>
  </si>
  <si>
    <t>&gt;76.6</t>
  </si>
  <si>
    <t>sediment color, texture, grain size, diatom</t>
  </si>
  <si>
    <t>Owen95B</t>
  </si>
  <si>
    <t>upward coarsening olive grey silt</t>
  </si>
  <si>
    <t>&gt;73.8</t>
  </si>
  <si>
    <t>sediment color, texture, grain size (with subangular gravels), diatom and shell fragments</t>
  </si>
  <si>
    <t>Owen98A</t>
  </si>
  <si>
    <t>Owen et al 1998</t>
  </si>
  <si>
    <t>homogeneous diatomaceous mud</t>
  </si>
  <si>
    <t>shelly sand</t>
  </si>
  <si>
    <t>&gt;75</t>
  </si>
  <si>
    <t>sediment texture and diatom assemblage</t>
  </si>
  <si>
    <t>OxA-5428</t>
  </si>
  <si>
    <t>Fyfe et al 1999</t>
  </si>
  <si>
    <t xml:space="preserve">clayey silt with fine sand in thin lenses </t>
  </si>
  <si>
    <t>sand</t>
  </si>
  <si>
    <t>&gt;68.5</t>
  </si>
  <si>
    <t>sediment texture, grain size, diatom and foraminifera assemblage</t>
  </si>
  <si>
    <t>OxA-5429</t>
  </si>
  <si>
    <t xml:space="preserve">sand </t>
  </si>
  <si>
    <t>&gt;64</t>
  </si>
  <si>
    <t>OxA-5430</t>
  </si>
  <si>
    <t>sandy mud in lenses, laminae and bands</t>
  </si>
  <si>
    <t>&gt;63</t>
  </si>
  <si>
    <t>OxA-5406</t>
  </si>
  <si>
    <t>grey soft clayey silt with shell fragments</t>
  </si>
  <si>
    <t>shelly gravel with clayey silt matrix</t>
  </si>
  <si>
    <t>&gt;60</t>
  </si>
  <si>
    <t>OxA-5407</t>
  </si>
  <si>
    <t>&gt;57.2</t>
  </si>
  <si>
    <t>OxA-5408</t>
  </si>
  <si>
    <t>&gt;55.7</t>
  </si>
  <si>
    <t>OxA-5409</t>
  </si>
  <si>
    <t>Shell gravel with clayey silt matrix</t>
  </si>
  <si>
    <t>grey soft clayey silt with fine sand laminae and shell fragments</t>
  </si>
  <si>
    <t>&gt;52.7</t>
  </si>
  <si>
    <t>OxA-5410</t>
  </si>
  <si>
    <t>&gt;48.7</t>
  </si>
  <si>
    <t>OxA-5400</t>
  </si>
  <si>
    <t>shelly sand with clay laminae and pockets</t>
  </si>
  <si>
    <t>&gt;53.2</t>
  </si>
  <si>
    <t>OxA-5401</t>
  </si>
  <si>
    <t>&gt;51.7</t>
  </si>
  <si>
    <t>OxA-5402</t>
  </si>
  <si>
    <t>&gt;48.2</t>
  </si>
  <si>
    <t>GF9379</t>
  </si>
  <si>
    <t>Lai and Shaw 1996</t>
  </si>
  <si>
    <t>Mud with peat material </t>
  </si>
  <si>
    <t>sediment color, texture</t>
  </si>
  <si>
    <t>GF9380</t>
  </si>
  <si>
    <t>SI86-121</t>
  </si>
  <si>
    <t>Langford 1989</t>
  </si>
  <si>
    <t>GF926</t>
  </si>
  <si>
    <t>wood</t>
  </si>
  <si>
    <t>SI86-109</t>
  </si>
  <si>
    <t>SI86-122</t>
  </si>
  <si>
    <t>GF931</t>
  </si>
  <si>
    <t>GF927</t>
  </si>
  <si>
    <t>SI86-124</t>
  </si>
  <si>
    <t>rootlet</t>
  </si>
  <si>
    <t>Si86-123</t>
  </si>
  <si>
    <t>GF928</t>
  </si>
  <si>
    <t>GF932</t>
  </si>
  <si>
    <t>Beta-145816</t>
  </si>
  <si>
    <t>Davis et al 2000</t>
  </si>
  <si>
    <t>relic oyster band</t>
  </si>
  <si>
    <t>outcrop</t>
  </si>
  <si>
    <t>intertidal rocky shore</t>
  </si>
  <si>
    <t>Saccostrea cucullata fossil</t>
  </si>
  <si>
    <t>HAR-3586</t>
  </si>
  <si>
    <t>Meacham 1980</t>
  </si>
  <si>
    <t>grey clay with shell, wood and plant fragments</t>
  </si>
  <si>
    <t>brown clay with sand, rootlets and wood fragments</t>
  </si>
  <si>
    <t>shelly grey clay with coarse sand</t>
  </si>
  <si>
    <t>sediment texture, leave fragments, mollusc fossil</t>
  </si>
  <si>
    <t>I-10059</t>
  </si>
  <si>
    <t>Meacham 1978</t>
  </si>
  <si>
    <t>sediment texture, mollusc fossil</t>
  </si>
  <si>
    <t>KWG-286</t>
  </si>
  <si>
    <t>Yim 1984</t>
  </si>
  <si>
    <t xml:space="preserve">yellowish-grey medium to fine sand with shell fragments </t>
  </si>
  <si>
    <t>disturbed soil with gravels, cobbles, boulder and shells</t>
  </si>
  <si>
    <t>fine sand with cobbles</t>
  </si>
  <si>
    <t>GIF-4387</t>
  </si>
  <si>
    <t>Meacham 1979a</t>
  </si>
  <si>
    <t>mud</t>
  </si>
  <si>
    <t>sediment texture</t>
  </si>
  <si>
    <t>GIF-4558</t>
  </si>
  <si>
    <t>HAR-868</t>
  </si>
  <si>
    <t>Kendall 1976</t>
  </si>
  <si>
    <t>clay with lense of sand and silt</t>
  </si>
  <si>
    <t>blue grey marine clay</t>
  </si>
  <si>
    <t>sandy gravel</t>
  </si>
  <si>
    <t>HAR-869</t>
  </si>
  <si>
    <t>HAR-870</t>
  </si>
  <si>
    <t>HAR-871</t>
  </si>
  <si>
    <t>GIF-4813</t>
  </si>
  <si>
    <t>grey marine mud</t>
  </si>
  <si>
    <t>Beta-429255</t>
  </si>
  <si>
    <t>Xiong et al 2018</t>
  </si>
  <si>
    <t>dark grey clayey silt with shell fragments and thin lenses of fine sand</t>
  </si>
  <si>
    <t>dark grey clayey silt interbedded with sand and small gravel</t>
  </si>
  <si>
    <t>Beta-429256</t>
  </si>
  <si>
    <t>reddish weathered bedrock</t>
  </si>
  <si>
    <t>Beta-429248</t>
  </si>
  <si>
    <t>dark grey mud interbedded between sandy clayey silt and silty fine sand, with a little mottle, occasional shell and plant fragments and abundance of charcoal</t>
  </si>
  <si>
    <t>grennish grey mud with shell fragments</t>
  </si>
  <si>
    <t>greyish brown mottled sandy clayey silt overlying brownish, gravelly fine sand to course sand</t>
  </si>
  <si>
    <t>Beta-429249</t>
  </si>
  <si>
    <t>Beta-429245</t>
  </si>
  <si>
    <t xml:space="preserve">grey interbedded sandy silt and silty sand with multiple thin layers of peaty material </t>
  </si>
  <si>
    <t>grey interbedded clayey silt and sandy silt</t>
  </si>
  <si>
    <t>hard reddish silt and clay</t>
  </si>
  <si>
    <t>Beta-429246</t>
  </si>
  <si>
    <t>Beta-429247</t>
  </si>
  <si>
    <t>Beta-341292</t>
  </si>
  <si>
    <t>Sun et al 2021</t>
  </si>
  <si>
    <t xml:space="preserve"> soft dark grey clayey silt with organic matter</t>
  </si>
  <si>
    <t>soft dark brown clayey silt with high level of organic matter</t>
  </si>
  <si>
    <t>firm light grey silt and fine sand with shells</t>
  </si>
  <si>
    <t>russian core</t>
  </si>
  <si>
    <t>stable carbon isotope</t>
  </si>
  <si>
    <t>Beta-323533</t>
  </si>
  <si>
    <t xml:space="preserve">22.494	</t>
  </si>
  <si>
    <t>Shell</t>
  </si>
  <si>
    <t>Beta-341291</t>
  </si>
  <si>
    <t>soft, dark brown clayey silt with high level of organic matter</t>
  </si>
  <si>
    <t>Beta-323532</t>
  </si>
  <si>
    <t>Beta-201319</t>
  </si>
  <si>
    <t>dark grey clay with organic matter</t>
  </si>
  <si>
    <t>greenish to blackish grey clay with rich organic matter and large pieces of Glypstostrobus sp.</t>
  </si>
  <si>
    <t xml:space="preserve">grey clay with shell fragments and plant roots </t>
  </si>
  <si>
    <t>Beta-291320</t>
  </si>
  <si>
    <t>brownish grey to blackish grey clayey silt with thin layers of peaty material</t>
  </si>
  <si>
    <t>Beta-290247</t>
  </si>
  <si>
    <t>Beta-289665</t>
  </si>
  <si>
    <t>GZ3942</t>
  </si>
  <si>
    <t>GZ3943</t>
  </si>
  <si>
    <t>GZ3944</t>
  </si>
  <si>
    <t>Beta-456811</t>
  </si>
  <si>
    <t>dark grey clayey silt with plant roots an increased level of organic matter</t>
  </si>
  <si>
    <t>greyish white clayey silt with a thin layer of peaty material</t>
  </si>
  <si>
    <t>Beta-456814</t>
  </si>
  <si>
    <t>greyish white clayey silt</t>
  </si>
  <si>
    <t>Beta-456815</t>
  </si>
  <si>
    <t>Beta-456816</t>
  </si>
  <si>
    <t xml:space="preserve"> yellowish to reddish grey sand and gravel</t>
  </si>
  <si>
    <t>KWG-176</t>
  </si>
  <si>
    <t>Silty clay with brackish to  marine diatoms including Actinocyclus sp., Cyclotella sp.</t>
  </si>
  <si>
    <t>clayey sand</t>
  </si>
  <si>
    <t>hand core</t>
  </si>
  <si>
    <t>subtidal mud</t>
  </si>
  <si>
    <t>KWG-227</t>
  </si>
  <si>
    <t>beach sediment</t>
  </si>
  <si>
    <t>field observation</t>
  </si>
  <si>
    <t>KWG-172</t>
  </si>
  <si>
    <t>KWG-175</t>
  </si>
  <si>
    <t>KWG-179</t>
  </si>
  <si>
    <t>Clayey silt with marine diatoms including Actinocyclus sp.</t>
  </si>
  <si>
    <t>silty clay</t>
  </si>
  <si>
    <t>KWG-237</t>
  </si>
  <si>
    <t>medium sand</t>
  </si>
  <si>
    <t>regressive</t>
  </si>
  <si>
    <t>KWG693</t>
  </si>
  <si>
    <t>Dark grey peaty mud with brackish diatom assemblage including mostly Cyclotella stylorum and Cyclotella striata.</t>
  </si>
  <si>
    <t>greyish brown sandy mud with brackish diatom assemblage</t>
  </si>
  <si>
    <t>shelly peaty dark grey mud with marine and brackish diatom assemblage</t>
  </si>
  <si>
    <t>KWG-48</t>
  </si>
  <si>
    <t>Clayey silt with pollen of Chenodiaceae</t>
  </si>
  <si>
    <t>intercalated silt and clayey silt with pollen of Chenodiaceae</t>
  </si>
  <si>
    <t>sediment texture and pollen assemblage</t>
  </si>
  <si>
    <t>KWG-222</t>
  </si>
  <si>
    <t>Dark grey muddy silt with small amount of peat and shells of river calm</t>
  </si>
  <si>
    <t>fill</t>
  </si>
  <si>
    <t>dark grey sandy silt with oyster</t>
  </si>
  <si>
    <t>KWG-13</t>
  </si>
  <si>
    <t>Dark grey silty mud</t>
  </si>
  <si>
    <t>yellow grey silty clay</t>
  </si>
  <si>
    <t>grey muddy silt</t>
  </si>
  <si>
    <t>KWG-62</t>
  </si>
  <si>
    <t>Shelly silty mud with oyster shells and bivalve including, Arca granosa, Arca subcrenata</t>
  </si>
  <si>
    <t>shelly mud</t>
  </si>
  <si>
    <t>KWG-43</t>
  </si>
  <si>
    <t xml:space="preserve">silty sand </t>
  </si>
  <si>
    <t>silty mud</t>
  </si>
  <si>
    <t>KWG-170</t>
  </si>
  <si>
    <t>KWG-109</t>
  </si>
  <si>
    <t>Li et al 1991</t>
  </si>
  <si>
    <t>mud with oyster shell</t>
  </si>
  <si>
    <t>KWG-178</t>
  </si>
  <si>
    <t xml:space="preserve">Clayey silt </t>
  </si>
  <si>
    <t>coarse silt with abundant marine diatom species including Cuclostella striata</t>
  </si>
  <si>
    <t>Huang8301</t>
  </si>
  <si>
    <t xml:space="preserve">Laminated grey white loose sand dipping towards the sea </t>
  </si>
  <si>
    <t>sedimentary structure and grain size</t>
  </si>
  <si>
    <t>KWG-15</t>
  </si>
  <si>
    <t>KWG-104</t>
  </si>
  <si>
    <t xml:space="preserve">Shelly mud with oyster shells </t>
  </si>
  <si>
    <t>filled material</t>
  </si>
  <si>
    <t>tidalflat mud</t>
  </si>
  <si>
    <t>KWG-31</t>
  </si>
  <si>
    <t>Grey muddy silt with little pollen of Chenodiaceae</t>
  </si>
  <si>
    <t>yellow brown clayey silt</t>
  </si>
  <si>
    <t>KWG-690</t>
  </si>
  <si>
    <t>Peaty shelly mud with oyster shell &gt;50% marine diatoms e.g. Cosinodiscus divisus</t>
  </si>
  <si>
    <t>mud with peat material</t>
  </si>
  <si>
    <t xml:space="preserve">peaty shelly mud </t>
  </si>
  <si>
    <t>KWG-85</t>
  </si>
  <si>
    <t>tidalflat sediment</t>
  </si>
  <si>
    <t>KWG-223</t>
  </si>
  <si>
    <t>grey shelly mud</t>
  </si>
  <si>
    <t>yellowish grey silt</t>
  </si>
  <si>
    <t>dark grey muddy silt</t>
  </si>
  <si>
    <t>KWG-100</t>
  </si>
  <si>
    <t xml:space="preserve">Silty clay with marine and brackish diatom </t>
  </si>
  <si>
    <t>GC-482</t>
  </si>
  <si>
    <t>dark grey clayey silt with oyster species including Ostrea rivularis, Ostrea plicatula, Ostrea Gigas, Ostrea Talienwhanensis</t>
  </si>
  <si>
    <t>yellow grey sandy clay</t>
  </si>
  <si>
    <t>oyster layer</t>
  </si>
  <si>
    <t>rgressive</t>
  </si>
  <si>
    <t>KWG-177</t>
  </si>
  <si>
    <t xml:space="preserve"> Silty clay with brackish to  marine diatoms including Actinocyclus sp., Cyclotella sp.</t>
  </si>
  <si>
    <t xml:space="preserve">clayey silt with fine sand </t>
  </si>
  <si>
    <t>Shelly sand with marine bivalve</t>
  </si>
  <si>
    <t>grey silty sand</t>
  </si>
  <si>
    <t>dark grey fine sand with granule</t>
  </si>
  <si>
    <t>KWG-167</t>
  </si>
  <si>
    <t xml:space="preserve"> fine silty clay with brackish–marine diatom species including Cyclostella striata</t>
  </si>
  <si>
    <t>clay with brackish–marine diatom species including Cyclostella striata</t>
  </si>
  <si>
    <t xml:space="preserve">sandy clay with mostly brackish diatoms </t>
  </si>
  <si>
    <t>KWG-88</t>
  </si>
  <si>
    <t>KWG-252</t>
  </si>
  <si>
    <t xml:space="preserve">Grey shelly sandy silt with oyster shell </t>
  </si>
  <si>
    <t>dark grey muddy silt with shell fragments</t>
  </si>
  <si>
    <t>yellowish gravelly sand</t>
  </si>
  <si>
    <t>KWG-241</t>
  </si>
  <si>
    <t>Dark grey gravelly sandy silt with small amount of peat</t>
  </si>
  <si>
    <t>dark grey gravelly silty sand with shell fragment</t>
  </si>
  <si>
    <t>grey gravels</t>
  </si>
  <si>
    <t>KWG-29</t>
  </si>
  <si>
    <t>Brackish bivalve (Corbiculidae sp., Corbicala sp., Mactridae sp.) attached on tidal notch within a sea cave</t>
  </si>
  <si>
    <t>na</t>
  </si>
  <si>
    <t>KWG-99</t>
  </si>
  <si>
    <t>KWG-87</t>
  </si>
  <si>
    <t>GC-483</t>
  </si>
  <si>
    <t>Oyster shell layer including species of Ostrea rivularis, Ostrea plicatula, Ostrea Gigas, Ostrea Talienwhanensis</t>
  </si>
  <si>
    <t>Dark grey clayey silt with oyster shells including species of Ostrea rivularis, Ostrea plicatula, Ostrea Gigas, Ostrea Talienwhanensis</t>
  </si>
  <si>
    <t>KWG-46</t>
  </si>
  <si>
    <t>Dark grey muddy medium to fine sand</t>
  </si>
  <si>
    <t>Dark grey muddy silty fine sand</t>
  </si>
  <si>
    <t>grey sandy gravel</t>
  </si>
  <si>
    <t>KWG-86</t>
  </si>
  <si>
    <t xml:space="preserve">oyster layer </t>
  </si>
  <si>
    <t>GC-480</t>
  </si>
  <si>
    <t>grey gravelly sand</t>
  </si>
  <si>
    <t>KWG-155</t>
  </si>
  <si>
    <t xml:space="preserve">shelly mud with oyster shells </t>
  </si>
  <si>
    <t>grey silty fine sand</t>
  </si>
  <si>
    <t>dark grey muddy silt with oyster shell</t>
  </si>
  <si>
    <t xml:space="preserve">brownish yellow silty clay </t>
  </si>
  <si>
    <t>Yellowish red silty clay</t>
  </si>
  <si>
    <t>Huang8304</t>
  </si>
  <si>
    <t>GC-477</t>
  </si>
  <si>
    <t xml:space="preserve">Dark grey clayey clay with oyster shell </t>
  </si>
  <si>
    <t>dark grey silty clay with plant material</t>
  </si>
  <si>
    <t>KWG-173</t>
  </si>
  <si>
    <t>Coarse sandy silt with quartz</t>
  </si>
  <si>
    <t>KWG-8</t>
  </si>
  <si>
    <t>Dark grey muddy silt with peat</t>
  </si>
  <si>
    <t>dark grey silty mud</t>
  </si>
  <si>
    <t>reddish yellow clayey silt</t>
  </si>
  <si>
    <t>KWG-42</t>
  </si>
  <si>
    <t>greyish yellow clayey silt</t>
  </si>
  <si>
    <t>KWG-219</t>
  </si>
  <si>
    <t>Dark grey muddy sand</t>
  </si>
  <si>
    <t>greyish yellow sandy gravel</t>
  </si>
  <si>
    <t xml:space="preserve">grey sand </t>
  </si>
  <si>
    <t>KWG-57</t>
  </si>
  <si>
    <t>Dark grey peaty shelly  muddy silty with marine shell species</t>
  </si>
  <si>
    <t>fill material</t>
  </si>
  <si>
    <t xml:space="preserve">yellowish silty clay with pyrite </t>
  </si>
  <si>
    <t>KWG-98</t>
  </si>
  <si>
    <t>KWG-186</t>
  </si>
  <si>
    <t>Grey silt with peat materia</t>
  </si>
  <si>
    <t>grey sand</t>
  </si>
  <si>
    <t>bed rock</t>
  </si>
  <si>
    <t>KWG-890</t>
  </si>
  <si>
    <t>RH-?</t>
  </si>
  <si>
    <t>subtidal mud with peat material</t>
  </si>
  <si>
    <t>terrestrial sediment</t>
  </si>
  <si>
    <t>KWG-901</t>
  </si>
  <si>
    <t>Silty clay with freshwater calm, brackish water diatoms</t>
  </si>
  <si>
    <t>fine sand</t>
  </si>
  <si>
    <t>Dark grey shelly peaty mud with oyster shell</t>
  </si>
  <si>
    <t>greyish yellow mud</t>
  </si>
  <si>
    <t>muddy silt</t>
  </si>
  <si>
    <t>KWG-123</t>
  </si>
  <si>
    <t>Shell mound archaeology site</t>
  </si>
  <si>
    <t>Sediment texture, grain size, microfossil, geochemistry</t>
  </si>
  <si>
    <t>KWG-693</t>
  </si>
  <si>
    <t>Freshwater swamp</t>
  </si>
  <si>
    <t>freshwater peat</t>
  </si>
  <si>
    <t>Saltmarsh peat</t>
  </si>
  <si>
    <t>Subtidal deposit</t>
  </si>
  <si>
    <t>KWG-160</t>
  </si>
  <si>
    <t>mud with &gt;70% fresh water diatom and less marine brackish diatoms</t>
  </si>
  <si>
    <t>KWG-211</t>
  </si>
  <si>
    <t>Fu et al. 2020</t>
  </si>
  <si>
    <t>dark grey clayey silt with intensive bioturbations</t>
  </si>
  <si>
    <t>Plant  material</t>
  </si>
  <si>
    <t>greyish white sandy silt with scattered rootlets and plant fragments. </t>
  </si>
  <si>
    <t>bedrock</t>
  </si>
  <si>
    <t>Organic matter, roots, plant fragments</t>
  </si>
  <si>
    <t>Plant  fragment</t>
  </si>
  <si>
    <t>alternated beds of sand and mud with several peaty layers</t>
  </si>
  <si>
    <t> dark grey un-weathered clayey silt with some plant fragments</t>
  </si>
  <si>
    <t>Charcoal</t>
  </si>
  <si>
    <t>mottled red weathered clay</t>
  </si>
  <si>
    <t>ZK-543</t>
  </si>
  <si>
    <t>Xiong et al. 2020</t>
  </si>
  <si>
    <t>shell mound</t>
  </si>
  <si>
    <t>ZK-544</t>
  </si>
  <si>
    <t>ZK-547</t>
  </si>
  <si>
    <t>ZK-548</t>
  </si>
  <si>
    <t>ZK-526b</t>
  </si>
  <si>
    <t>ZK-527</t>
  </si>
  <si>
    <t>ZK-528</t>
  </si>
  <si>
    <t>ZK-526a</t>
  </si>
  <si>
    <t>ZK-103</t>
  </si>
  <si>
    <t>Beta628986</t>
  </si>
  <si>
    <t>Lin et al. 2023</t>
  </si>
  <si>
    <t>Beta628987</t>
  </si>
  <si>
    <t>Beta628988</t>
  </si>
  <si>
    <t>Beta628989</t>
  </si>
  <si>
    <t>GZ773</t>
  </si>
  <si>
    <t>Dark brownish grey organic matter with large amount of roots and plant fragments of Glyptostrobus pensilis.</t>
  </si>
  <si>
    <t>Dark grey silt and clay, becoming lighter grey upwards</t>
  </si>
  <si>
    <t>Grey to light grey clay</t>
  </si>
  <si>
    <t>GZ774</t>
  </si>
  <si>
    <t>GZ775</t>
  </si>
  <si>
    <t>GZ777</t>
  </si>
  <si>
    <t>GZ779</t>
  </si>
  <si>
    <t>GZ781</t>
  </si>
  <si>
    <t>GZ783</t>
  </si>
  <si>
    <t>GZ785</t>
  </si>
  <si>
    <t>GZ787</t>
  </si>
  <si>
    <t>Zong et al 2013</t>
  </si>
  <si>
    <t>Filled material</t>
  </si>
  <si>
    <t>Clay, organic matter</t>
  </si>
  <si>
    <t>dark grey clay with shell fragments in carious depth and plant roots</t>
  </si>
  <si>
    <t>Dark grey clay, with organic matter increasing from 4.10m upwards</t>
  </si>
  <si>
    <t>Beta289664</t>
  </si>
  <si>
    <t>GZ4141</t>
  </si>
  <si>
    <t>grey silt with thin band of peat</t>
  </si>
  <si>
    <t>Peat</t>
  </si>
  <si>
    <t>Yellowish grey clay</t>
  </si>
  <si>
    <t>Grey find sand</t>
  </si>
  <si>
    <t>GZ4142</t>
  </si>
  <si>
    <t>grey clay with organic rich bands</t>
  </si>
  <si>
    <t>Grey clay with thin bands of silt</t>
  </si>
  <si>
    <t>Beta291321</t>
  </si>
  <si>
    <t>Beta291322</t>
  </si>
  <si>
    <t xml:space="preserve">grey clay with thin bands of silt </t>
  </si>
  <si>
    <t>Grey clay with organic rich bands</t>
  </si>
  <si>
    <t>Yellow coarse sand</t>
  </si>
  <si>
    <t>Beta291323</t>
  </si>
  <si>
    <t>GZ3927</t>
  </si>
  <si>
    <t>yellowish grey clay</t>
  </si>
  <si>
    <t>Dark grey clay, with fragments of oyster</t>
  </si>
  <si>
    <t>GZ3928</t>
  </si>
  <si>
    <t>dark grey clay with fragments of oyster shell and sea shell</t>
  </si>
  <si>
    <t>GZ3929</t>
  </si>
  <si>
    <t>KWG-796</t>
  </si>
  <si>
    <t>dark grey silt and clay</t>
  </si>
  <si>
    <t>Yellowish grey fine sand</t>
  </si>
  <si>
    <t>Dark grey, soft, silt and clay</t>
  </si>
  <si>
    <t>Disturbed farming soil</t>
  </si>
  <si>
    <t>KWG-700</t>
  </si>
  <si>
    <t>GZ2088</t>
  </si>
  <si>
    <t>Dark grey silt and fine sand with organic matter throughout and shell fragments at 2.0 m and 8.0 m</t>
  </si>
  <si>
    <t>Brown to grey clay with rich organic matter</t>
  </si>
  <si>
    <t>Dark grey clay with organic matter and shells</t>
  </si>
  <si>
    <t>GZ2089</t>
  </si>
  <si>
    <t>GZ2090</t>
  </si>
  <si>
    <t>GZ2091</t>
  </si>
  <si>
    <t>STU22001</t>
  </si>
  <si>
    <t>STU22002</t>
  </si>
  <si>
    <t>STU22003</t>
  </si>
  <si>
    <t>STU22004</t>
  </si>
  <si>
    <t>STU22005</t>
  </si>
  <si>
    <t>STU22006</t>
  </si>
  <si>
    <t>STU22007</t>
  </si>
  <si>
    <t>STU22008</t>
  </si>
  <si>
    <t>STU22009</t>
  </si>
  <si>
    <t>STU22010</t>
  </si>
  <si>
    <t>STU22011</t>
  </si>
  <si>
    <t>STU22012</t>
  </si>
  <si>
    <t>STU22013</t>
  </si>
  <si>
    <t>STU22014</t>
  </si>
  <si>
    <t>STU22015</t>
  </si>
  <si>
    <t>Rotten wood, organic material</t>
  </si>
  <si>
    <t>LFA27</t>
  </si>
  <si>
    <t>Shell fragments</t>
  </si>
  <si>
    <t>Shell layer</t>
  </si>
  <si>
    <t>Oyster shells</t>
  </si>
  <si>
    <t>MF-ML</t>
  </si>
  <si>
    <t>HDBSS</t>
  </si>
  <si>
    <t>Oyster shell muddy sediment</t>
  </si>
  <si>
    <t>DMDLS1</t>
  </si>
  <si>
    <t>NHLJ1</t>
  </si>
  <si>
    <t>Oyster shell layer</t>
  </si>
  <si>
    <t>DGST1</t>
  </si>
  <si>
    <t>ZSSX1</t>
  </si>
  <si>
    <t>TSDH</t>
  </si>
  <si>
    <t>Age 2σ Uncertainty -              (cal a)</t>
  </si>
  <si>
    <t>Sample depth/overburden thickness (m)</t>
  </si>
  <si>
    <t>Depth to consolidated substrate   (m)</t>
  </si>
  <si>
    <t>Sample elevation      (m)</t>
  </si>
  <si>
    <t>Corrected RSL       (m)</t>
  </si>
  <si>
    <t>Corrected RSL uncertainty + (m)</t>
  </si>
  <si>
    <t>Corrected RSL uncertainty - (m)</t>
  </si>
  <si>
    <t xml:space="preserve">Correction type </t>
  </si>
  <si>
    <t>Why reject?</t>
  </si>
  <si>
    <t>Beta-459975</t>
  </si>
  <si>
    <t>Laboratory code</t>
  </si>
  <si>
    <t>Number of subsamples</t>
  </si>
  <si>
    <r>
      <t>Age        (</t>
    </r>
    <r>
      <rPr>
        <b/>
        <vertAlign val="superscript"/>
        <sz val="12"/>
        <color theme="1"/>
        <rFont val="Arial"/>
        <family val="2"/>
      </rPr>
      <t>14</t>
    </r>
    <r>
      <rPr>
        <b/>
        <sz val="12"/>
        <color theme="1"/>
        <rFont val="Arial"/>
        <family val="2"/>
      </rPr>
      <t>C a BP)</t>
    </r>
  </si>
  <si>
    <r>
      <t>Age uncertainty (</t>
    </r>
    <r>
      <rPr>
        <b/>
        <vertAlign val="superscript"/>
        <sz val="12"/>
        <color theme="1"/>
        <rFont val="Arial"/>
        <family val="2"/>
      </rPr>
      <t>14</t>
    </r>
    <r>
      <rPr>
        <b/>
        <sz val="12"/>
        <color theme="1"/>
        <rFont val="Arial"/>
        <family val="2"/>
      </rPr>
      <t>C a)</t>
    </r>
  </si>
  <si>
    <r>
      <t>Bulk error (</t>
    </r>
    <r>
      <rPr>
        <b/>
        <vertAlign val="superscript"/>
        <sz val="12"/>
        <color theme="1"/>
        <rFont val="Arial"/>
        <family val="2"/>
      </rPr>
      <t>14</t>
    </r>
    <r>
      <rPr>
        <b/>
        <sz val="12"/>
        <color theme="1"/>
        <rFont val="Arial"/>
        <family val="2"/>
      </rPr>
      <t>C a)</t>
    </r>
  </si>
  <si>
    <r>
      <t>δ</t>
    </r>
    <r>
      <rPr>
        <b/>
        <vertAlign val="superscript"/>
        <sz val="12"/>
        <color theme="1"/>
        <rFont val="Arial"/>
        <family val="2"/>
      </rPr>
      <t>13</t>
    </r>
    <r>
      <rPr>
        <b/>
        <sz val="12"/>
        <color theme="1"/>
        <rFont val="Arial"/>
        <family val="2"/>
      </rPr>
      <t>C (‰)</t>
    </r>
  </si>
  <si>
    <t>Assumed or measured </t>
  </si>
  <si>
    <r>
      <t>Isotopic fractionation correction (</t>
    </r>
    <r>
      <rPr>
        <b/>
        <vertAlign val="superscript"/>
        <sz val="12"/>
        <color theme="1"/>
        <rFont val="Arial"/>
        <family val="2"/>
      </rPr>
      <t>14</t>
    </r>
    <r>
      <rPr>
        <b/>
        <sz val="12"/>
        <color theme="1"/>
        <rFont val="Arial"/>
        <family val="2"/>
      </rPr>
      <t>C a)</t>
    </r>
  </si>
  <si>
    <r>
      <t>Isotopic fractionation uncertainty (</t>
    </r>
    <r>
      <rPr>
        <b/>
        <vertAlign val="superscript"/>
        <sz val="12"/>
        <color theme="1"/>
        <rFont val="Arial"/>
        <family val="2"/>
      </rPr>
      <t>14</t>
    </r>
    <r>
      <rPr>
        <b/>
        <sz val="12"/>
        <color theme="1"/>
        <rFont val="Arial"/>
        <family val="2"/>
      </rPr>
      <t>C a)</t>
    </r>
  </si>
  <si>
    <r>
      <t>Corrected age (</t>
    </r>
    <r>
      <rPr>
        <b/>
        <vertAlign val="superscript"/>
        <sz val="12"/>
        <color theme="1"/>
        <rFont val="Arial"/>
        <family val="2"/>
      </rPr>
      <t>14</t>
    </r>
    <r>
      <rPr>
        <b/>
        <sz val="12"/>
        <color theme="1"/>
        <rFont val="Arial"/>
        <family val="2"/>
      </rPr>
      <t>C a BP)</t>
    </r>
  </si>
  <si>
    <r>
      <t>ΔR (</t>
    </r>
    <r>
      <rPr>
        <b/>
        <vertAlign val="superscript"/>
        <sz val="12"/>
        <color theme="1"/>
        <rFont val="Arial"/>
        <family val="2"/>
      </rPr>
      <t>14</t>
    </r>
    <r>
      <rPr>
        <b/>
        <sz val="12"/>
        <color theme="1"/>
        <rFont val="Arial"/>
        <family val="2"/>
      </rPr>
      <t>C a)</t>
    </r>
  </si>
  <si>
    <r>
      <t>Reservoir age uncertainty (</t>
    </r>
    <r>
      <rPr>
        <b/>
        <vertAlign val="superscript"/>
        <sz val="12"/>
        <color theme="1"/>
        <rFont val="Arial"/>
        <family val="2"/>
      </rPr>
      <t>14</t>
    </r>
    <r>
      <rPr>
        <b/>
        <sz val="12"/>
        <color theme="1"/>
        <rFont val="Arial"/>
        <family val="2"/>
      </rPr>
      <t>C a)</t>
    </r>
  </si>
  <si>
    <t>Calibration software</t>
  </si>
  <si>
    <t>assumed</t>
  </si>
  <si>
    <t>measured</t>
  </si>
  <si>
    <t>IOSCAL</t>
  </si>
  <si>
    <t>57a</t>
  </si>
  <si>
    <t>Sample indicative meaning  (code)</t>
  </si>
  <si>
    <t>12a</t>
  </si>
  <si>
    <t>1</t>
  </si>
  <si>
    <t>4</t>
  </si>
  <si>
    <t>5</t>
  </si>
  <si>
    <t>6</t>
  </si>
  <si>
    <t>7</t>
  </si>
  <si>
    <t>8</t>
  </si>
  <si>
    <t>11</t>
  </si>
  <si>
    <t>12b</t>
  </si>
  <si>
    <t>author interpretation only</t>
  </si>
  <si>
    <t>Shell mount</t>
  </si>
  <si>
    <t>Lithology and stratigraphic corrolation</t>
  </si>
  <si>
    <t>Beach ridge</t>
  </si>
  <si>
    <t>2b</t>
  </si>
  <si>
    <t>Beach rock</t>
  </si>
  <si>
    <t>Diatom assemblage</t>
  </si>
  <si>
    <t>Argriculture land</t>
  </si>
  <si>
    <t>9a</t>
  </si>
  <si>
    <t>9b</t>
  </si>
  <si>
    <t>2a</t>
  </si>
  <si>
    <t>10a</t>
  </si>
  <si>
    <t>9</t>
  </si>
  <si>
    <t>10b</t>
  </si>
  <si>
    <t>encrusted mollusc fossil</t>
  </si>
  <si>
    <t>Esturine sedimet</t>
  </si>
  <si>
    <t>Bed rock</t>
  </si>
  <si>
    <t>Soft to firm, greyish white, clayey silt</t>
  </si>
  <si>
    <t>Ranking</t>
  </si>
  <si>
    <t>Inconsistent elevation</t>
  </si>
  <si>
    <t>Note</t>
  </si>
  <si>
    <t>Diatoms are dominated by brackish plantonic species &gt;85%</t>
  </si>
  <si>
    <t>Prodelta deposit</t>
  </si>
  <si>
    <t>Tidal flat deposit</t>
  </si>
  <si>
    <t>Lagoon deposit</t>
  </si>
  <si>
    <t>Saltmarsh deposit</t>
  </si>
  <si>
    <t>Mangrove deposit</t>
  </si>
  <si>
    <t>Tide-influenced environment</t>
  </si>
  <si>
    <t>Tidal channel deposit</t>
  </si>
  <si>
    <t>Beach deposit</t>
  </si>
  <si>
    <t>Delta front deposit</t>
  </si>
  <si>
    <t>Freshwater swamp deposit</t>
  </si>
  <si>
    <t>Glyptostrobus pensilis</t>
  </si>
  <si>
    <t>Rotten wood and muddy sediment (Author interpretation)</t>
  </si>
  <si>
    <t>Intertidal deposit</t>
  </si>
  <si>
    <t>Rotten wood and muddy sediment (author interpretation only)</t>
  </si>
  <si>
    <t>Marine deposit</t>
  </si>
  <si>
    <t>Rotten wood and shell-bearing muddy sediment (author interpretation only)</t>
  </si>
  <si>
    <t>Colluvium</t>
  </si>
  <si>
    <t>Estuarine deposit</t>
  </si>
  <si>
    <t>Sediment texture, grain size, diatom and foraminifera assemblage</t>
  </si>
  <si>
    <t>Sedimentary description</t>
  </si>
  <si>
    <t>Sediment description, mollusc fossil</t>
  </si>
  <si>
    <t>Oyster shell muddy sediment (author interpretation only)</t>
  </si>
  <si>
    <t>Archaeology</t>
  </si>
  <si>
    <t>Fossil encrusted bivalve</t>
  </si>
  <si>
    <t>Shell-bearing muddy sediment (author interpretation only)</t>
  </si>
  <si>
    <t>Fluvial deposit</t>
  </si>
  <si>
    <t>Terrestrial soil</t>
  </si>
  <si>
    <t>Cannot establish a relationship between colluvium and sea level.</t>
  </si>
  <si>
    <t>Flood plain deposit</t>
  </si>
  <si>
    <t>n.a.</t>
  </si>
  <si>
    <t>Shell hash</t>
  </si>
  <si>
    <t>Marine mud with plant material</t>
  </si>
  <si>
    <t>Shell ridge</t>
  </si>
  <si>
    <t>Shelly mud</t>
  </si>
  <si>
    <t>Mangrove plant macros</t>
  </si>
  <si>
    <t xml:space="preserve">Mangrove </t>
  </si>
  <si>
    <t>Field observation</t>
  </si>
  <si>
    <t>Fine sandy mud with plant material</t>
  </si>
  <si>
    <t>Lithified shell ridge</t>
  </si>
  <si>
    <t>Lagoon peat</t>
  </si>
  <si>
    <t>Marine shelly mud with plant material</t>
  </si>
  <si>
    <t>Plant</t>
  </si>
  <si>
    <t>Huang et al. 1981</t>
  </si>
  <si>
    <t>Huang et al. 1986</t>
  </si>
  <si>
    <t>Huang et al. 1982</t>
  </si>
  <si>
    <t>Huang et al. 1983</t>
  </si>
  <si>
    <t>Shelly marine mud with fossil Meretrix lusoria</t>
  </si>
  <si>
    <t>Bulk organic</t>
  </si>
  <si>
    <t>nil</t>
  </si>
  <si>
    <t>ANU-76214</t>
  </si>
  <si>
    <t>ANU-76216</t>
  </si>
  <si>
    <t xml:space="preserve">Marine inlfuence facies </t>
  </si>
  <si>
    <t xml:space="preserve">From Huang 1983 p.49, marine deposition terreace formed from alluvial plain/marine depositon flat (mudflat?) / lagoon after sea level fell. Indicative mean cannot be established because its from at least three types of ladnforms. </t>
  </si>
  <si>
    <t>W_PRD</t>
  </si>
  <si>
    <t>E_PRD</t>
  </si>
  <si>
    <t>N_PRD</t>
  </si>
  <si>
    <t>Huang et al. 1983; Huang et al. 1986</t>
  </si>
  <si>
    <t>KWG-1056</t>
  </si>
  <si>
    <t>KWG-1057</t>
  </si>
  <si>
    <t>Strange and Shaw 1986; Yim 1999</t>
  </si>
  <si>
    <t>Langford et al. 1989</t>
  </si>
  <si>
    <t>Davis 1999; Fyfe et al 1999</t>
  </si>
  <si>
    <t>WangPO01</t>
  </si>
  <si>
    <t>WangPO02</t>
  </si>
  <si>
    <t>WangPO03</t>
  </si>
  <si>
    <t>Wang, 1993; Wang, 1998</t>
  </si>
  <si>
    <t>WangCC01</t>
  </si>
  <si>
    <t xml:space="preserve">Clayey silt with fine sand in thin lenses </t>
  </si>
  <si>
    <t xml:space="preserve">Sand </t>
  </si>
  <si>
    <t>KWG-232</t>
  </si>
  <si>
    <t>Brackish to freshwater swamp deposit</t>
  </si>
  <si>
    <t xml:space="preserve">Loose beach ridge sand bioturbated with plant roots </t>
  </si>
  <si>
    <t>Dipped laminated cemented beach rock</t>
  </si>
  <si>
    <t>Calcareous cement and lamination</t>
  </si>
  <si>
    <t xml:space="preserve"> Wang, 1998</t>
  </si>
  <si>
    <t>Laminated cemented coarse shelly sand with gravels</t>
  </si>
  <si>
    <t xml:space="preserve">Cemented shell sand  with cross bedding </t>
  </si>
  <si>
    <t>Cemented shelly sand</t>
  </si>
  <si>
    <t>Loose sand</t>
  </si>
  <si>
    <t>Yim, 2006</t>
  </si>
  <si>
    <t>ANU-10154</t>
  </si>
  <si>
    <t>ANU-10155</t>
  </si>
  <si>
    <t>KIA-2287</t>
  </si>
  <si>
    <t>ANU-10156</t>
  </si>
  <si>
    <t>ANU-10157</t>
  </si>
  <si>
    <t>KIA-2290</t>
  </si>
  <si>
    <t>KIA-2291</t>
  </si>
  <si>
    <t>KIA-2292</t>
  </si>
  <si>
    <t>KIA-2293</t>
  </si>
  <si>
    <t>GIFA-101372</t>
  </si>
  <si>
    <t>GIFA-101373</t>
  </si>
  <si>
    <t>GIFA-101374</t>
  </si>
  <si>
    <t>GIFA-101375</t>
  </si>
  <si>
    <t>GIFA-101376</t>
  </si>
  <si>
    <t>GIFA-101377</t>
  </si>
  <si>
    <t>GIFA-101378</t>
  </si>
  <si>
    <t>GIFA-101379</t>
  </si>
  <si>
    <t>GIFA-101380</t>
  </si>
  <si>
    <t>Gif-11683</t>
  </si>
  <si>
    <t>Gif-11689</t>
  </si>
  <si>
    <t>Gif-11686</t>
  </si>
  <si>
    <t>Gif-11682</t>
  </si>
  <si>
    <t>GIFA-101381</t>
  </si>
  <si>
    <t>Gif-11693</t>
  </si>
  <si>
    <t>Gif-11692</t>
  </si>
  <si>
    <t>Gif-11691</t>
  </si>
  <si>
    <t>GIFA-101382</t>
  </si>
  <si>
    <t>GIFA-101383</t>
  </si>
  <si>
    <t>GIFA-101384</t>
  </si>
  <si>
    <t>GIFA-101385</t>
  </si>
  <si>
    <t>GIFA-101386</t>
  </si>
  <si>
    <t>GIFA-101387</t>
  </si>
  <si>
    <t>GIFA-101388</t>
  </si>
  <si>
    <t>Gif-11685</t>
  </si>
  <si>
    <t>Gif-11684</t>
  </si>
  <si>
    <t>GIFA-102054</t>
  </si>
  <si>
    <t>GIFA-101392</t>
  </si>
  <si>
    <t>GIFA-101395</t>
  </si>
  <si>
    <t>GIFA-101396</t>
  </si>
  <si>
    <t>GIFA-101397</t>
  </si>
  <si>
    <t>GIFA-101398</t>
  </si>
  <si>
    <t>GIFA-101399</t>
  </si>
  <si>
    <t>Gif-11678</t>
  </si>
  <si>
    <t>Gif-11674</t>
  </si>
  <si>
    <t>Gif-11677</t>
  </si>
  <si>
    <t>Gif-11687</t>
  </si>
  <si>
    <t>GIFA-101400</t>
  </si>
  <si>
    <t>GIFA-101401</t>
  </si>
  <si>
    <t>GIFA-101402</t>
  </si>
  <si>
    <t>Gif-11688</t>
  </si>
  <si>
    <t>Clay and silt dominated with shells and shell fragments</t>
  </si>
  <si>
    <t>Poorly sorted and fining-upward sandy gravel</t>
  </si>
  <si>
    <t>Marine foraminifera A. beccarii var., Hanzawaia nipponica (Asano), and Elphidium spp.</t>
  </si>
  <si>
    <t>Overconsolidated paleosol</t>
  </si>
  <si>
    <t>Shallow-water benthonic bethic foraminifera including Ammonia beccarii var., Elphidium advenum (Cushman),</t>
  </si>
  <si>
    <t>Transgressive contact</t>
  </si>
  <si>
    <t>Paleosol</t>
  </si>
  <si>
    <t>Sand and graveldominated facies</t>
  </si>
  <si>
    <t>Transgressive contact (Uncertain)</t>
  </si>
  <si>
    <t>Gravel and sand, not other evidence</t>
  </si>
  <si>
    <t>Gif-11676</t>
  </si>
  <si>
    <t>Marine foraminifera Bigenerina Taiwanica, Textularia conica,Pseudorotalia indopacifica</t>
  </si>
  <si>
    <t>GIFA-101403</t>
  </si>
  <si>
    <t>Gif-11690</t>
  </si>
  <si>
    <t>GIFA-101404</t>
  </si>
  <si>
    <t>Gif-11675</t>
  </si>
  <si>
    <t>GIFA-101405</t>
  </si>
  <si>
    <t>GIFA-101406</t>
  </si>
  <si>
    <t>GIFA-101407</t>
  </si>
  <si>
    <t>GIFA-101408</t>
  </si>
  <si>
    <t>GIFA-101409</t>
  </si>
  <si>
    <t>GIFA-102053</t>
  </si>
  <si>
    <t>Deep marine foraminifera Cibicides bimargaritiferus, C. praecinctes, P. indopacifica, Rubulus calcar</t>
  </si>
  <si>
    <t>Yellowish siliciclastic sand with shell fragments.</t>
  </si>
  <si>
    <t>Colour (yellow) and shell fragments</t>
  </si>
  <si>
    <t>Transgressive contact (nearshore)</t>
  </si>
  <si>
    <t>Huang et al. 1986; Li et al, 1991</t>
  </si>
  <si>
    <t>KWG-216</t>
  </si>
  <si>
    <t>KWG-171</t>
  </si>
  <si>
    <t>Li et al., 1991; Xiong et al. 2020</t>
  </si>
  <si>
    <t>human bone</t>
  </si>
  <si>
    <t>Huang et al. 1986; Li et al 1991</t>
  </si>
  <si>
    <t>KWG-40</t>
  </si>
  <si>
    <t>Brackish to freahwater marsh peat</t>
  </si>
  <si>
    <t>Li et al 1991; Zong et al. 2013</t>
  </si>
  <si>
    <t>Tidal influence environemnt</t>
  </si>
  <si>
    <t>Huang et al. 1981; Huang et al., 1986</t>
  </si>
  <si>
    <t>Oyster shell layer (reef)</t>
  </si>
  <si>
    <t>Oyster layer(Ostrea rivularis; O. plicatula; O gigas) with small amount of gravel</t>
  </si>
  <si>
    <t>1.6 m think of oyster shell (Ostrea rivularis; O. plicatula; O gigas) accumulation</t>
  </si>
  <si>
    <t>Huang et al. 1982; Li et al 1991</t>
  </si>
  <si>
    <t>Huang et al. 1981; Huang et al. 1982</t>
  </si>
  <si>
    <t>Grey silty clay with fine sand laminations.</t>
  </si>
  <si>
    <t>Clayey silt with plant material</t>
  </si>
  <si>
    <t>Grey silty clay and intercalated with fine sand and shell fragments</t>
  </si>
  <si>
    <t>Estuarine or prodelta deposit</t>
  </si>
  <si>
    <t>Dark grey silty clay with complete shells and shell fragments</t>
  </si>
  <si>
    <t>Alluvial plain deposit</t>
  </si>
  <si>
    <t>Quartz</t>
  </si>
  <si>
    <t>Stiff greyish-yellow silty clay</t>
  </si>
  <si>
    <t>PRD05001</t>
  </si>
  <si>
    <t>PRD05002</t>
  </si>
  <si>
    <t>PRD05003</t>
  </si>
  <si>
    <t>PRD05004</t>
  </si>
  <si>
    <t>PRD05005</t>
  </si>
  <si>
    <t>PRD05006</t>
  </si>
  <si>
    <t>PRD05007</t>
  </si>
  <si>
    <t>PRD05008</t>
  </si>
  <si>
    <t>PRD05009</t>
  </si>
  <si>
    <t>PRD05010</t>
  </si>
  <si>
    <t>PRD05011</t>
  </si>
  <si>
    <t>PRD05012</t>
  </si>
  <si>
    <t>PRD05013</t>
  </si>
  <si>
    <t>PRD05014</t>
  </si>
  <si>
    <t>PRD05015</t>
  </si>
  <si>
    <t>Liu et al. 2013</t>
  </si>
  <si>
    <t>Greyish yellow silty sand interbedded with sandy silt</t>
  </si>
  <si>
    <t>Yellowish grey silt with plant material</t>
  </si>
  <si>
    <t>Greyish yellow sand with fine gravel containing molluscs and barnacles shell</t>
  </si>
  <si>
    <t>Sandy silt with abundant molluscs</t>
  </si>
  <si>
    <t>Dark grey silty clay</t>
  </si>
  <si>
    <t>Dark grey cayey silt interbedded withsandy silt with locally molluscs</t>
  </si>
  <si>
    <t>Dark grey clayey silt with abundant plant remains</t>
  </si>
  <si>
    <t>Mottled silty clay</t>
  </si>
  <si>
    <t>Interbedded silty sand</t>
  </si>
  <si>
    <t>The author suggested the other parts of PRD were  still submerged but the site was under local topographic influence.</t>
  </si>
  <si>
    <t>Sandy substrate with foraminifera (A becarii) and ostracod</t>
  </si>
  <si>
    <t>Foraminifera and ostracod asssemblage</t>
  </si>
  <si>
    <t>Abundant plant materia with no microfossilsl</t>
  </si>
  <si>
    <t>Brackish to freshwater swamp deposit, stratigraphic relationship</t>
  </si>
  <si>
    <t>Age reversal.</t>
  </si>
  <si>
    <t>Beta-291321</t>
  </si>
  <si>
    <t>Beta-291322</t>
  </si>
  <si>
    <t>Beta-291323</t>
  </si>
  <si>
    <t>Tidally influenced swamp deposit</t>
  </si>
  <si>
    <t>Freshwater with a small amount of brackish water diatoms</t>
  </si>
  <si>
    <t>KWG-52</t>
  </si>
  <si>
    <t>Huang et al. 1982; Li et al. 1982</t>
  </si>
  <si>
    <t>Beta-470506</t>
  </si>
  <si>
    <t>Beta-470507</t>
  </si>
  <si>
    <t>Beta-470508</t>
  </si>
  <si>
    <t>Beta-470509</t>
  </si>
  <si>
    <t>Beta-476470</t>
  </si>
  <si>
    <t>Beta-476471</t>
  </si>
  <si>
    <t>Beta-458420</t>
  </si>
  <si>
    <t>Beta-458421</t>
  </si>
  <si>
    <t>Beta-458422</t>
  </si>
  <si>
    <t>Beta-458423</t>
  </si>
  <si>
    <t>Beta-470510</t>
  </si>
  <si>
    <t>Beta-470511</t>
  </si>
  <si>
    <t>Beta-470512</t>
  </si>
  <si>
    <t>Beta-470513</t>
  </si>
  <si>
    <t>Beta-470514</t>
  </si>
  <si>
    <t>Beta-494998</t>
  </si>
  <si>
    <t>Beta-494999</t>
  </si>
  <si>
    <t>Beta-289664</t>
  </si>
  <si>
    <t>Beta-456813</t>
  </si>
  <si>
    <t>Muddy substrate; Marine-brackish planktonic diatom assemblage</t>
  </si>
  <si>
    <t xml:space="preserve">Muddy substrate; Planktonic diatom assemblage containing both marine-brackish and freshwater taxa </t>
  </si>
  <si>
    <t>Li et al. 1991; Xiong et al. 2020</t>
  </si>
  <si>
    <t>Zeng 1981; Huang et al. 1986; Li et al. 1991</t>
  </si>
  <si>
    <t>Bivalve fossil Meretrix lusoria</t>
  </si>
  <si>
    <t xml:space="preserve">Glyptostrobus pensilis (freshwater Pine) wood macrofossils </t>
  </si>
  <si>
    <t>Zong et al. 2013; Xiong et al 2018</t>
  </si>
  <si>
    <t>Termination of bracksih diatom occurance, stable carbon isotope</t>
  </si>
  <si>
    <t>Huang et al. 1982a and b</t>
  </si>
  <si>
    <t>Peat material</t>
  </si>
  <si>
    <t>Tidal influenced environemnt</t>
  </si>
  <si>
    <t>Brackish and freshwater diatom</t>
  </si>
  <si>
    <t>Dark grey clayey silt with plentiful plant fragments and some bioturbations.</t>
  </si>
  <si>
    <t>Xiong et al 2018; Fu et al. 2020</t>
  </si>
  <si>
    <t>sediment texture and diatom assemblage (Navivula digitoratia, Gopheonema parvulum)</t>
  </si>
  <si>
    <t>Poorly sorted pebbles and gravels with multiple colors</t>
  </si>
  <si>
    <t>sediment texture and diatom assemblage (Navivula avenaca, Diploneis smithii, Gopheonema parvulum)</t>
  </si>
  <si>
    <t>Diatom assemblage (reduced brackish and predominantly freshwater diatom)</t>
  </si>
  <si>
    <t>Tidal influenced environemnt (Delta front – flood plain transition)</t>
  </si>
  <si>
    <t>Brackish and freshwater planktonic diatom (Coscinodiscus octonarius and Aulacoseira granulata)</t>
  </si>
  <si>
    <t>Beta-491057</t>
  </si>
  <si>
    <t>Coastal lagoon deposit</t>
  </si>
  <si>
    <t>Diatom assembklage (brackish and freshwater diatom) with plant fragments</t>
  </si>
  <si>
    <t>dark grey clayey silt with plentiful plant fragments and some bioturbations.</t>
  </si>
  <si>
    <t>grey clayey sandy silt and blackish peaty sand with some plant fragments and shellsd</t>
  </si>
  <si>
    <t>light grey silt with some plant fragments</t>
  </si>
  <si>
    <t>grey to yellowish brown clayey silt with herbaceous roots</t>
  </si>
  <si>
    <t>grey clayey silt with herbaceous roots</t>
  </si>
  <si>
    <t>grey clayey silt with plentiful plant fragments and some bioturbations.</t>
  </si>
  <si>
    <t>Yellow (oxidised) mud with bioturbation)</t>
  </si>
  <si>
    <t>Mud with plant fragments</t>
  </si>
  <si>
    <t>Increased brackish diatoms in the unit suggests subtidal condition</t>
  </si>
  <si>
    <t>dark grey sandy silt</t>
  </si>
  <si>
    <t xml:space="preserve">blackish clayey silt with high organic content </t>
  </si>
  <si>
    <t>ngrey clayey silt with herbaceous rootsd</t>
  </si>
  <si>
    <t>Ding et al 2007; Zong et al. 2013</t>
  </si>
  <si>
    <t>Zhan et al. 1996</t>
  </si>
  <si>
    <t>Mangrove peat in core S2 based on author interpretation</t>
  </si>
  <si>
    <t>Huang et al. 1983; Zong 2004</t>
  </si>
  <si>
    <t>Xu et al. 1983; Huang et al. 1983; Zong 2004</t>
  </si>
  <si>
    <t>Xu et al. 1983; Li et al. 1991; Zong 2004</t>
  </si>
  <si>
    <t>Li et al. 1991; Zong 2004</t>
  </si>
  <si>
    <t>Li et al 1991; Zong 2004; Zong et al. 2013</t>
  </si>
  <si>
    <t>Huang et al. 1982; Zong 2004</t>
  </si>
  <si>
    <t>Huang et al. 1982; Li et al. 1991; Zong 2004</t>
  </si>
  <si>
    <t>Li et al 1982; Zong 2004</t>
  </si>
  <si>
    <t>Huang et al. 1982; Li et al 1991; Zong 2004</t>
  </si>
  <si>
    <t>Li et al 1991; zong 2004</t>
  </si>
  <si>
    <t>Xu et al. 1985; Li et al. 1991; Zong 2004</t>
  </si>
  <si>
    <t>Li et al. 1982; Li et al. 1991; Zong 2004</t>
  </si>
  <si>
    <t>Huang et al. 1983; Li et al. 1991; Zong 2004</t>
  </si>
  <si>
    <t>Dark grey sandy silt</t>
  </si>
  <si>
    <t>Beach ridge facies</t>
  </si>
  <si>
    <t>6 = Sedimentary (e.g., deltaic, estuarine, wetland, lacustrine, marine facies)</t>
  </si>
  <si>
    <t>Author interpretation only</t>
  </si>
  <si>
    <t>Zhan9603-1</t>
  </si>
  <si>
    <t>Benchmark uncertainty (m)</t>
  </si>
  <si>
    <t>Zong et al. 2013; Yang et al. 2012</t>
  </si>
  <si>
    <t>Yu et al. 2025</t>
  </si>
  <si>
    <t>YASIC-66120.1.1</t>
  </si>
  <si>
    <t>YASIC-66121.1.1</t>
  </si>
  <si>
    <t>YASIC-66122.1.1</t>
  </si>
  <si>
    <t>YASIC-66123.1.1</t>
  </si>
  <si>
    <t>Fresh water shell and sand</t>
  </si>
  <si>
    <t>Huang et al. 1982; Zhang et al. 1982; Wu 1985</t>
  </si>
  <si>
    <t>Fine sand with interbedded clayey silt, with plant and shell fragment and complete bivalve shell; Foraminifera (Ammonia spp., Elphidium spp.); Diatom Pinnulariar spp.</t>
  </si>
  <si>
    <t>Rrejected channel deposit without any evidence from any analysis.</t>
  </si>
  <si>
    <t>Dubious elevation with no supporting evidence</t>
  </si>
  <si>
    <t>Marginal date at the same elevation, possibly reworked.</t>
  </si>
  <si>
    <t>Reversed chronological order</t>
  </si>
  <si>
    <t>Zong 2009 indicated location of core GZ-2 as a subaqueous delta front environment.</t>
  </si>
  <si>
    <t>Chacterised as shell hash formed in intertidal zone in Huang 1986. Only general discription for all samples in original studies, no sketch, figure, other analysis.</t>
  </si>
  <si>
    <t xml:space="preserve">Xiong 2018interpreted as tidal flat sediment; Li 1982;1991 described as mud </t>
  </si>
  <si>
    <t>Cannot establish RWL because depth of sample is not reported in Li1991.</t>
  </si>
  <si>
    <t>Described as mud with  no supporting evidence</t>
  </si>
  <si>
    <t>No microfossil support in the paper, undifferentiated  transition between coastal lagoon and flood plain</t>
  </si>
  <si>
    <t>Bard, S. M. (1976). Chung Hom Wan. Journal of the Hong Kong Archaeological Society, 6, 9–25.</t>
  </si>
  <si>
    <t>Davis, A. M. (1999). Quaternary stratigraphy of Hong Kong coastal sediments. Journal of Asian Earth Sciences, 17(4), 521-531.</t>
  </si>
  <si>
    <t>Davis, A., Aitchison, J., Flood, P., Morton, B., Baker, R., &amp; Haworth, R. (2000). Late Holocene higher sea-level indicators from the South China coast. Marine Geology, 171(1-4), 1-5.</t>
  </si>
  <si>
    <t>Ding, P., Shen, C.D., Yi, W.X., Liu, K.X., Ding, X.F., Fu, D.P., 2007. 14C chronological research of ancient forest system in Sihui, Guangdong Province. Quaternary Science 27, 492e498 (in Chinese).</t>
  </si>
  <si>
    <t>Fu, S., Xiong, H., Zong, Y., &amp; Huang, G. (2020). Reasons for the low sedimentation and slow progradation in the Pearl River delta, southern China, during the middle Holocene. Marine Geology, 423, 106133. https://doi.org/https://doi.org/10.1016/j.margeo.2020.106133.</t>
  </si>
  <si>
    <t>Fyfe, J. A., Selby, I. C., Plater, A. J., &amp; Wright, M. R. (1999). Erosion and sedimentation associated with the last sea level rise offshore Hong Kong, South China Sea. Quaternary international, 55(1), 93-100.</t>
  </si>
  <si>
    <t>Howat, M. (1985). A nearshore colluvial deposit in Western District, Hong Kong island. Geological Society of Hong Kong Newsletter, 3(6), 6-12.</t>
  </si>
  <si>
    <t>Huang Y., Xia F., Huang D. (1981). Holocene sea level changes and crustal movements along coastal zones of the northern South China Sea. Acta Oceanol Sin, 4(6): 713–723 (in Chinese).</t>
  </si>
  <si>
    <t>Huang, Z., Li, P., Zhang, Z., Li, K., Qiao, P., (1982). Zhujiang (Pearl) Delta. General Scientific Press, Guangzhou (in Chinese).</t>
  </si>
  <si>
    <t>Huang, Z., Li, P., Zhang, Z., Li, K., Qiao, P., Zong, Y. (1983). The Landforms of Shenzhen. Guangdong Scientific and Technological Press (In Chinese).</t>
  </si>
  <si>
    <t>Huang, Z., Li, P., Zhang, Z., &amp; Zong, Y. (1986). Changes of sea level in south China coast since the Late Pleistocene. China Sea-level Changes, 178-194 (In Chinese).</t>
  </si>
  <si>
    <t>Huang, Z. (1992). Comparison of beach rock between China and Japan. Tropical Geography, 12(2): 108-121 (in Chinese).</t>
  </si>
  <si>
    <t>Kendall, F.H., 1976. High Island - a study of undersea deposits. Journal of the Hong Kong Archaeological Society 6, 26-32.</t>
  </si>
  <si>
    <t>Lai, K.W., Campbell, S.D.G. &amp; Shaw, R. (1996). Geology of the northeastern New Territories. Hong Kong Geological Survey Memoir No. 5, Geotechnical Engineering Office, Hong Kong, 143 p.</t>
  </si>
  <si>
    <t>Langford, R.L., Lai, K.W., Arthurton, R.S. &amp; Shaw, R. (1989). Geology of the Western New Territories. Hong Kong Geological Survey Memoir No. 3, Geotechnical Control Office, Hong Kong Government, 140 p.</t>
  </si>
  <si>
    <t>Li, P., Qiao, P., 1982. The evolution model of the Pearl River Delta over the last 6000 years. Journal of Sediment Research 1, 33–42 (in Chinese).</t>
  </si>
  <si>
    <t>Li, P. (1988). Holocene beachrock in South China and its paleogeographic significance. Marine Geology and Quaternary Geology, 8(4), 21-29 (in Chinese).</t>
  </si>
  <si>
    <t>Li, P., Qiao, P., Zheng, H., Fang, G., Huang, G., (1991). Environmental evolution of Zhujiang Delta in the Past 10000 years. China Ocean Press, Beijing, 154pp. (in Chinese).</t>
  </si>
  <si>
    <t>Liu, C., Fürsich, F. T., Wu, J., Dong, Y., Yang, T., Yin, J. (2013). Late Quaternary palaeoenvironmental changes documented by microfaunas and shell stable isotopes in the southern Pearl River Delta plain, South China. Journal of Palaeogeography, 2(4), 344-361.</t>
  </si>
  <si>
    <t>Meacham, W. (1976). Lai Chi Lok. Journal of the Hong Kong Archaeological Society, 6, 33-36.</t>
  </si>
  <si>
    <t>Meacham, W. (1978). Sham Wan, Lamma Island: an archaeological site study. Hong Kong Archaeological Society.</t>
  </si>
  <si>
    <t>Meacham, W. (1979). C-14, T-L dates from geological and prehistoric sites in Hong Kong. Journal of the Hong Kong Archaeological Society, 7, 91-92.</t>
  </si>
  <si>
    <t>Meacham, W. (1980). New C-14 dates from Hong Kong. Journal of the Hong Kong Archaeological Society 8, 126-128.</t>
  </si>
  <si>
    <t>Meacham, W., (1982). Recent C-14/TL dates from geological and prehistoric site in Hong Kong. Journal of the Hong Kong Archaeological Society, 7, 77-79.</t>
  </si>
  <si>
    <t>Owen, R., Neller, R., Shaw, R., &amp; Cheung, P. (1995). Sedimentology, geochemistry and micropalaeontology of borehole A5/2, West Lamma Channel. Hong Kong Geologist, 1, 13-25.</t>
  </si>
  <si>
    <t>Owen, R. B., Neller, R. J., Shaw, R., &amp; Cheung, P. C. T. (1998). Late Quaternary environmental changes in Hong Kong. Palaeogeography, Palaeoclimatology, Palaeoecology, 138(1-4), 151-173. https://doi.org/10.1016/s0031-0182(97)00129-6</t>
  </si>
  <si>
    <t>Strange, P.J., Shaw, R., 1986. Geology of Hong Kong Island and Kowloon. Hong Kong Geological Survey Memoir No. 2. Geotechnical Control Office, Hong Kong Government, Hong Kong, 134pp.</t>
  </si>
  <si>
    <t>Sun, Y., Xiong, H., Lee, M. T., Brodie, C., &amp; Zong, Y. (2021). Geochemical dynamics and depositional history from mangrove sediments within the Pearl River estuary. Palaeogeography, Palaeoclimatology, Palaeoecology, 584, 110701.</t>
  </si>
  <si>
    <t>Wang, W. (1998). Beach rocks and storm deposits on the beaches of Hong Kong. Science in China Series D: Earth Sciences, 41(4), 369-376.</t>
  </si>
  <si>
    <t>Wu, Z. (1985). Late Holocene se-level change at the Northern South China coast. Tropical Geomorphology. 6(2): 8-18. (in Chinese).</t>
  </si>
  <si>
    <t>Xiong, H., Zong, Y., Qian, P., Huang, G., &amp; Fu, S. (2018). Holocene sea-level history of the northern coast of South China Sea. Quaternary Science Reviews, 194, 12-26.</t>
  </si>
  <si>
    <t>Xu, J. L. (1985). Shoal Growth and Evolution of Lingdingyang of the Pearl River Mouth (In Chinese).</t>
  </si>
  <si>
    <t>Yim, W. S. (1984). Evidence for Quaternary environmental changes from sea-floor sediments in Hong Kong.</t>
  </si>
  <si>
    <t>Yim, W. W. S. (1986). Radiocarbon dates from Hong Kong and their geological implication. J. Hong Kong Archaeol. Soc, 11, 50-63.</t>
  </si>
  <si>
    <t>Yim, W. W. S. (1999). Radiocarbon dating and the reconstruction of late Quaternary sea-level changes in Hong Kong. Quaternary International, 55(1), 77-91.</t>
  </si>
  <si>
    <t>Yim, W. S., Huang, G., Fontugne, M. R., Hale, R. E., Paterne, M., Pirazzoli, P. A., &amp; Thomas, W. R. (2006). Postglacial sea-level changes in the northern South China Sea continental shelf: evidence for a post-8200 calendar yr BP meltwater pulse. Quaternary International, 145, 55-67.</t>
  </si>
  <si>
    <t>Yu, K., &amp; Chen, T., C. (2009). Beach sediments from northern South China Sea suggest high and oscillating sea levels during the late Holocene. Earth Science Frontiers, 16(6), 138-145.</t>
  </si>
  <si>
    <t>Zhan, W., Liu, Y.,  Zhong, J. (1996). Discussion on historical sea level changes based on beachrocks along coast of Guangdong. South China Sea Research and Exploration, 4, 30–35 (In Chinese).</t>
  </si>
  <si>
    <t>Zhang, J., Li, G., &amp; Zhao, X. (1981). The age of formation of the marine shells and beach rocks in the Yinggehai region, Hainan Island. Seismology and Geology, 3(1), 66.</t>
  </si>
  <si>
    <t>Zhang, H., Huang K., Chen, G., Li, Z., Chen, W., Zhang, J., &amp; Zhao, X. (1982). On the Remnant of Ancient Marine Erosion in the Sheji Area, Nanhai County, Guangdong. Marine Sciences, 1, 12–16 (In Chinese).</t>
  </si>
  <si>
    <t>Zong, Y. &amp; Li, P. (1984). Analysis of condition to form the Holocene beachrock along the coast of eastern Guangdong. Tropical Geography, 4(4), 205-212 (In Chinese).</t>
  </si>
  <si>
    <t>Zong, Y. (2004). Mid-Holocene sea-level highstand along the Southeast Coast of China. Quaternary International, 117(1), 55-67.</t>
  </si>
  <si>
    <t>Zong, Y., Zheng, Z., Huang, K., Sun, Y., Wang, N., Tang, M., &amp; Huang, G. (2013). Changes in sea level, water salinity and wetland habitat linked to the late agricultural development in the Pearl River delta plain of China. Quaternary science reviews, 70, 145-157.</t>
  </si>
  <si>
    <t>Lin, P., Song, Y., Zhan, W., Tian, R., Wang, Z., Xu, X., Luo, L., Abbas, M. &amp; Lai, Z. (2023). Late Pleistocene to Holocene sedimentary history in the Pearl River Delta revealed by OSL and radiocarbon dating. Catena, 224, 106972.</t>
  </si>
  <si>
    <t>Yang, S., Zheng, Z., Huang, K., Zong, Y., Wang, J., Xu, Q., Rolett, B.V. &amp; Li, J. (2012). Modern pollen assemblages from cultivated rice fields and rice pollen morphology: Application to a study of ancient land use and agriculture in the Pearl River Delta, China. The Holocene, 22(12), 1393-1404.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</si>
</sst>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
    <numFmt numFmtId="165" formatCode="0.000"/>
  </numFmts>
  <fonts count="26">
    <font>
      <sz val="12"/>
      <color theme="1"/>
      <name val="Calibri"/>
      <family val="2"/>
      <scheme val="minor"/>
    </font>
    <font>
      <sz val="12"/>
      <color rgb="FF9C6500"/>
      <name val="Calibri"/>
      <family val="2"/>
      <scheme val="minor"/>
    </font>
    <font>
      <sz val="11"/>
      <color indexed="8"/>
      <name val="宋体"/>
      <charset val="134"/>
    </font>
    <font>
      <sz val="12"/>
      <name val="Arial"/>
      <family val="2"/>
    </font>
    <font>
      <sz val="12"/>
      <color indexed="8"/>
      <name val="Arial"/>
      <family val="2"/>
    </font>
    <font>
      <u/>
      <sz val="12"/>
      <color theme="10"/>
      <name val="Calibri"/>
      <family val="2"/>
      <scheme val="minor"/>
    </font>
    <font>
      <u/>
      <sz val="12"/>
      <color theme="11"/>
      <name val="Calibri"/>
      <family val="2"/>
      <scheme val="minor"/>
    </font>
    <font>
      <sz val="11"/>
      <color theme="1"/>
      <name val="Arial"/>
      <family val="2"/>
    </font>
    <font>
      <sz val="12"/>
      <color theme="1"/>
      <name val="Arial"/>
      <family val="2"/>
    </font>
    <font>
      <b/>
      <sz val="12"/>
      <name val="Arial"/>
      <family val="2"/>
    </font>
    <font>
      <b/>
      <sz val="12"/>
      <color theme="1"/>
      <name val="Arial"/>
      <family val="2"/>
    </font>
    <font>
      <b/>
      <sz val="12"/>
      <color theme="1"/>
      <name val="Calibri"/>
      <family val="2"/>
      <scheme val="minor"/>
    </font>
    <font>
      <b/>
      <vertAlign val="superscript"/>
      <sz val="12"/>
      <color theme="1"/>
      <name val="Arial"/>
      <family val="2"/>
    </font>
    <font>
      <b/>
      <i/>
      <u/>
      <sz val="11"/>
      <color theme="1"/>
      <name val="Arial"/>
      <family val="2"/>
    </font>
    <font>
      <b/>
      <i/>
      <u/>
      <sz val="11"/>
      <name val="Arial"/>
      <family val="2"/>
    </font>
    <font>
      <b/>
      <i/>
      <u/>
      <sz val="11"/>
      <color indexed="8"/>
      <name val="Arial"/>
      <family val="2"/>
    </font>
    <font>
      <i/>
      <sz val="11"/>
      <name val="Arial"/>
      <family val="2"/>
    </font>
    <font>
      <i/>
      <sz val="11"/>
      <color theme="1"/>
      <name val="Arial"/>
      <family val="2"/>
    </font>
    <font>
      <i/>
      <sz val="11"/>
      <color indexed="8"/>
      <name val="Arial"/>
      <family val="2"/>
    </font>
    <font>
      <sz val="12"/>
      <color theme="1"/>
      <name val="Arial "/>
    </font>
    <font>
      <vertAlign val="superscript"/>
      <sz val="12"/>
      <color theme="1"/>
      <name val="Arial "/>
    </font>
    <font>
      <b/>
      <i/>
      <sz val="12"/>
      <name val="Arial"/>
      <family val="2"/>
    </font>
    <font>
      <sz val="8"/>
      <name val="Calibri"/>
      <family val="2"/>
      <scheme val="minor"/>
    </font>
    <font>
      <sz val="12"/>
      <color rgb="FFFF0000"/>
      <name val="Calibri"/>
      <family val="2"/>
      <scheme val="minor"/>
    </font>
    <font>
      <sz val="12"/>
      <color theme="1"/>
      <name val="Sans"/>
      <family val="2"/>
    </font>
    <font>
      <sz val="11"/>
      <color rgb="FF000000"/>
      <name val="Arial"/>
      <family val="2"/>
    </font>
  </fonts>
  <fills count="20">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D7EC"/>
        <bgColor indexed="64"/>
      </patternFill>
    </fill>
    <fill>
      <patternFill patternType="solid">
        <fgColor theme="6" tint="0.79998168889431442"/>
        <bgColor indexed="64"/>
      </patternFill>
    </fill>
    <fill>
      <patternFill patternType="solid">
        <fgColor rgb="FFD8D1FF"/>
        <bgColor indexed="64"/>
      </patternFill>
    </fill>
    <fill>
      <patternFill patternType="solid">
        <fgColor rgb="FF94F5D0"/>
        <bgColor indexed="64"/>
      </patternFill>
    </fill>
    <fill>
      <patternFill patternType="solid">
        <fgColor rgb="FFEAF7B5"/>
        <bgColor indexed="64"/>
      </patternFill>
    </fill>
    <fill>
      <patternFill patternType="solid">
        <fgColor theme="0" tint="-4.9989318521683403E-2"/>
        <bgColor indexed="64"/>
      </patternFill>
    </fill>
    <fill>
      <patternFill patternType="solid">
        <fgColor rgb="FFCBDCFF"/>
        <bgColor indexed="64"/>
      </patternFill>
    </fill>
    <fill>
      <patternFill patternType="solid">
        <fgColor indexed="22"/>
        <bgColor indexed="64"/>
      </patternFill>
    </fill>
    <fill>
      <patternFill patternType="solid">
        <fgColor rgb="FFFFF2CC"/>
        <bgColor rgb="FF000000"/>
      </patternFill>
    </fill>
    <fill>
      <patternFill patternType="solid">
        <fgColor rgb="FFEAF7B5"/>
        <bgColor rgb="FF000000"/>
      </patternFill>
    </fill>
    <fill>
      <patternFill patternType="solid">
        <fgColor rgb="FFE2EFDA"/>
        <bgColor rgb="FF000000"/>
      </patternFill>
    </fill>
    <fill>
      <patternFill patternType="solid">
        <fgColor rgb="FFFDE5D7"/>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s>
  <cellStyleXfs count="19">
    <xf numFmtId="0" fontId="0" fillId="0" borderId="0"/>
    <xf numFmtId="0" fontId="1" fillId="2" borderId="0" applyNumberFormat="0" applyBorder="0" applyAlignment="0" applyProtection="0"/>
    <xf numFmtId="0" fontId="2" fillId="0" borderId="0">
      <alignment vertical="center"/>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92">
    <xf numFmtId="0" fontId="0" fillId="0" borderId="0" xfId="0"/>
    <xf numFmtId="0" fontId="8" fillId="0" borderId="0" xfId="0" applyFont="1" applyAlignment="1">
      <alignment horizontal="center" wrapText="1"/>
    </xf>
    <xf numFmtId="0" fontId="8" fillId="0" borderId="0" xfId="0" applyFont="1"/>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xf numFmtId="0" fontId="11" fillId="0" borderId="3" xfId="0" applyFont="1" applyBorder="1"/>
    <xf numFmtId="2" fontId="9" fillId="3" borderId="1" xfId="2" applyNumberFormat="1" applyFont="1" applyFill="1" applyBorder="1" applyAlignment="1">
      <alignment horizontal="center" vertical="center" wrapText="1"/>
    </xf>
    <xf numFmtId="0" fontId="11" fillId="0" borderId="0" xfId="0" applyFont="1"/>
    <xf numFmtId="2" fontId="9" fillId="10" borderId="1" xfId="2"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10" borderId="1" xfId="2" applyFont="1" applyFill="1" applyBorder="1" applyAlignment="1">
      <alignment horizontal="center" vertical="center" wrapText="1"/>
    </xf>
    <xf numFmtId="2" fontId="4" fillId="10" borderId="0" xfId="2" applyNumberFormat="1" applyFont="1" applyFill="1" applyAlignment="1">
      <alignment horizontal="center" vertical="center"/>
    </xf>
    <xf numFmtId="0" fontId="4" fillId="10" borderId="0" xfId="2" applyFont="1" applyFill="1" applyAlignment="1">
      <alignment horizontal="center" vertical="center"/>
    </xf>
    <xf numFmtId="0" fontId="7" fillId="0" borderId="0" xfId="0" applyFont="1" applyAlignment="1">
      <alignment vertical="center"/>
    </xf>
    <xf numFmtId="0" fontId="9" fillId="11" borderId="1" xfId="2" applyFont="1" applyFill="1" applyBorder="1" applyAlignment="1">
      <alignment horizontal="center" vertical="center" wrapText="1"/>
    </xf>
    <xf numFmtId="2" fontId="4" fillId="11" borderId="0" xfId="2" applyNumberFormat="1" applyFont="1" applyFill="1" applyAlignment="1">
      <alignment horizontal="center" vertical="center"/>
    </xf>
    <xf numFmtId="0" fontId="10" fillId="0" borderId="1" xfId="2"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8" fillId="0" borderId="0" xfId="0" applyFont="1" applyAlignment="1" applyProtection="1">
      <alignment horizontal="center" wrapText="1"/>
      <protection locked="0"/>
    </xf>
    <xf numFmtId="0" fontId="9" fillId="13" borderId="1" xfId="2" applyFont="1" applyFill="1" applyBorder="1" applyAlignment="1" applyProtection="1">
      <alignment horizontal="center" vertical="center" wrapText="1"/>
      <protection locked="0"/>
    </xf>
    <xf numFmtId="0" fontId="9" fillId="4" borderId="1" xfId="2" applyFont="1" applyFill="1" applyBorder="1" applyAlignment="1" applyProtection="1">
      <alignment horizontal="center" vertical="center" wrapText="1"/>
      <protection locked="0"/>
    </xf>
    <xf numFmtId="0" fontId="9" fillId="5" borderId="1" xfId="2" applyFont="1" applyFill="1" applyBorder="1" applyAlignment="1" applyProtection="1">
      <alignment horizontal="center" vertical="center" wrapText="1"/>
      <protection locked="0"/>
    </xf>
    <xf numFmtId="0" fontId="9" fillId="6" borderId="1" xfId="2" applyFont="1" applyFill="1" applyBorder="1" applyAlignment="1" applyProtection="1">
      <alignment horizontal="center" vertical="center" wrapText="1"/>
      <protection locked="0"/>
    </xf>
    <xf numFmtId="0" fontId="9" fillId="7" borderId="1" xfId="2" applyFont="1" applyFill="1" applyBorder="1" applyAlignment="1" applyProtection="1">
      <alignment horizontal="center" vertical="center" wrapText="1"/>
      <protection locked="0"/>
    </xf>
    <xf numFmtId="0" fontId="9" fillId="11" borderId="1" xfId="2" applyFont="1" applyFill="1" applyBorder="1" applyAlignment="1" applyProtection="1">
      <alignment horizontal="center" vertical="center" wrapText="1"/>
      <protection locked="0"/>
    </xf>
    <xf numFmtId="164" fontId="3" fillId="13" borderId="0" xfId="2" applyNumberFormat="1" applyFont="1" applyFill="1" applyProtection="1">
      <alignment vertical="center"/>
      <protection locked="0"/>
    </xf>
    <xf numFmtId="164" fontId="3" fillId="4" borderId="0" xfId="2" applyNumberFormat="1" applyFont="1" applyFill="1" applyProtection="1">
      <alignment vertical="center"/>
      <protection locked="0"/>
    </xf>
    <xf numFmtId="164" fontId="3" fillId="5" borderId="0" xfId="2" applyNumberFormat="1" applyFont="1" applyFill="1" applyProtection="1">
      <alignment vertical="center"/>
      <protection locked="0"/>
    </xf>
    <xf numFmtId="164" fontId="3" fillId="6" borderId="0" xfId="2" applyNumberFormat="1" applyFont="1" applyFill="1" applyProtection="1">
      <alignment vertical="center"/>
      <protection locked="0"/>
    </xf>
    <xf numFmtId="164" fontId="3" fillId="6" borderId="0" xfId="2" applyNumberFormat="1" applyFont="1" applyFill="1" applyAlignment="1" applyProtection="1">
      <alignment horizontal="left" vertical="center"/>
      <protection locked="0"/>
    </xf>
    <xf numFmtId="2" fontId="4" fillId="6" borderId="0" xfId="2" applyNumberFormat="1" applyFont="1" applyFill="1" applyProtection="1">
      <alignment vertical="center"/>
      <protection locked="0"/>
    </xf>
    <xf numFmtId="2" fontId="4" fillId="6" borderId="0" xfId="2" applyNumberFormat="1" applyFont="1" applyFill="1" applyAlignment="1" applyProtection="1">
      <alignment horizontal="center" vertical="center"/>
      <protection locked="0"/>
    </xf>
    <xf numFmtId="0" fontId="4" fillId="7" borderId="0" xfId="2" applyFont="1" applyFill="1" applyAlignment="1" applyProtection="1">
      <alignment horizontal="left" vertical="center"/>
      <protection locked="0"/>
    </xf>
    <xf numFmtId="2" fontId="4" fillId="7" borderId="0" xfId="2" applyNumberFormat="1" applyFont="1" applyFill="1" applyAlignment="1" applyProtection="1">
      <alignment horizontal="center" vertical="center"/>
      <protection locked="0"/>
    </xf>
    <xf numFmtId="0" fontId="4" fillId="11" borderId="0" xfId="2" applyFont="1" applyFill="1" applyAlignment="1" applyProtection="1">
      <alignment horizontal="left" vertical="center"/>
      <protection locked="0"/>
    </xf>
    <xf numFmtId="2" fontId="4" fillId="11" borderId="0" xfId="2" applyNumberFormat="1" applyFont="1" applyFill="1" applyAlignment="1" applyProtection="1">
      <alignment horizontal="center" vertical="center"/>
      <protection locked="0"/>
    </xf>
    <xf numFmtId="0" fontId="10" fillId="12" borderId="2" xfId="0" applyFont="1" applyFill="1" applyBorder="1" applyAlignment="1" applyProtection="1">
      <alignment horizontal="center" vertical="center" wrapText="1"/>
      <protection locked="0"/>
    </xf>
    <xf numFmtId="2" fontId="9" fillId="12" borderId="1" xfId="2" applyNumberFormat="1" applyFont="1" applyFill="1" applyBorder="1" applyAlignment="1" applyProtection="1">
      <alignment horizontal="center" vertical="center" wrapText="1"/>
      <protection locked="0"/>
    </xf>
    <xf numFmtId="2" fontId="9" fillId="8" borderId="1" xfId="2"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wrapText="1"/>
      <protection locked="0"/>
    </xf>
    <xf numFmtId="2" fontId="9" fillId="9" borderId="1" xfId="2" applyNumberFormat="1" applyFont="1" applyFill="1" applyBorder="1" applyAlignment="1" applyProtection="1">
      <alignment horizontal="center" vertical="center" wrapText="1"/>
      <protection locked="0"/>
    </xf>
    <xf numFmtId="0" fontId="9" fillId="12" borderId="1" xfId="2" applyFont="1" applyFill="1" applyBorder="1" applyAlignment="1" applyProtection="1">
      <alignment horizontal="center" vertical="center" wrapText="1"/>
      <protection locked="0"/>
    </xf>
    <xf numFmtId="0" fontId="9" fillId="8" borderId="1" xfId="2" applyFont="1" applyFill="1" applyBorder="1" applyAlignment="1" applyProtection="1">
      <alignment horizontal="center" vertical="center" wrapText="1"/>
      <protection locked="0"/>
    </xf>
    <xf numFmtId="0" fontId="9" fillId="9" borderId="1" xfId="2" applyFont="1" applyFill="1" applyBorder="1" applyAlignment="1" applyProtection="1">
      <alignment horizontal="center" vertical="center" wrapText="1"/>
      <protection locked="0"/>
    </xf>
    <xf numFmtId="2" fontId="4" fillId="12" borderId="0" xfId="2" applyNumberFormat="1" applyFont="1" applyFill="1" applyAlignment="1" applyProtection="1">
      <alignment horizontal="center" vertical="center"/>
      <protection locked="0"/>
    </xf>
    <xf numFmtId="2" fontId="4" fillId="8" borderId="0" xfId="2" applyNumberFormat="1" applyFont="1" applyFill="1" applyAlignment="1" applyProtection="1">
      <alignment horizontal="center" vertical="center"/>
      <protection locked="0"/>
    </xf>
    <xf numFmtId="2" fontId="4" fillId="9" borderId="0" xfId="2" applyNumberFormat="1" applyFont="1" applyFill="1" applyAlignment="1" applyProtection="1">
      <alignment horizontal="center" vertical="center"/>
      <protection locked="0"/>
    </xf>
    <xf numFmtId="0" fontId="10" fillId="10" borderId="1" xfId="0" applyFont="1" applyFill="1" applyBorder="1" applyAlignment="1" applyProtection="1">
      <alignment horizontal="center" vertical="center" wrapText="1"/>
      <protection locked="0"/>
    </xf>
    <xf numFmtId="0" fontId="10" fillId="14" borderId="1" xfId="0" applyFont="1" applyFill="1" applyBorder="1" applyAlignment="1" applyProtection="1">
      <alignment horizontal="center" vertical="center" wrapText="1"/>
      <protection locked="0"/>
    </xf>
    <xf numFmtId="0" fontId="10" fillId="14" borderId="1" xfId="0" applyFont="1" applyFill="1" applyBorder="1" applyAlignment="1" applyProtection="1">
      <alignment horizontal="center" vertical="center"/>
      <protection locked="0"/>
    </xf>
    <xf numFmtId="0" fontId="9" fillId="14" borderId="1" xfId="2" applyFont="1" applyFill="1" applyBorder="1" applyAlignment="1" applyProtection="1">
      <alignment horizontal="center" vertical="center" wrapText="1"/>
      <protection locked="0"/>
    </xf>
    <xf numFmtId="0" fontId="0" fillId="10" borderId="0" xfId="0" applyFill="1" applyProtection="1">
      <protection locked="0"/>
    </xf>
    <xf numFmtId="0" fontId="0" fillId="14" borderId="0" xfId="0" applyFill="1" applyProtection="1">
      <protection locked="0"/>
    </xf>
    <xf numFmtId="2" fontId="0" fillId="0" borderId="0" xfId="0" applyNumberFormat="1"/>
    <xf numFmtId="1" fontId="0" fillId="0" borderId="0" xfId="0" applyNumberFormat="1"/>
    <xf numFmtId="2" fontId="3" fillId="4" borderId="0" xfId="2" applyNumberFormat="1" applyFont="1" applyFill="1" applyProtection="1">
      <alignment vertical="center"/>
      <protection locked="0"/>
    </xf>
    <xf numFmtId="2" fontId="3" fillId="5" borderId="0" xfId="2" applyNumberFormat="1" applyFont="1" applyFill="1" applyProtection="1">
      <alignment vertical="center"/>
      <protection locked="0"/>
    </xf>
    <xf numFmtId="0" fontId="10" fillId="5" borderId="1" xfId="0" applyFont="1" applyFill="1" applyBorder="1" applyAlignment="1" applyProtection="1">
      <alignment horizontal="center" vertical="center" wrapText="1"/>
      <protection locked="0"/>
    </xf>
    <xf numFmtId="2" fontId="4" fillId="7" borderId="0" xfId="2" applyNumberFormat="1" applyFont="1" applyFill="1" applyAlignment="1" applyProtection="1">
      <alignment horizontal="left" vertical="center"/>
      <protection locked="0"/>
    </xf>
    <xf numFmtId="2" fontId="4" fillId="11" borderId="0" xfId="2" applyNumberFormat="1" applyFont="1" applyFill="1" applyAlignment="1" applyProtection="1">
      <alignment horizontal="left" vertical="center"/>
      <protection locked="0"/>
    </xf>
    <xf numFmtId="0" fontId="3" fillId="13" borderId="1" xfId="2" applyFont="1" applyFill="1" applyBorder="1" applyAlignment="1" applyProtection="1">
      <alignment horizontal="center" vertical="center" wrapText="1"/>
      <protection locked="0"/>
    </xf>
    <xf numFmtId="0" fontId="3" fillId="4" borderId="1" xfId="2" applyFont="1" applyFill="1" applyBorder="1" applyAlignment="1" applyProtection="1">
      <alignment horizontal="center" vertical="center" wrapText="1"/>
      <protection locked="0"/>
    </xf>
    <xf numFmtId="0" fontId="3" fillId="5" borderId="1" xfId="2" applyFont="1" applyFill="1" applyBorder="1" applyAlignment="1" applyProtection="1">
      <alignment horizontal="center" vertical="center" wrapText="1"/>
      <protection locked="0"/>
    </xf>
    <xf numFmtId="0" fontId="3" fillId="6" borderId="1" xfId="2" applyFont="1" applyFill="1" applyBorder="1" applyAlignment="1" applyProtection="1">
      <alignment horizontal="center" vertical="center" wrapText="1"/>
      <protection locked="0"/>
    </xf>
    <xf numFmtId="0" fontId="3" fillId="7" borderId="1" xfId="2" applyFont="1" applyFill="1" applyBorder="1" applyAlignment="1" applyProtection="1">
      <alignment horizontal="center" vertical="center" wrapText="1"/>
      <protection locked="0"/>
    </xf>
    <xf numFmtId="0" fontId="3" fillId="11" borderId="1" xfId="2" applyFont="1" applyFill="1" applyBorder="1" applyAlignment="1" applyProtection="1">
      <alignment horizontal="center" vertical="center" wrapText="1"/>
      <protection locked="0"/>
    </xf>
    <xf numFmtId="0" fontId="3" fillId="11" borderId="1" xfId="2" applyFont="1" applyFill="1" applyBorder="1" applyAlignment="1">
      <alignment horizontal="center" vertical="center" wrapText="1"/>
    </xf>
    <xf numFmtId="0" fontId="3" fillId="12" borderId="1" xfId="2"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3" fillId="8" borderId="1" xfId="2" applyFont="1" applyFill="1" applyBorder="1" applyAlignment="1" applyProtection="1">
      <alignment horizontal="center" vertical="center" wrapText="1"/>
      <protection locked="0"/>
    </xf>
    <xf numFmtId="0" fontId="3" fillId="9" borderId="1" xfId="2" applyFont="1" applyFill="1" applyBorder="1" applyAlignment="1" applyProtection="1">
      <alignment horizontal="center" vertical="center" wrapText="1"/>
      <protection locked="0"/>
    </xf>
    <xf numFmtId="0" fontId="3" fillId="10" borderId="1" xfId="2"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3" fillId="14" borderId="1" xfId="2" applyFont="1" applyFill="1" applyBorder="1" applyAlignment="1" applyProtection="1">
      <alignment horizontal="center" vertical="center" wrapText="1"/>
      <protection locked="0"/>
    </xf>
    <xf numFmtId="0" fontId="0" fillId="0" borderId="0" xfId="0" applyAlignment="1">
      <alignment wrapText="1"/>
    </xf>
    <xf numFmtId="0" fontId="19" fillId="0" borderId="0" xfId="0" applyFont="1" applyAlignment="1">
      <alignment horizontal="center"/>
    </xf>
    <xf numFmtId="0" fontId="21" fillId="15" borderId="5" xfId="0" applyFont="1" applyFill="1" applyBorder="1" applyAlignment="1">
      <alignment horizontal="center" vertical="center"/>
    </xf>
    <xf numFmtId="0" fontId="21" fillId="15" borderId="3" xfId="0" applyFont="1" applyFill="1" applyBorder="1" applyAlignment="1">
      <alignment horizontal="center" vertical="center"/>
    </xf>
    <xf numFmtId="49" fontId="21" fillId="15" borderId="3" xfId="0" applyNumberFormat="1" applyFont="1" applyFill="1" applyBorder="1" applyAlignment="1">
      <alignment horizontal="center" vertical="center" wrapText="1"/>
    </xf>
    <xf numFmtId="0" fontId="3" fillId="13" borderId="5" xfId="2" applyFont="1" applyFill="1" applyBorder="1" applyAlignment="1" applyProtection="1">
      <alignment horizontal="center" vertical="center" wrapText="1"/>
      <protection locked="0"/>
    </xf>
    <xf numFmtId="0" fontId="3" fillId="4" borderId="5" xfId="2" applyFont="1" applyFill="1" applyBorder="1" applyAlignment="1" applyProtection="1">
      <alignment horizontal="center" vertical="center" wrapText="1"/>
      <protection locked="0"/>
    </xf>
    <xf numFmtId="0" fontId="3" fillId="5" borderId="5" xfId="2"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3" fillId="6" borderId="5" xfId="2" applyFont="1" applyFill="1" applyBorder="1" applyAlignment="1" applyProtection="1">
      <alignment horizontal="center" vertical="center" wrapText="1"/>
      <protection locked="0"/>
    </xf>
    <xf numFmtId="0" fontId="8" fillId="6" borderId="5" xfId="2" applyFont="1" applyFill="1" applyBorder="1" applyAlignment="1" applyProtection="1">
      <alignment horizontal="center" vertical="center" wrapText="1"/>
      <protection locked="0"/>
    </xf>
    <xf numFmtId="0" fontId="3" fillId="7" borderId="5" xfId="2" applyFont="1" applyFill="1" applyBorder="1" applyAlignment="1" applyProtection="1">
      <alignment horizontal="center" vertical="center" wrapText="1"/>
      <protection locked="0"/>
    </xf>
    <xf numFmtId="0" fontId="3" fillId="11" borderId="5" xfId="2" applyFont="1" applyFill="1" applyBorder="1" applyAlignment="1" applyProtection="1">
      <alignment horizontal="center" vertical="center" wrapText="1"/>
      <protection locked="0"/>
    </xf>
    <xf numFmtId="0" fontId="3" fillId="11" borderId="5" xfId="2" applyFont="1" applyFill="1" applyBorder="1" applyAlignment="1">
      <alignment horizontal="center" vertical="center" wrapText="1"/>
    </xf>
    <xf numFmtId="2" fontId="3" fillId="12" borderId="5" xfId="2" applyNumberFormat="1" applyFont="1" applyFill="1" applyBorder="1" applyAlignment="1" applyProtection="1">
      <alignment horizontal="center" vertical="center" wrapText="1"/>
      <protection locked="0"/>
    </xf>
    <xf numFmtId="2" fontId="3" fillId="8" borderId="5" xfId="2" applyNumberFormat="1"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wrapText="1"/>
      <protection locked="0"/>
    </xf>
    <xf numFmtId="2" fontId="3" fillId="9" borderId="5" xfId="2" applyNumberFormat="1" applyFont="1" applyFill="1" applyBorder="1" applyAlignment="1" applyProtection="1">
      <alignment horizontal="center" vertical="center" wrapText="1"/>
      <protection locked="0"/>
    </xf>
    <xf numFmtId="2" fontId="3" fillId="10" borderId="5" xfId="2" applyNumberFormat="1"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5" xfId="0" applyFont="1" applyFill="1" applyBorder="1" applyAlignment="1" applyProtection="1">
      <alignment horizontal="center" vertical="center" wrapText="1"/>
      <protection locked="0"/>
    </xf>
    <xf numFmtId="0" fontId="8" fillId="14" borderId="5" xfId="0" applyFont="1" applyFill="1" applyBorder="1" applyAlignment="1" applyProtection="1">
      <alignment horizontal="center" vertical="center" wrapText="1"/>
      <protection locked="0"/>
    </xf>
    <xf numFmtId="0" fontId="8" fillId="14" borderId="5" xfId="0" applyFont="1" applyFill="1" applyBorder="1" applyAlignment="1" applyProtection="1">
      <alignment horizontal="center" vertical="center"/>
      <protection locked="0"/>
    </xf>
    <xf numFmtId="0" fontId="0" fillId="0" borderId="0" xfId="0" applyAlignment="1">
      <alignment horizontal="center"/>
    </xf>
    <xf numFmtId="0" fontId="19" fillId="13" borderId="1" xfId="0" applyFont="1" applyFill="1" applyBorder="1" applyAlignment="1">
      <alignment horizontal="center"/>
    </xf>
    <xf numFmtId="0" fontId="19" fillId="4" borderId="1" xfId="0" applyFont="1" applyFill="1" applyBorder="1" applyAlignment="1">
      <alignment horizontal="center"/>
    </xf>
    <xf numFmtId="0" fontId="19" fillId="8" borderId="1" xfId="0" applyFont="1" applyFill="1" applyBorder="1" applyAlignment="1">
      <alignment horizontal="center"/>
    </xf>
    <xf numFmtId="0" fontId="19" fillId="5" borderId="1" xfId="0" applyFont="1" applyFill="1" applyBorder="1" applyAlignment="1">
      <alignment horizontal="center"/>
    </xf>
    <xf numFmtId="0" fontId="19" fillId="6" borderId="1" xfId="0" applyFont="1" applyFill="1" applyBorder="1" applyAlignment="1">
      <alignment horizontal="center"/>
    </xf>
    <xf numFmtId="0" fontId="19" fillId="7" borderId="1" xfId="0" applyFont="1" applyFill="1" applyBorder="1" applyAlignment="1">
      <alignment horizontal="center"/>
    </xf>
    <xf numFmtId="0" fontId="19" fillId="11" borderId="1" xfId="0" applyFont="1" applyFill="1" applyBorder="1" applyAlignment="1">
      <alignment horizontal="center"/>
    </xf>
    <xf numFmtId="0" fontId="19" fillId="12" borderId="1" xfId="0" applyFont="1" applyFill="1" applyBorder="1" applyAlignment="1">
      <alignment horizontal="center"/>
    </xf>
    <xf numFmtId="0" fontId="19" fillId="9" borderId="1" xfId="0" applyFont="1" applyFill="1" applyBorder="1" applyAlignment="1">
      <alignment horizontal="center"/>
    </xf>
    <xf numFmtId="0" fontId="19" fillId="14" borderId="1" xfId="0" applyFont="1" applyFill="1" applyBorder="1" applyAlignment="1">
      <alignment horizontal="center"/>
    </xf>
    <xf numFmtId="0" fontId="19" fillId="10" borderId="1" xfId="0" applyFont="1" applyFill="1" applyBorder="1" applyAlignment="1">
      <alignment horizontal="center"/>
    </xf>
    <xf numFmtId="0" fontId="8" fillId="6" borderId="0" xfId="0" applyFont="1" applyFill="1" applyAlignment="1" applyProtection="1">
      <alignment horizontal="left"/>
      <protection locked="0"/>
    </xf>
    <xf numFmtId="2" fontId="8" fillId="6" borderId="0" xfId="0" applyNumberFormat="1" applyFont="1" applyFill="1" applyAlignment="1" applyProtection="1">
      <alignment horizontal="center"/>
      <protection locked="0"/>
    </xf>
    <xf numFmtId="0" fontId="8" fillId="7" borderId="0" xfId="0" applyFont="1" applyFill="1" applyAlignment="1" applyProtection="1">
      <alignment horizontal="center"/>
      <protection locked="0"/>
    </xf>
    <xf numFmtId="2" fontId="8" fillId="11" borderId="0" xfId="0" applyNumberFormat="1" applyFont="1" applyFill="1" applyAlignment="1" applyProtection="1">
      <alignment horizontal="center"/>
      <protection locked="0"/>
    </xf>
    <xf numFmtId="0" fontId="8" fillId="8" borderId="0" xfId="0" applyFont="1" applyFill="1" applyAlignment="1" applyProtection="1">
      <alignment horizontal="left"/>
      <protection locked="0"/>
    </xf>
    <xf numFmtId="0" fontId="8" fillId="0" borderId="0" xfId="0" applyFont="1" applyAlignment="1">
      <alignment vertical="center"/>
    </xf>
    <xf numFmtId="0" fontId="8" fillId="12" borderId="0" xfId="2" applyFont="1" applyFill="1" applyAlignment="1" applyProtection="1">
      <alignment horizontal="center" vertical="center"/>
      <protection locked="0"/>
    </xf>
    <xf numFmtId="2" fontId="8" fillId="12" borderId="0" xfId="2" applyNumberFormat="1" applyFont="1" applyFill="1" applyAlignment="1" applyProtection="1">
      <alignment horizontal="center" vertical="center"/>
      <protection locked="0"/>
    </xf>
    <xf numFmtId="0" fontId="10" fillId="6" borderId="1" xfId="2" applyFont="1" applyFill="1" applyBorder="1" applyAlignment="1" applyProtection="1">
      <alignment horizontal="center" vertical="center" wrapText="1"/>
      <protection locked="0"/>
    </xf>
    <xf numFmtId="49" fontId="8" fillId="8" borderId="0" xfId="2" applyNumberFormat="1" applyFont="1" applyFill="1" applyAlignment="1" applyProtection="1">
      <alignment horizontal="center" vertical="center"/>
      <protection locked="0"/>
    </xf>
    <xf numFmtId="0" fontId="23" fillId="0" borderId="0" xfId="0" applyFont="1"/>
    <xf numFmtId="0" fontId="8" fillId="11" borderId="0" xfId="2" applyFont="1" applyFill="1" applyAlignment="1" applyProtection="1">
      <alignment horizontal="center" vertical="center"/>
      <protection locked="0"/>
    </xf>
    <xf numFmtId="0" fontId="24" fillId="13" borderId="0" xfId="0" applyFont="1" applyFill="1" applyProtection="1">
      <protection locked="0"/>
    </xf>
    <xf numFmtId="0" fontId="24" fillId="13" borderId="0" xfId="0" applyFont="1" applyFill="1" applyAlignment="1" applyProtection="1">
      <alignment horizontal="right"/>
      <protection locked="0"/>
    </xf>
    <xf numFmtId="0" fontId="8" fillId="4" borderId="0" xfId="2" applyFont="1" applyFill="1" applyAlignment="1" applyProtection="1">
      <alignment horizontal="left" vertical="center"/>
      <protection locked="0"/>
    </xf>
    <xf numFmtId="164" fontId="8" fillId="4" borderId="0" xfId="2" applyNumberFormat="1" applyFont="1" applyFill="1" applyProtection="1">
      <alignment vertical="center"/>
      <protection locked="0"/>
    </xf>
    <xf numFmtId="165" fontId="24" fillId="16" borderId="0" xfId="0" applyNumberFormat="1" applyFont="1" applyFill="1" applyAlignment="1" applyProtection="1">
      <alignment horizontal="left"/>
      <protection locked="0"/>
    </xf>
    <xf numFmtId="0" fontId="8" fillId="5" borderId="0" xfId="2" applyFont="1" applyFill="1" applyAlignment="1" applyProtection="1">
      <alignment horizontal="center" vertical="center"/>
      <protection locked="0"/>
    </xf>
    <xf numFmtId="1" fontId="8" fillId="5" borderId="0" xfId="2" applyNumberFormat="1" applyFont="1" applyFill="1" applyAlignment="1" applyProtection="1">
      <alignment horizontal="left" vertical="center"/>
      <protection locked="0"/>
    </xf>
    <xf numFmtId="0" fontId="8" fillId="6" borderId="0" xfId="2" applyFont="1" applyFill="1" applyAlignment="1" applyProtection="1">
      <alignment horizontal="center" vertical="center"/>
      <protection locked="0"/>
    </xf>
    <xf numFmtId="2" fontId="8" fillId="6" borderId="0" xfId="2" applyNumberFormat="1" applyFont="1" applyFill="1" applyAlignment="1" applyProtection="1">
      <alignment horizontal="center" vertical="center"/>
      <protection locked="0"/>
    </xf>
    <xf numFmtId="0" fontId="8" fillId="7" borderId="0" xfId="2" applyFont="1" applyFill="1" applyAlignment="1" applyProtection="1">
      <alignment horizontal="center" vertical="center"/>
      <protection locked="0"/>
    </xf>
    <xf numFmtId="2" fontId="8" fillId="7" borderId="0" xfId="2" applyNumberFormat="1" applyFont="1" applyFill="1" applyAlignment="1" applyProtection="1">
      <alignment horizontal="center" vertical="center"/>
      <protection locked="0"/>
    </xf>
    <xf numFmtId="2" fontId="8" fillId="11" borderId="0" xfId="2" applyNumberFormat="1" applyFont="1" applyFill="1" applyAlignment="1" applyProtection="1">
      <alignment horizontal="center" vertical="center"/>
      <protection locked="0"/>
    </xf>
    <xf numFmtId="2" fontId="8" fillId="11" borderId="0" xfId="2" applyNumberFormat="1" applyFont="1" applyFill="1" applyAlignment="1">
      <alignment horizontal="center" vertical="center"/>
    </xf>
    <xf numFmtId="0" fontId="8" fillId="8" borderId="0" xfId="2" applyFont="1" applyFill="1" applyAlignment="1" applyProtection="1">
      <alignment horizontal="center" vertical="center"/>
      <protection locked="0"/>
    </xf>
    <xf numFmtId="0" fontId="8" fillId="9" borderId="0" xfId="2" applyFont="1" applyFill="1" applyAlignment="1" applyProtection="1">
      <alignment horizontal="center" vertical="center"/>
      <protection locked="0"/>
    </xf>
    <xf numFmtId="0" fontId="8" fillId="10" borderId="0" xfId="2" applyFont="1" applyFill="1" applyAlignment="1">
      <alignment horizontal="center" vertical="center"/>
    </xf>
    <xf numFmtId="0" fontId="0" fillId="0" borderId="0" xfId="0" applyProtection="1">
      <protection locked="0"/>
    </xf>
    <xf numFmtId="49" fontId="8" fillId="0" borderId="0" xfId="0" applyNumberFormat="1" applyFont="1" applyAlignment="1" applyProtection="1">
      <alignment horizontal="center" wrapText="1"/>
      <protection locked="0"/>
    </xf>
    <xf numFmtId="0" fontId="9" fillId="0" borderId="4" xfId="2" applyFont="1" applyBorder="1" applyAlignment="1" applyProtection="1">
      <alignment horizontal="center" vertical="center" wrapText="1"/>
      <protection locked="0"/>
    </xf>
    <xf numFmtId="0" fontId="9" fillId="0" borderId="6" xfId="2" applyFont="1" applyBorder="1" applyAlignment="1" applyProtection="1">
      <alignment horizontal="center" vertical="center" wrapText="1"/>
      <protection locked="0"/>
    </xf>
    <xf numFmtId="1" fontId="8" fillId="0" borderId="0" xfId="0" applyNumberFormat="1" applyFont="1" applyAlignment="1" applyProtection="1">
      <alignment horizontal="center" wrapText="1"/>
      <protection locked="0"/>
    </xf>
    <xf numFmtId="0" fontId="23" fillId="0" borderId="0" xfId="0" applyFont="1" applyProtection="1">
      <protection locked="0"/>
    </xf>
    <xf numFmtId="1" fontId="8" fillId="19" borderId="0" xfId="2" applyNumberFormat="1" applyFont="1" applyFill="1" applyAlignment="1" applyProtection="1">
      <alignment horizontal="left" vertical="center"/>
      <protection locked="0"/>
    </xf>
    <xf numFmtId="0" fontId="8" fillId="6" borderId="0" xfId="2" applyFont="1" applyFill="1" applyProtection="1">
      <alignment vertical="center"/>
      <protection locked="0"/>
    </xf>
    <xf numFmtId="0" fontId="0" fillId="14" borderId="0" xfId="0" applyFill="1" applyAlignment="1" applyProtection="1">
      <alignment horizontal="right"/>
      <protection locked="0"/>
    </xf>
    <xf numFmtId="0" fontId="8" fillId="16" borderId="0" xfId="0" applyFont="1" applyFill="1" applyAlignment="1" applyProtection="1">
      <alignment horizontal="left" vertical="center"/>
      <protection locked="0"/>
    </xf>
    <xf numFmtId="0" fontId="8" fillId="6" borderId="0" xfId="2" applyFont="1" applyFill="1" applyAlignment="1" applyProtection="1">
      <alignment horizontal="left" vertical="center"/>
      <protection locked="0"/>
    </xf>
    <xf numFmtId="165" fontId="24" fillId="4" borderId="0" xfId="0" applyNumberFormat="1" applyFont="1" applyFill="1" applyAlignment="1" applyProtection="1">
      <alignment horizontal="left"/>
      <protection locked="0"/>
    </xf>
    <xf numFmtId="1" fontId="8" fillId="5" borderId="0" xfId="1" applyNumberFormat="1" applyFont="1" applyFill="1" applyBorder="1" applyAlignment="1" applyProtection="1">
      <alignment horizontal="left" vertical="center"/>
      <protection locked="0"/>
    </xf>
    <xf numFmtId="2" fontId="8" fillId="8" borderId="0" xfId="2" applyNumberFormat="1" applyFont="1" applyFill="1" applyAlignment="1" applyProtection="1">
      <alignment horizontal="center" vertical="center"/>
      <protection locked="0"/>
    </xf>
    <xf numFmtId="164" fontId="8" fillId="6" borderId="0" xfId="2" applyNumberFormat="1" applyFont="1" applyFill="1" applyProtection="1">
      <alignment vertical="center"/>
      <protection locked="0"/>
    </xf>
    <xf numFmtId="0" fontId="8" fillId="17" borderId="0" xfId="0" applyFont="1" applyFill="1" applyAlignment="1" applyProtection="1">
      <alignment horizontal="center" vertical="center"/>
      <protection locked="0"/>
    </xf>
    <xf numFmtId="0" fontId="8" fillId="6" borderId="0" xfId="2" applyFont="1" applyFill="1" applyAlignment="1" applyProtection="1">
      <alignment horizontal="center" vertical="center" wrapText="1"/>
      <protection locked="0"/>
    </xf>
    <xf numFmtId="2" fontId="8" fillId="6" borderId="0" xfId="2" applyNumberFormat="1" applyFont="1" applyFill="1" applyAlignment="1" applyProtection="1">
      <alignment horizontal="center" vertical="center" wrapText="1"/>
      <protection locked="0"/>
    </xf>
    <xf numFmtId="164" fontId="8" fillId="6" borderId="0" xfId="2" applyNumberFormat="1" applyFont="1" applyFill="1" applyAlignment="1" applyProtection="1">
      <alignment horizontal="left" vertical="center"/>
      <protection locked="0"/>
    </xf>
    <xf numFmtId="0" fontId="8" fillId="4" borderId="0" xfId="1" applyNumberFormat="1" applyFont="1" applyFill="1" applyBorder="1" applyAlignment="1" applyProtection="1">
      <alignment horizontal="left" vertical="center"/>
      <protection locked="0"/>
    </xf>
    <xf numFmtId="0" fontId="8" fillId="18" borderId="0" xfId="0" applyFont="1" applyFill="1" applyAlignment="1" applyProtection="1">
      <alignment horizontal="center" vertical="center"/>
      <protection locked="0"/>
    </xf>
    <xf numFmtId="0" fontId="8" fillId="7" borderId="0" xfId="2" applyFont="1" applyFill="1" applyAlignment="1" applyProtection="1">
      <alignment horizontal="left" vertical="center"/>
      <protection locked="0"/>
    </xf>
    <xf numFmtId="0" fontId="24" fillId="16" borderId="0" xfId="0" applyFont="1" applyFill="1" applyAlignment="1" applyProtection="1">
      <alignment horizontal="left"/>
      <protection locked="0"/>
    </xf>
    <xf numFmtId="1" fontId="8" fillId="19" borderId="0" xfId="2" applyNumberFormat="1" applyFont="1" applyFill="1" applyAlignment="1" applyProtection="1">
      <alignment horizontal="left"/>
      <protection locked="0"/>
    </xf>
    <xf numFmtId="0" fontId="8" fillId="19" borderId="0" xfId="2" applyFont="1" applyFill="1" applyAlignment="1" applyProtection="1">
      <alignment horizontal="center" vertical="center"/>
      <protection locked="0"/>
    </xf>
    <xf numFmtId="2" fontId="8" fillId="10" borderId="0" xfId="2" applyNumberFormat="1" applyFont="1" applyFill="1" applyAlignment="1">
      <alignment horizontal="center" vertical="center"/>
    </xf>
    <xf numFmtId="49" fontId="24" fillId="13" borderId="0" xfId="0" applyNumberFormat="1" applyFont="1" applyFill="1" applyProtection="1">
      <protection locked="0"/>
    </xf>
    <xf numFmtId="1" fontId="8" fillId="0" borderId="0" xfId="0" applyNumberFormat="1" applyFont="1" applyAlignment="1">
      <alignment horizontal="center" wrapText="1"/>
    </xf>
    <xf numFmtId="0" fontId="8" fillId="0" borderId="0" xfId="0" applyFont="1" applyProtection="1">
      <protection locked="0"/>
    </xf>
    <xf numFmtId="164" fontId="16" fillId="13"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11" borderId="2" xfId="0" applyFont="1" applyFill="1" applyBorder="1" applyAlignment="1">
      <alignment horizontal="center" vertical="center" wrapText="1"/>
    </xf>
    <xf numFmtId="2" fontId="18" fillId="12" borderId="2" xfId="2" applyNumberFormat="1"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1" borderId="2" xfId="0" applyFont="1" applyFill="1" applyBorder="1" applyAlignment="1">
      <alignment horizontal="center" vertical="center"/>
    </xf>
    <xf numFmtId="164" fontId="14" fillId="13" borderId="2" xfId="2" applyNumberFormat="1" applyFont="1" applyFill="1" applyBorder="1" applyAlignment="1">
      <alignment horizontal="center" vertical="center"/>
    </xf>
    <xf numFmtId="0" fontId="13" fillId="4"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6" borderId="2" xfId="0" applyFont="1" applyFill="1" applyBorder="1" applyAlignment="1">
      <alignment horizontal="center" vertical="center"/>
    </xf>
    <xf numFmtId="0" fontId="13" fillId="7" borderId="2" xfId="0" applyFont="1" applyFill="1" applyBorder="1" applyAlignment="1">
      <alignment horizontal="center" vertical="center" wrapText="1"/>
    </xf>
    <xf numFmtId="2" fontId="15" fillId="12" borderId="2" xfId="2" applyNumberFormat="1" applyFont="1" applyFill="1" applyBorder="1" applyAlignment="1">
      <alignment horizontal="center" vertical="center"/>
    </xf>
    <xf numFmtId="2" fontId="15" fillId="8" borderId="2" xfId="2" applyNumberFormat="1" applyFont="1" applyFill="1" applyBorder="1" applyAlignment="1">
      <alignment horizontal="center" vertical="center"/>
    </xf>
    <xf numFmtId="2" fontId="15" fillId="9" borderId="2" xfId="2" applyNumberFormat="1" applyFont="1" applyFill="1" applyBorder="1" applyAlignment="1">
      <alignment horizontal="center" vertical="center" wrapText="1"/>
    </xf>
    <xf numFmtId="2" fontId="15" fillId="10" borderId="2" xfId="2" applyNumberFormat="1" applyFont="1" applyFill="1" applyBorder="1" applyAlignment="1">
      <alignment horizontal="center" vertical="center"/>
    </xf>
    <xf numFmtId="0" fontId="25" fillId="0" borderId="0" xfId="0" applyFont="1" applyAlignment="1">
      <alignment horizontal="justify" vertical="center"/>
    </xf>
    <xf numFmtId="0" fontId="0" fillId="0" borderId="0" xfId="0" applyFill="1"/>
  </cellXfs>
  <cellStyles count="19">
    <cellStyle name="Followed Hyperlink" xfId="8" builtinId="9" hidden="1"/>
    <cellStyle name="Followed Hyperlink" xfId="10" builtinId="9" hidden="1"/>
    <cellStyle name="Followed Hyperlink" xfId="4" builtinId="9" hidden="1"/>
    <cellStyle name="Followed Hyperlink" xfId="6" builtinId="9" hidden="1"/>
    <cellStyle name="Followed Hyperlink" xfId="18" builtinId="9" hidden="1"/>
    <cellStyle name="Followed Hyperlink" xfId="16" builtinId="9" hidden="1"/>
    <cellStyle name="Followed Hyperlink" xfId="14" builtinId="9" hidden="1"/>
    <cellStyle name="Followed Hyperlink" xfId="12" builtinId="9" hidden="1"/>
    <cellStyle name="Hyperlink" xfId="5" builtinId="8" hidden="1"/>
    <cellStyle name="Hyperlink" xfId="11" builtinId="8" hidden="1"/>
    <cellStyle name="Hyperlink" xfId="3" builtinId="8" hidden="1"/>
    <cellStyle name="Hyperlink" xfId="15" builtinId="8" hidden="1"/>
    <cellStyle name="Hyperlink" xfId="7" builtinId="8" hidden="1"/>
    <cellStyle name="Hyperlink" xfId="9" builtinId="8" hidden="1"/>
    <cellStyle name="Hyperlink" xfId="17" builtinId="8" hidden="1"/>
    <cellStyle name="Hyperlink" xfId="13" builtinId="8" hidden="1"/>
    <cellStyle name="Neutral" xfId="1" builtinId="28"/>
    <cellStyle name="Normal" xfId="0" builtinId="0"/>
    <cellStyle name="Normal_LA 2" xfId="2" xr:uid="{00000000-0005-0000-0000-000012000000}"/>
  </cellStyles>
  <dxfs count="0"/>
  <tableStyles count="0" defaultTableStyle="TableStyleMedium9" defaultPivotStyle="PivotStyleMedium7"/>
  <colors>
    <mruColors>
      <color rgb="FFEAF7B5"/>
      <color rgb="FFD8D1FF"/>
      <color rgb="FFF9D6CB"/>
      <color rgb="FFCFC8F2"/>
      <color rgb="FFCBDCFF"/>
      <color rgb="FFFFD7EC"/>
      <color rgb="FFFDE5D7"/>
      <color rgb="FF942092"/>
      <color rgb="FF94F5D0"/>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opLeftCell="A58" zoomScale="103" workbookViewId="0">
      <selection activeCell="C20" sqref="C20"/>
    </sheetView>
    <sheetView workbookViewId="1"/>
  </sheetViews>
  <sheetFormatPr baseColWidth="10" defaultColWidth="11" defaultRowHeight="16"/>
  <cols>
    <col min="1" max="1" width="24.5" style="76" customWidth="1"/>
    <col min="2" max="2" width="5.1640625" customWidth="1"/>
    <col min="3" max="3" width="44.83203125" bestFit="1" customWidth="1"/>
    <col min="4" max="4" width="15.5" style="99" customWidth="1"/>
    <col min="5" max="5" width="8.83203125" customWidth="1"/>
  </cols>
  <sheetData>
    <row r="1" spans="1:6" ht="47" customHeight="1">
      <c r="A1" s="78" t="s">
        <v>0</v>
      </c>
      <c r="B1" s="79" t="s">
        <v>1</v>
      </c>
      <c r="C1" s="79" t="s">
        <v>2</v>
      </c>
      <c r="D1" s="80" t="s">
        <v>3</v>
      </c>
      <c r="E1" s="79" t="s">
        <v>4</v>
      </c>
    </row>
    <row r="2" spans="1:6" ht="17">
      <c r="A2" s="168" t="s">
        <v>5</v>
      </c>
      <c r="B2" s="62">
        <v>1</v>
      </c>
      <c r="C2" s="81" t="s">
        <v>6</v>
      </c>
      <c r="D2" s="100" t="s">
        <v>7</v>
      </c>
      <c r="E2" s="100" t="s">
        <v>8</v>
      </c>
      <c r="F2" s="77"/>
    </row>
    <row r="3" spans="1:6" ht="17">
      <c r="A3" s="168"/>
      <c r="B3" s="62">
        <v>2</v>
      </c>
      <c r="C3" s="81" t="s">
        <v>9</v>
      </c>
      <c r="D3" s="100" t="s">
        <v>7</v>
      </c>
      <c r="E3" s="100" t="s">
        <v>8</v>
      </c>
      <c r="F3" s="77"/>
    </row>
    <row r="4" spans="1:6" ht="17">
      <c r="A4" s="173" t="s">
        <v>10</v>
      </c>
      <c r="B4" s="63">
        <v>3</v>
      </c>
      <c r="C4" s="82" t="s">
        <v>11</v>
      </c>
      <c r="D4" s="101" t="s">
        <v>12</v>
      </c>
      <c r="E4" s="101" t="s">
        <v>8</v>
      </c>
      <c r="F4" s="77"/>
    </row>
    <row r="5" spans="1:6" ht="17">
      <c r="A5" s="173"/>
      <c r="B5" s="63">
        <v>4</v>
      </c>
      <c r="C5" s="82" t="s">
        <v>13</v>
      </c>
      <c r="D5" s="101" t="s">
        <v>12</v>
      </c>
      <c r="E5" s="101" t="s">
        <v>8</v>
      </c>
      <c r="F5" s="77"/>
    </row>
    <row r="6" spans="1:6" ht="17">
      <c r="A6" s="173"/>
      <c r="B6" s="63">
        <v>5</v>
      </c>
      <c r="C6" s="82" t="s">
        <v>14</v>
      </c>
      <c r="D6" s="101" t="s">
        <v>7</v>
      </c>
      <c r="E6" s="101" t="s">
        <v>15</v>
      </c>
      <c r="F6" s="77"/>
    </row>
    <row r="7" spans="1:6" ht="17">
      <c r="A7" s="173"/>
      <c r="B7" s="63">
        <v>6</v>
      </c>
      <c r="C7" s="82" t="s">
        <v>16</v>
      </c>
      <c r="D7" s="101" t="s">
        <v>7</v>
      </c>
      <c r="E7" s="101" t="s">
        <v>15</v>
      </c>
      <c r="F7" s="77"/>
    </row>
    <row r="8" spans="1:6" ht="17">
      <c r="A8" s="174" t="s">
        <v>17</v>
      </c>
      <c r="B8" s="64">
        <v>7</v>
      </c>
      <c r="C8" s="83" t="s">
        <v>18</v>
      </c>
      <c r="D8" s="103" t="s">
        <v>7</v>
      </c>
      <c r="E8" s="103" t="s">
        <v>8</v>
      </c>
      <c r="F8" s="77"/>
    </row>
    <row r="9" spans="1:6" ht="18">
      <c r="A9" s="174"/>
      <c r="B9" s="64">
        <v>8</v>
      </c>
      <c r="C9" s="84" t="s">
        <v>19</v>
      </c>
      <c r="D9" s="103" t="s">
        <v>7</v>
      </c>
      <c r="E9" s="103" t="s">
        <v>20</v>
      </c>
      <c r="F9" s="77"/>
    </row>
    <row r="10" spans="1:6" ht="18">
      <c r="A10" s="174"/>
      <c r="B10" s="64">
        <v>9</v>
      </c>
      <c r="C10" s="84" t="s">
        <v>21</v>
      </c>
      <c r="D10" s="103" t="s">
        <v>7</v>
      </c>
      <c r="E10" s="103" t="s">
        <v>22</v>
      </c>
      <c r="F10" s="77"/>
    </row>
    <row r="11" spans="1:6" ht="17">
      <c r="A11" s="174"/>
      <c r="B11" s="64">
        <v>10</v>
      </c>
      <c r="C11" s="83" t="s">
        <v>23</v>
      </c>
      <c r="D11" s="103" t="s">
        <v>12</v>
      </c>
      <c r="E11" s="103" t="s">
        <v>24</v>
      </c>
      <c r="F11" s="77"/>
    </row>
    <row r="12" spans="1:6" ht="17">
      <c r="A12" s="174"/>
      <c r="B12" s="64">
        <v>11</v>
      </c>
      <c r="C12" s="83" t="s">
        <v>25</v>
      </c>
      <c r="D12" s="103" t="s">
        <v>12</v>
      </c>
      <c r="E12" s="103" t="s">
        <v>26</v>
      </c>
      <c r="F12" s="77"/>
    </row>
    <row r="13" spans="1:6" ht="17">
      <c r="A13" s="174"/>
      <c r="B13" s="64">
        <v>12</v>
      </c>
      <c r="C13" s="83" t="s">
        <v>27</v>
      </c>
      <c r="D13" s="103" t="s">
        <v>12</v>
      </c>
      <c r="E13" s="103" t="s">
        <v>26</v>
      </c>
      <c r="F13" s="77"/>
    </row>
    <row r="14" spans="1:6" ht="18" customHeight="1">
      <c r="A14" s="175" t="s">
        <v>28</v>
      </c>
      <c r="B14" s="65" t="s">
        <v>29</v>
      </c>
      <c r="C14" s="85" t="s">
        <v>30</v>
      </c>
      <c r="D14" s="104" t="s">
        <v>12</v>
      </c>
      <c r="E14" s="104" t="s">
        <v>8</v>
      </c>
      <c r="F14" s="77"/>
    </row>
    <row r="15" spans="1:6" ht="17">
      <c r="A15" s="175"/>
      <c r="B15" s="65" t="s">
        <v>31</v>
      </c>
      <c r="C15" s="85" t="s">
        <v>32</v>
      </c>
      <c r="D15" s="104" t="s">
        <v>12</v>
      </c>
      <c r="E15" s="104" t="s">
        <v>8</v>
      </c>
      <c r="F15" s="77"/>
    </row>
    <row r="16" spans="1:6" ht="17">
      <c r="A16" s="175"/>
      <c r="B16" s="65">
        <v>14</v>
      </c>
      <c r="C16" s="85" t="s">
        <v>33</v>
      </c>
      <c r="D16" s="104" t="s">
        <v>12</v>
      </c>
      <c r="E16" s="104" t="s">
        <v>8</v>
      </c>
      <c r="F16" s="77"/>
    </row>
    <row r="17" spans="1:6" ht="17">
      <c r="A17" s="175"/>
      <c r="B17" s="65">
        <v>15</v>
      </c>
      <c r="C17" s="85" t="s">
        <v>34</v>
      </c>
      <c r="D17" s="104" t="s">
        <v>12</v>
      </c>
      <c r="E17" s="104" t="s">
        <v>8</v>
      </c>
      <c r="F17" s="77"/>
    </row>
    <row r="18" spans="1:6" ht="17">
      <c r="A18" s="175"/>
      <c r="B18" s="65">
        <v>16</v>
      </c>
      <c r="C18" s="86" t="s">
        <v>35</v>
      </c>
      <c r="D18" s="104" t="s">
        <v>12</v>
      </c>
      <c r="E18" s="104" t="s">
        <v>8</v>
      </c>
      <c r="F18" s="77"/>
    </row>
    <row r="19" spans="1:6" ht="17">
      <c r="A19" s="175"/>
      <c r="B19" s="65">
        <v>17</v>
      </c>
      <c r="C19" s="85" t="s">
        <v>36</v>
      </c>
      <c r="D19" s="104" t="s">
        <v>7</v>
      </c>
      <c r="E19" s="104" t="s">
        <v>37</v>
      </c>
      <c r="F19" s="77"/>
    </row>
    <row r="20" spans="1:6" ht="17">
      <c r="A20" s="175"/>
      <c r="B20" s="65">
        <v>18</v>
      </c>
      <c r="C20" s="85" t="s">
        <v>38</v>
      </c>
      <c r="D20" s="104" t="s">
        <v>7</v>
      </c>
      <c r="E20" s="104" t="s">
        <v>37</v>
      </c>
      <c r="F20" s="77"/>
    </row>
    <row r="21" spans="1:6" ht="17">
      <c r="A21" s="175"/>
      <c r="B21" s="65">
        <v>19</v>
      </c>
      <c r="C21" s="85" t="s">
        <v>39</v>
      </c>
      <c r="D21" s="104" t="s">
        <v>7</v>
      </c>
      <c r="E21" s="104" t="s">
        <v>40</v>
      </c>
      <c r="F21" s="77"/>
    </row>
    <row r="22" spans="1:6" ht="17">
      <c r="A22" s="176" t="s">
        <v>41</v>
      </c>
      <c r="B22" s="66">
        <v>20</v>
      </c>
      <c r="C22" s="87" t="s">
        <v>42</v>
      </c>
      <c r="D22" s="105" t="s">
        <v>7</v>
      </c>
      <c r="E22" s="105" t="s">
        <v>8</v>
      </c>
      <c r="F22" s="77"/>
    </row>
    <row r="23" spans="1:6" ht="17">
      <c r="A23" s="176"/>
      <c r="B23" s="66">
        <v>21</v>
      </c>
      <c r="C23" s="87" t="s">
        <v>43</v>
      </c>
      <c r="D23" s="105" t="s">
        <v>7</v>
      </c>
      <c r="E23" s="105" t="s">
        <v>37</v>
      </c>
      <c r="F23" s="77"/>
    </row>
    <row r="24" spans="1:6" ht="17">
      <c r="A24" s="176"/>
      <c r="B24" s="66">
        <v>22</v>
      </c>
      <c r="C24" s="87" t="s">
        <v>44</v>
      </c>
      <c r="D24" s="105" t="s">
        <v>45</v>
      </c>
      <c r="E24" s="105" t="s">
        <v>8</v>
      </c>
      <c r="F24" s="77"/>
    </row>
    <row r="25" spans="1:6" ht="17">
      <c r="A25" s="176"/>
      <c r="B25" s="66">
        <v>23</v>
      </c>
      <c r="C25" s="87" t="s">
        <v>46</v>
      </c>
      <c r="D25" s="105" t="s">
        <v>12</v>
      </c>
      <c r="E25" s="105" t="s">
        <v>37</v>
      </c>
      <c r="F25" s="77"/>
    </row>
    <row r="26" spans="1:6" ht="17">
      <c r="A26" s="176"/>
      <c r="B26" s="66">
        <v>24</v>
      </c>
      <c r="C26" s="87" t="s">
        <v>47</v>
      </c>
      <c r="D26" s="105" t="s">
        <v>12</v>
      </c>
      <c r="E26" s="105" t="s">
        <v>37</v>
      </c>
      <c r="F26" s="77"/>
    </row>
    <row r="27" spans="1:6" ht="17">
      <c r="A27" s="176"/>
      <c r="B27" s="66">
        <v>25</v>
      </c>
      <c r="C27" s="87" t="s">
        <v>48</v>
      </c>
      <c r="D27" s="105" t="s">
        <v>12</v>
      </c>
      <c r="E27" s="105" t="s">
        <v>37</v>
      </c>
      <c r="F27" s="77"/>
    </row>
    <row r="28" spans="1:6" ht="17">
      <c r="A28" s="176"/>
      <c r="B28" s="66">
        <v>26</v>
      </c>
      <c r="C28" s="87" t="s">
        <v>49</v>
      </c>
      <c r="D28" s="105" t="s">
        <v>12</v>
      </c>
      <c r="E28" s="105" t="s">
        <v>37</v>
      </c>
      <c r="F28" s="77"/>
    </row>
    <row r="29" spans="1:6" ht="17">
      <c r="A29" s="176"/>
      <c r="B29" s="66">
        <v>27</v>
      </c>
      <c r="C29" s="87" t="s">
        <v>50</v>
      </c>
      <c r="D29" s="105" t="s">
        <v>12</v>
      </c>
      <c r="E29" s="105" t="s">
        <v>37</v>
      </c>
      <c r="F29" s="77"/>
    </row>
    <row r="30" spans="1:6" ht="17">
      <c r="A30" s="177" t="s">
        <v>51</v>
      </c>
      <c r="B30" s="67">
        <v>28</v>
      </c>
      <c r="C30" s="88" t="s">
        <v>52</v>
      </c>
      <c r="D30" s="106" t="s">
        <v>12</v>
      </c>
      <c r="E30" s="106" t="s">
        <v>37</v>
      </c>
      <c r="F30" s="77"/>
    </row>
    <row r="31" spans="1:6" ht="17">
      <c r="A31" s="177"/>
      <c r="B31" s="67">
        <v>29</v>
      </c>
      <c r="C31" s="88" t="s">
        <v>53</v>
      </c>
      <c r="D31" s="106" t="s">
        <v>12</v>
      </c>
      <c r="E31" s="106" t="s">
        <v>37</v>
      </c>
      <c r="F31" s="77"/>
    </row>
    <row r="32" spans="1:6" ht="17">
      <c r="A32" s="177"/>
      <c r="B32" s="67">
        <v>30</v>
      </c>
      <c r="C32" s="88" t="s">
        <v>54</v>
      </c>
      <c r="D32" s="106" t="s">
        <v>12</v>
      </c>
      <c r="E32" s="106" t="s">
        <v>37</v>
      </c>
      <c r="F32" s="77"/>
    </row>
    <row r="33" spans="1:6" ht="17">
      <c r="A33" s="177"/>
      <c r="B33" s="67">
        <v>31</v>
      </c>
      <c r="C33" s="88" t="s">
        <v>55</v>
      </c>
      <c r="D33" s="106" t="s">
        <v>12</v>
      </c>
      <c r="E33" s="106" t="s">
        <v>37</v>
      </c>
      <c r="F33" s="77"/>
    </row>
    <row r="34" spans="1:6" ht="17">
      <c r="A34" s="177"/>
      <c r="B34" s="67">
        <v>32</v>
      </c>
      <c r="C34" s="88" t="s">
        <v>56</v>
      </c>
      <c r="D34" s="106" t="s">
        <v>12</v>
      </c>
      <c r="E34" s="106" t="s">
        <v>37</v>
      </c>
      <c r="F34" s="77"/>
    </row>
    <row r="35" spans="1:6" ht="17">
      <c r="A35" s="177"/>
      <c r="B35" s="67">
        <v>33</v>
      </c>
      <c r="C35" s="88" t="s">
        <v>57</v>
      </c>
      <c r="D35" s="106" t="s">
        <v>12</v>
      </c>
      <c r="E35" s="106" t="s">
        <v>37</v>
      </c>
      <c r="F35" s="77"/>
    </row>
    <row r="36" spans="1:6" ht="17">
      <c r="A36" s="177"/>
      <c r="B36" s="67">
        <v>34</v>
      </c>
      <c r="C36" s="88" t="s">
        <v>58</v>
      </c>
      <c r="D36" s="106" t="s">
        <v>12</v>
      </c>
      <c r="E36" s="106" t="s">
        <v>37</v>
      </c>
      <c r="F36" s="77"/>
    </row>
    <row r="37" spans="1:6" ht="17">
      <c r="A37" s="177"/>
      <c r="B37" s="67">
        <v>35</v>
      </c>
      <c r="C37" s="88" t="s">
        <v>59</v>
      </c>
      <c r="D37" s="106" t="s">
        <v>12</v>
      </c>
      <c r="E37" s="106" t="s">
        <v>37</v>
      </c>
      <c r="F37" s="77"/>
    </row>
    <row r="38" spans="1:6" ht="17">
      <c r="A38" s="177"/>
      <c r="B38" s="67">
        <v>36</v>
      </c>
      <c r="C38" s="88" t="s">
        <v>60</v>
      </c>
      <c r="D38" s="106" t="s">
        <v>7</v>
      </c>
      <c r="E38" s="106" t="s">
        <v>37</v>
      </c>
      <c r="F38" s="77"/>
    </row>
    <row r="39" spans="1:6" ht="17">
      <c r="A39" s="177"/>
      <c r="B39" s="67">
        <v>37</v>
      </c>
      <c r="C39" s="88" t="s">
        <v>61</v>
      </c>
      <c r="D39" s="106" t="s">
        <v>7</v>
      </c>
      <c r="E39" s="106" t="s">
        <v>8</v>
      </c>
      <c r="F39" s="77"/>
    </row>
    <row r="40" spans="1:6" ht="17">
      <c r="A40" s="177"/>
      <c r="B40" s="67" t="s">
        <v>62</v>
      </c>
      <c r="C40" s="88" t="s">
        <v>63</v>
      </c>
      <c r="D40" s="106" t="s">
        <v>7</v>
      </c>
      <c r="E40" s="106" t="s">
        <v>37</v>
      </c>
      <c r="F40" s="77"/>
    </row>
    <row r="41" spans="1:6" ht="17">
      <c r="A41" s="177"/>
      <c r="B41" s="67" t="s">
        <v>64</v>
      </c>
      <c r="C41" s="88" t="s">
        <v>65</v>
      </c>
      <c r="D41" s="106" t="s">
        <v>45</v>
      </c>
      <c r="E41" s="106" t="s">
        <v>8</v>
      </c>
      <c r="F41" s="77"/>
    </row>
    <row r="42" spans="1:6" ht="17">
      <c r="A42" s="177"/>
      <c r="B42" s="67">
        <v>39</v>
      </c>
      <c r="C42" s="88" t="s">
        <v>66</v>
      </c>
      <c r="D42" s="106" t="s">
        <v>45</v>
      </c>
      <c r="E42" s="106" t="s">
        <v>8</v>
      </c>
      <c r="F42" s="77"/>
    </row>
    <row r="43" spans="1:6" ht="17">
      <c r="A43" s="177"/>
      <c r="B43" s="68">
        <v>40</v>
      </c>
      <c r="C43" s="89" t="s">
        <v>67</v>
      </c>
      <c r="D43" s="106" t="s">
        <v>12</v>
      </c>
      <c r="E43" s="106" t="s">
        <v>37</v>
      </c>
      <c r="F43" s="77"/>
    </row>
    <row r="44" spans="1:6" ht="17">
      <c r="A44" s="177"/>
      <c r="B44" s="68">
        <v>41</v>
      </c>
      <c r="C44" s="89" t="s">
        <v>68</v>
      </c>
      <c r="D44" s="106" t="s">
        <v>12</v>
      </c>
      <c r="E44" s="106" t="s">
        <v>37</v>
      </c>
      <c r="F44" s="77"/>
    </row>
    <row r="45" spans="1:6" ht="17">
      <c r="A45" s="178" t="s">
        <v>69</v>
      </c>
      <c r="B45" s="69">
        <v>42</v>
      </c>
      <c r="C45" s="70" t="s">
        <v>70</v>
      </c>
      <c r="D45" s="107" t="s">
        <v>12</v>
      </c>
      <c r="E45" s="107" t="s">
        <v>71</v>
      </c>
      <c r="F45" s="77"/>
    </row>
    <row r="46" spans="1:6" ht="17">
      <c r="A46" s="178"/>
      <c r="B46" s="69">
        <v>43</v>
      </c>
      <c r="C46" s="90" t="s">
        <v>72</v>
      </c>
      <c r="D46" s="107" t="s">
        <v>12</v>
      </c>
      <c r="E46" s="107" t="s">
        <v>37</v>
      </c>
      <c r="F46" s="77"/>
    </row>
    <row r="47" spans="1:6" ht="17">
      <c r="A47" s="178"/>
      <c r="B47" s="69">
        <v>44</v>
      </c>
      <c r="C47" s="90" t="s">
        <v>73</v>
      </c>
      <c r="D47" s="107" t="s">
        <v>12</v>
      </c>
      <c r="E47" s="107" t="s">
        <v>37</v>
      </c>
      <c r="F47" s="77"/>
    </row>
    <row r="48" spans="1:6" ht="17">
      <c r="A48" s="178"/>
      <c r="B48" s="69">
        <v>45</v>
      </c>
      <c r="C48" s="90" t="s">
        <v>74</v>
      </c>
      <c r="D48" s="107" t="s">
        <v>12</v>
      </c>
      <c r="E48" s="107" t="s">
        <v>37</v>
      </c>
      <c r="F48" s="77"/>
    </row>
    <row r="49" spans="1:6" ht="17">
      <c r="A49" s="178"/>
      <c r="B49" s="69">
        <v>46</v>
      </c>
      <c r="C49" s="90" t="s">
        <v>75</v>
      </c>
      <c r="D49" s="107" t="s">
        <v>12</v>
      </c>
      <c r="E49" s="107" t="s">
        <v>37</v>
      </c>
      <c r="F49" s="77"/>
    </row>
    <row r="50" spans="1:6" ht="17">
      <c r="A50" s="178"/>
      <c r="B50" s="69">
        <v>47</v>
      </c>
      <c r="C50" s="90" t="s">
        <v>76</v>
      </c>
      <c r="D50" s="107" t="s">
        <v>12</v>
      </c>
      <c r="E50" s="107" t="s">
        <v>37</v>
      </c>
      <c r="F50" s="77"/>
    </row>
    <row r="51" spans="1:6" ht="17">
      <c r="A51" s="178"/>
      <c r="B51" s="69">
        <v>48</v>
      </c>
      <c r="C51" s="90" t="s">
        <v>77</v>
      </c>
      <c r="D51" s="107" t="s">
        <v>12</v>
      </c>
      <c r="E51" s="107" t="s">
        <v>37</v>
      </c>
      <c r="F51" s="77"/>
    </row>
    <row r="52" spans="1:6" ht="17">
      <c r="A52" s="178"/>
      <c r="B52" s="69">
        <v>49</v>
      </c>
      <c r="C52" s="90" t="s">
        <v>78</v>
      </c>
      <c r="D52" s="107" t="s">
        <v>12</v>
      </c>
      <c r="E52" s="107" t="s">
        <v>37</v>
      </c>
      <c r="F52" s="77"/>
    </row>
    <row r="53" spans="1:6" ht="17">
      <c r="A53" s="178"/>
      <c r="B53" s="69">
        <v>50</v>
      </c>
      <c r="C53" s="90" t="s">
        <v>79</v>
      </c>
      <c r="D53" s="107" t="s">
        <v>12</v>
      </c>
      <c r="E53" s="107" t="s">
        <v>37</v>
      </c>
      <c r="F53" s="77"/>
    </row>
    <row r="54" spans="1:6" ht="17">
      <c r="A54" s="178"/>
      <c r="B54" s="69">
        <v>51</v>
      </c>
      <c r="C54" s="90" t="s">
        <v>80</v>
      </c>
      <c r="D54" s="107" t="s">
        <v>12</v>
      </c>
      <c r="E54" s="107" t="s">
        <v>37</v>
      </c>
      <c r="F54" s="77"/>
    </row>
    <row r="55" spans="1:6" ht="17">
      <c r="A55" s="169" t="s">
        <v>81</v>
      </c>
      <c r="B55" s="71">
        <v>52</v>
      </c>
      <c r="C55" s="91" t="s">
        <v>82</v>
      </c>
      <c r="D55" s="102" t="s">
        <v>12</v>
      </c>
      <c r="E55" s="102" t="s">
        <v>8</v>
      </c>
      <c r="F55" s="77"/>
    </row>
    <row r="56" spans="1:6" ht="17">
      <c r="A56" s="169"/>
      <c r="B56" s="71">
        <v>53</v>
      </c>
      <c r="C56" s="91" t="s">
        <v>83</v>
      </c>
      <c r="D56" s="102" t="s">
        <v>12</v>
      </c>
      <c r="E56" s="102" t="s">
        <v>8</v>
      </c>
      <c r="F56" s="77"/>
    </row>
    <row r="57" spans="1:6" ht="17">
      <c r="A57" s="169"/>
      <c r="B57" s="71">
        <v>54</v>
      </c>
      <c r="C57" s="91" t="s">
        <v>84</v>
      </c>
      <c r="D57" s="102" t="s">
        <v>12</v>
      </c>
      <c r="E57" s="102" t="s">
        <v>8</v>
      </c>
      <c r="F57" s="77"/>
    </row>
    <row r="58" spans="1:6" ht="17">
      <c r="A58" s="169"/>
      <c r="B58" s="71">
        <v>55</v>
      </c>
      <c r="C58" s="91" t="s">
        <v>85</v>
      </c>
      <c r="D58" s="102" t="s">
        <v>12</v>
      </c>
      <c r="E58" s="102" t="s">
        <v>8</v>
      </c>
      <c r="F58" s="77"/>
    </row>
    <row r="59" spans="1:6" ht="17">
      <c r="A59" s="169"/>
      <c r="B59" s="71">
        <v>56</v>
      </c>
      <c r="C59" s="91" t="s">
        <v>86</v>
      </c>
      <c r="D59" s="102" t="s">
        <v>12</v>
      </c>
      <c r="E59" s="102" t="s">
        <v>8</v>
      </c>
      <c r="F59" s="77"/>
    </row>
    <row r="60" spans="1:6" ht="17">
      <c r="A60" s="169"/>
      <c r="B60" s="71">
        <v>57</v>
      </c>
      <c r="C60" s="91" t="s">
        <v>87</v>
      </c>
      <c r="D60" s="102" t="s">
        <v>12</v>
      </c>
      <c r="E60" s="102" t="s">
        <v>37</v>
      </c>
      <c r="F60" s="77"/>
    </row>
    <row r="61" spans="1:6" ht="17">
      <c r="A61" s="169"/>
      <c r="B61" s="71">
        <v>58</v>
      </c>
      <c r="C61" s="91" t="s">
        <v>88</v>
      </c>
      <c r="D61" s="102" t="s">
        <v>12</v>
      </c>
      <c r="E61" s="102" t="s">
        <v>37</v>
      </c>
      <c r="F61" s="77"/>
    </row>
    <row r="62" spans="1:6" ht="17">
      <c r="A62" s="169"/>
      <c r="B62" s="71">
        <v>59</v>
      </c>
      <c r="C62" s="91" t="s">
        <v>89</v>
      </c>
      <c r="D62" s="102" t="s">
        <v>12</v>
      </c>
      <c r="E62" s="102" t="s">
        <v>37</v>
      </c>
      <c r="F62" s="77"/>
    </row>
    <row r="63" spans="1:6" ht="17">
      <c r="A63" s="169"/>
      <c r="B63" s="71">
        <v>60</v>
      </c>
      <c r="C63" s="91" t="s">
        <v>90</v>
      </c>
      <c r="D63" s="102" t="s">
        <v>12</v>
      </c>
      <c r="E63" s="102" t="s">
        <v>37</v>
      </c>
      <c r="F63" s="77"/>
    </row>
    <row r="64" spans="1:6" ht="17">
      <c r="A64" s="169"/>
      <c r="B64" s="71">
        <v>61</v>
      </c>
      <c r="C64" s="91" t="s">
        <v>91</v>
      </c>
      <c r="D64" s="102" t="s">
        <v>12</v>
      </c>
      <c r="E64" s="102" t="s">
        <v>37</v>
      </c>
      <c r="F64" s="77"/>
    </row>
    <row r="65" spans="1:6" ht="17">
      <c r="A65" s="169"/>
      <c r="B65" s="71">
        <v>62</v>
      </c>
      <c r="C65" s="91" t="s">
        <v>92</v>
      </c>
      <c r="D65" s="102" t="s">
        <v>12</v>
      </c>
      <c r="E65" s="102" t="s">
        <v>71</v>
      </c>
      <c r="F65" s="77"/>
    </row>
    <row r="66" spans="1:6" ht="34">
      <c r="A66" s="169"/>
      <c r="B66" s="71">
        <v>63</v>
      </c>
      <c r="C66" s="92" t="s">
        <v>93</v>
      </c>
      <c r="D66" s="102" t="s">
        <v>12</v>
      </c>
      <c r="E66" s="102" t="s">
        <v>37</v>
      </c>
      <c r="F66" s="77"/>
    </row>
    <row r="67" spans="1:6" ht="17">
      <c r="A67" s="170" t="s">
        <v>94</v>
      </c>
      <c r="B67" s="72">
        <v>64</v>
      </c>
      <c r="C67" s="93" t="s">
        <v>95</v>
      </c>
      <c r="D67" s="108" t="s">
        <v>12</v>
      </c>
      <c r="E67" s="108" t="s">
        <v>8</v>
      </c>
      <c r="F67" s="77"/>
    </row>
    <row r="68" spans="1:6" ht="17">
      <c r="A68" s="170"/>
      <c r="B68" s="72">
        <v>65</v>
      </c>
      <c r="C68" s="93" t="s">
        <v>96</v>
      </c>
      <c r="D68" s="108" t="s">
        <v>12</v>
      </c>
      <c r="E68" s="108" t="s">
        <v>8</v>
      </c>
      <c r="F68" s="77"/>
    </row>
    <row r="69" spans="1:6" ht="17">
      <c r="A69" s="170"/>
      <c r="B69" s="72">
        <v>66</v>
      </c>
      <c r="C69" s="93" t="s">
        <v>97</v>
      </c>
      <c r="D69" s="108" t="s">
        <v>12</v>
      </c>
      <c r="E69" s="108" t="s">
        <v>98</v>
      </c>
      <c r="F69" s="77"/>
    </row>
    <row r="70" spans="1:6" ht="17">
      <c r="A70" s="170"/>
      <c r="B70" s="72">
        <v>67</v>
      </c>
      <c r="C70" s="93" t="s">
        <v>99</v>
      </c>
      <c r="D70" s="108" t="s">
        <v>12</v>
      </c>
      <c r="E70" s="108" t="s">
        <v>98</v>
      </c>
      <c r="F70" s="77"/>
    </row>
    <row r="71" spans="1:6" ht="17">
      <c r="A71" s="171" t="s">
        <v>100</v>
      </c>
      <c r="B71" s="73">
        <v>68</v>
      </c>
      <c r="C71" s="94" t="s">
        <v>101</v>
      </c>
      <c r="D71" s="110" t="s">
        <v>12</v>
      </c>
      <c r="E71" s="110" t="s">
        <v>37</v>
      </c>
      <c r="F71" s="77"/>
    </row>
    <row r="72" spans="1:6" ht="17">
      <c r="A72" s="171"/>
      <c r="B72" s="73">
        <v>69</v>
      </c>
      <c r="C72" s="95" t="s">
        <v>101</v>
      </c>
      <c r="D72" s="110" t="s">
        <v>12</v>
      </c>
      <c r="E72" s="110" t="s">
        <v>37</v>
      </c>
      <c r="F72" s="77"/>
    </row>
    <row r="73" spans="1:6" ht="17">
      <c r="A73" s="171"/>
      <c r="B73" s="73">
        <v>70</v>
      </c>
      <c r="C73" s="95" t="s">
        <v>102</v>
      </c>
      <c r="D73" s="110" t="s">
        <v>12</v>
      </c>
      <c r="E73" s="110" t="s">
        <v>37</v>
      </c>
      <c r="F73" s="77"/>
    </row>
    <row r="74" spans="1:6" ht="17">
      <c r="A74" s="171"/>
      <c r="B74" s="74">
        <v>71</v>
      </c>
      <c r="C74" s="96" t="s">
        <v>103</v>
      </c>
      <c r="D74" s="110" t="s">
        <v>12</v>
      </c>
      <c r="E74" s="110" t="s">
        <v>37</v>
      </c>
      <c r="F74" s="77"/>
    </row>
    <row r="75" spans="1:6" ht="17">
      <c r="A75" s="171"/>
      <c r="B75" s="74">
        <v>72</v>
      </c>
      <c r="C75" s="96" t="s">
        <v>104</v>
      </c>
      <c r="D75" s="110" t="s">
        <v>12</v>
      </c>
      <c r="E75" s="110" t="s">
        <v>37</v>
      </c>
      <c r="F75" s="77"/>
    </row>
    <row r="76" spans="1:6" ht="17">
      <c r="A76" s="171"/>
      <c r="B76" s="74">
        <v>73</v>
      </c>
      <c r="C76" s="96" t="s">
        <v>105</v>
      </c>
      <c r="D76" s="110" t="s">
        <v>12</v>
      </c>
      <c r="E76" s="110" t="s">
        <v>37</v>
      </c>
      <c r="F76" s="77"/>
    </row>
    <row r="77" spans="1:6" ht="17">
      <c r="A77" s="171"/>
      <c r="B77" s="74">
        <v>74</v>
      </c>
      <c r="C77" s="96" t="s">
        <v>106</v>
      </c>
      <c r="D77" s="110" t="s">
        <v>12</v>
      </c>
      <c r="E77" s="110" t="s">
        <v>8</v>
      </c>
      <c r="F77" s="77"/>
    </row>
    <row r="78" spans="1:6" ht="17">
      <c r="A78" s="172" t="s">
        <v>107</v>
      </c>
      <c r="B78" s="75">
        <v>75</v>
      </c>
      <c r="C78" s="97" t="s">
        <v>108</v>
      </c>
      <c r="D78" s="109" t="s">
        <v>12</v>
      </c>
      <c r="E78" s="109" t="s">
        <v>8</v>
      </c>
      <c r="F78" s="77"/>
    </row>
    <row r="79" spans="1:6" ht="17">
      <c r="A79" s="172"/>
      <c r="B79" s="75">
        <v>76</v>
      </c>
      <c r="C79" s="97" t="s">
        <v>109</v>
      </c>
      <c r="D79" s="109" t="s">
        <v>45</v>
      </c>
      <c r="E79" s="109" t="s">
        <v>8</v>
      </c>
      <c r="F79" s="77"/>
    </row>
    <row r="80" spans="1:6">
      <c r="A80" s="172"/>
      <c r="B80" s="75">
        <v>77</v>
      </c>
      <c r="C80" s="98" t="s">
        <v>110</v>
      </c>
      <c r="D80" s="109" t="s">
        <v>45</v>
      </c>
      <c r="E80" s="109" t="s">
        <v>8</v>
      </c>
      <c r="F80" s="77"/>
    </row>
    <row r="81" spans="5:6">
      <c r="E81" s="77"/>
      <c r="F81" s="77"/>
    </row>
    <row r="82" spans="5:6">
      <c r="E82" s="77"/>
      <c r="F82" s="77"/>
    </row>
    <row r="83" spans="5:6">
      <c r="E83" s="77"/>
      <c r="F83" s="77"/>
    </row>
    <row r="84" spans="5:6">
      <c r="E84" s="77"/>
      <c r="F84" s="77"/>
    </row>
    <row r="85" spans="5:6">
      <c r="E85" s="77"/>
      <c r="F85" s="77"/>
    </row>
    <row r="86" spans="5:6">
      <c r="E86" s="77"/>
      <c r="F86" s="77"/>
    </row>
    <row r="87" spans="5:6">
      <c r="E87" s="77"/>
      <c r="F87" s="77"/>
    </row>
    <row r="88" spans="5:6">
      <c r="E88" s="77"/>
      <c r="F88" s="77"/>
    </row>
    <row r="89" spans="5:6">
      <c r="E89" s="77"/>
      <c r="F89" s="77"/>
    </row>
    <row r="90" spans="5:6">
      <c r="E90" s="77"/>
      <c r="F90" s="77"/>
    </row>
    <row r="91" spans="5:6">
      <c r="E91" s="77"/>
      <c r="F91" s="77"/>
    </row>
  </sheetData>
  <mergeCells count="11">
    <mergeCell ref="A2:A3"/>
    <mergeCell ref="A55:A66"/>
    <mergeCell ref="A67:A70"/>
    <mergeCell ref="A71:A77"/>
    <mergeCell ref="A78:A80"/>
    <mergeCell ref="A4:A7"/>
    <mergeCell ref="A8:A13"/>
    <mergeCell ref="A14:A21"/>
    <mergeCell ref="A22:A29"/>
    <mergeCell ref="A30:A44"/>
    <mergeCell ref="A45:A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I295"/>
  <sheetViews>
    <sheetView topLeftCell="A2" zoomScale="75" zoomScaleNormal="98" zoomScalePageLayoutView="70" workbookViewId="0">
      <pane xSplit="1" topLeftCell="AQ1" activePane="topRight" state="frozen"/>
      <selection activeCell="A286" sqref="A286"/>
      <selection pane="topRight" activeCell="BO21" sqref="BO21:BO27"/>
    </sheetView>
    <sheetView tabSelected="1" topLeftCell="A144" workbookViewId="1">
      <selection activeCell="B168" sqref="B168"/>
    </sheetView>
  </sheetViews>
  <sheetFormatPr baseColWidth="10" defaultColWidth="11" defaultRowHeight="16"/>
  <cols>
    <col min="1" max="1" width="14.83203125" style="27" customWidth="1"/>
    <col min="2" max="2" width="22" style="27" customWidth="1"/>
    <col min="3" max="3" width="9.1640625" style="28" customWidth="1"/>
    <col min="4" max="4" width="19.6640625" style="28" customWidth="1"/>
    <col min="5" max="5" width="9.6640625" style="57" customWidth="1"/>
    <col min="6" max="6" width="11.33203125" style="57" customWidth="1"/>
    <col min="7" max="7" width="8.5" style="29" customWidth="1"/>
    <col min="8" max="8" width="9.6640625" style="58" customWidth="1"/>
    <col min="9" max="9" width="11.5" style="58" customWidth="1"/>
    <col min="10" max="10" width="9.6640625" style="58" customWidth="1"/>
    <col min="11" max="11" width="11.83203125" style="58" customWidth="1"/>
    <col min="12" max="12" width="11.33203125" style="58" customWidth="1"/>
    <col min="13" max="13" width="20.83203125" style="30" customWidth="1"/>
    <col min="14" max="14" width="11" style="30" customWidth="1"/>
    <col min="15" max="15" width="13" style="31" customWidth="1"/>
    <col min="16" max="17" width="13.33203125" style="30" customWidth="1"/>
    <col min="18" max="18" width="12.33203125" style="32" customWidth="1"/>
    <col min="19" max="19" width="13.1640625" style="33" customWidth="1"/>
    <col min="20" max="20" width="12.1640625" style="33" customWidth="1"/>
    <col min="21" max="21" width="10.1640625" style="34" customWidth="1"/>
    <col min="22" max="22" width="10.1640625" style="60" customWidth="1"/>
    <col min="23" max="23" width="10.1640625" style="34" customWidth="1"/>
    <col min="24" max="24" width="10.1640625" style="60" customWidth="1"/>
    <col min="25" max="25" width="11.83203125" style="35" customWidth="1"/>
    <col min="26" max="26" width="11.5" style="35" customWidth="1"/>
    <col min="27" max="27" width="12" style="35" customWidth="1"/>
    <col min="28" max="28" width="11.83203125" style="35" customWidth="1"/>
    <col min="29" max="30" width="11.6640625" style="61" customWidth="1"/>
    <col min="31" max="31" width="12.1640625" style="61" customWidth="1"/>
    <col min="32" max="33" width="12" style="61" customWidth="1"/>
    <col min="34" max="36" width="11.6640625" style="61" customWidth="1"/>
    <col min="37" max="37" width="11.83203125" style="61" customWidth="1"/>
    <col min="38" max="38" width="12.33203125" style="36" customWidth="1"/>
    <col min="39" max="41" width="9.83203125" style="37" customWidth="1"/>
    <col min="42" max="42" width="13.83203125" style="16" customWidth="1"/>
    <col min="43" max="43" width="13.1640625" style="16" customWidth="1"/>
    <col min="44" max="45" width="7.5" style="46" customWidth="1"/>
    <col min="46" max="46" width="7.83203125" style="46" customWidth="1"/>
    <col min="47" max="47" width="8" style="46" customWidth="1"/>
    <col min="48" max="48" width="6.1640625" style="46" customWidth="1"/>
    <col min="49" max="49" width="5.6640625" style="46" customWidth="1"/>
    <col min="50" max="50" width="6.5" style="46" customWidth="1"/>
    <col min="51" max="53" width="7.5" style="46" customWidth="1"/>
    <col min="54" max="54" width="5.83203125" style="46" customWidth="1"/>
    <col min="55" max="55" width="6.1640625" style="47" customWidth="1"/>
    <col min="56" max="56" width="10" style="47" customWidth="1"/>
    <col min="57" max="57" width="22" style="47" customWidth="1"/>
    <col min="58" max="58" width="16.83203125" style="47" customWidth="1"/>
    <col min="59" max="59" width="12.33203125" style="47" customWidth="1"/>
    <col min="60" max="60" width="17.33203125" style="47" customWidth="1"/>
    <col min="61" max="61" width="12.6640625" style="47" customWidth="1"/>
    <col min="62" max="64" width="11.6640625" style="47" customWidth="1"/>
    <col min="65" max="65" width="10" style="47" customWidth="1"/>
    <col min="66" max="66" width="10.83203125" style="47" customWidth="1"/>
    <col min="67" max="67" width="11.6640625" style="47" customWidth="1"/>
    <col min="68" max="68" width="11.6640625" style="48" customWidth="1"/>
    <col min="69" max="69" width="12.5" style="48" customWidth="1"/>
    <col min="70" max="70" width="10.5" style="48" customWidth="1"/>
    <col min="71" max="71" width="12.5" style="48" customWidth="1"/>
    <col min="72" max="72" width="12" style="12" customWidth="1"/>
    <col min="73" max="73" width="13.83203125" style="12" customWidth="1"/>
    <col min="74" max="74" width="13.33203125" style="13" customWidth="1"/>
    <col min="75" max="75" width="10.6640625" style="53" customWidth="1"/>
    <col min="76" max="76" width="12.5" style="53" customWidth="1"/>
    <col min="77" max="77" width="12.6640625" style="53" customWidth="1"/>
    <col min="78" max="78" width="10.83203125" style="53" customWidth="1"/>
    <col min="79" max="81" width="10.83203125" style="54" customWidth="1"/>
    <col min="82" max="82" width="18.5" style="54" customWidth="1"/>
  </cols>
  <sheetData>
    <row r="1" spans="1:82" ht="30" customHeight="1">
      <c r="A1" s="181" t="s">
        <v>5</v>
      </c>
      <c r="B1" s="181"/>
      <c r="C1" s="182" t="s">
        <v>10</v>
      </c>
      <c r="D1" s="182"/>
      <c r="E1" s="182"/>
      <c r="F1" s="182"/>
      <c r="G1" s="183" t="s">
        <v>17</v>
      </c>
      <c r="H1" s="183"/>
      <c r="I1" s="183"/>
      <c r="J1" s="183"/>
      <c r="K1" s="183"/>
      <c r="L1" s="183"/>
      <c r="M1" s="184" t="s">
        <v>28</v>
      </c>
      <c r="N1" s="184"/>
      <c r="O1" s="184"/>
      <c r="P1" s="184"/>
      <c r="Q1" s="184"/>
      <c r="R1" s="184"/>
      <c r="S1" s="184"/>
      <c r="T1" s="184"/>
      <c r="U1" s="185" t="s">
        <v>41</v>
      </c>
      <c r="V1" s="185"/>
      <c r="W1" s="185"/>
      <c r="X1" s="185"/>
      <c r="Y1" s="185"/>
      <c r="Z1" s="185"/>
      <c r="AA1" s="185"/>
      <c r="AB1" s="185"/>
      <c r="AC1" s="180" t="s">
        <v>51</v>
      </c>
      <c r="AD1" s="180"/>
      <c r="AE1" s="180"/>
      <c r="AF1" s="180"/>
      <c r="AG1" s="180"/>
      <c r="AH1" s="180"/>
      <c r="AI1" s="180"/>
      <c r="AJ1" s="180"/>
      <c r="AK1" s="180"/>
      <c r="AL1" s="180"/>
      <c r="AM1" s="180"/>
      <c r="AN1" s="180"/>
      <c r="AO1" s="180"/>
      <c r="AP1" s="180"/>
      <c r="AQ1" s="180"/>
      <c r="AR1" s="186" t="s">
        <v>69</v>
      </c>
      <c r="AS1" s="186"/>
      <c r="AT1" s="186"/>
      <c r="AU1" s="186"/>
      <c r="AV1" s="186"/>
      <c r="AW1" s="186"/>
      <c r="AX1" s="186"/>
      <c r="AY1" s="186"/>
      <c r="AZ1" s="186"/>
      <c r="BA1" s="186"/>
      <c r="BB1" s="186"/>
      <c r="BC1" s="187" t="s">
        <v>81</v>
      </c>
      <c r="BD1" s="187"/>
      <c r="BE1" s="187"/>
      <c r="BF1" s="187"/>
      <c r="BG1" s="187"/>
      <c r="BH1" s="187"/>
      <c r="BI1" s="187"/>
      <c r="BJ1" s="187"/>
      <c r="BK1" s="187"/>
      <c r="BL1" s="187"/>
      <c r="BM1" s="187"/>
      <c r="BN1" s="187"/>
      <c r="BO1" s="187"/>
      <c r="BP1" s="188" t="s">
        <v>94</v>
      </c>
      <c r="BQ1" s="188"/>
      <c r="BR1" s="188"/>
      <c r="BS1" s="188"/>
      <c r="BT1" s="189" t="s">
        <v>100</v>
      </c>
      <c r="BU1" s="189"/>
      <c r="BV1" s="189"/>
      <c r="BW1" s="189"/>
      <c r="BX1" s="189"/>
      <c r="BY1" s="189"/>
      <c r="BZ1" s="189"/>
      <c r="CA1" s="179" t="s">
        <v>107</v>
      </c>
      <c r="CB1" s="179"/>
      <c r="CC1" s="179"/>
      <c r="CD1" s="179"/>
    </row>
    <row r="2" spans="1:82" s="5" customFormat="1" ht="119">
      <c r="A2" s="21" t="s">
        <v>6</v>
      </c>
      <c r="B2" s="21" t="s">
        <v>9</v>
      </c>
      <c r="C2" s="22" t="s">
        <v>11</v>
      </c>
      <c r="D2" s="22" t="s">
        <v>13</v>
      </c>
      <c r="E2" s="22" t="s">
        <v>14</v>
      </c>
      <c r="F2" s="22" t="s">
        <v>16</v>
      </c>
      <c r="G2" s="23" t="s">
        <v>18</v>
      </c>
      <c r="H2" s="59" t="s">
        <v>111</v>
      </c>
      <c r="I2" s="59" t="s">
        <v>112</v>
      </c>
      <c r="J2" s="23" t="s">
        <v>113</v>
      </c>
      <c r="K2" s="23" t="s">
        <v>114</v>
      </c>
      <c r="L2" s="23" t="s">
        <v>115</v>
      </c>
      <c r="M2" s="24" t="s">
        <v>30</v>
      </c>
      <c r="N2" s="24" t="s">
        <v>32</v>
      </c>
      <c r="O2" s="24" t="s">
        <v>33</v>
      </c>
      <c r="P2" s="24" t="s">
        <v>34</v>
      </c>
      <c r="Q2" s="119" t="s">
        <v>116</v>
      </c>
      <c r="R2" s="24" t="s">
        <v>117</v>
      </c>
      <c r="S2" s="24" t="s">
        <v>118</v>
      </c>
      <c r="T2" s="24" t="s">
        <v>39</v>
      </c>
      <c r="U2" s="25" t="s">
        <v>42</v>
      </c>
      <c r="V2" s="25" t="s">
        <v>119</v>
      </c>
      <c r="W2" s="25" t="s">
        <v>44</v>
      </c>
      <c r="X2" s="25" t="s">
        <v>120</v>
      </c>
      <c r="Y2" s="25" t="s">
        <v>121</v>
      </c>
      <c r="Z2" s="25" t="s">
        <v>122</v>
      </c>
      <c r="AA2" s="25" t="s">
        <v>123</v>
      </c>
      <c r="AB2" s="25" t="s">
        <v>124</v>
      </c>
      <c r="AC2" s="26" t="s">
        <v>125</v>
      </c>
      <c r="AD2" s="26" t="s">
        <v>126</v>
      </c>
      <c r="AE2" s="26" t="s">
        <v>127</v>
      </c>
      <c r="AF2" s="26" t="s">
        <v>128</v>
      </c>
      <c r="AG2" s="26" t="s">
        <v>981</v>
      </c>
      <c r="AH2" s="26" t="s">
        <v>129</v>
      </c>
      <c r="AI2" s="26" t="s">
        <v>130</v>
      </c>
      <c r="AJ2" s="26" t="s">
        <v>131</v>
      </c>
      <c r="AK2" s="26" t="s">
        <v>132</v>
      </c>
      <c r="AL2" s="26" t="s">
        <v>61</v>
      </c>
      <c r="AM2" s="26" t="s">
        <v>133</v>
      </c>
      <c r="AN2" s="26" t="s">
        <v>134</v>
      </c>
      <c r="AO2" s="26" t="s">
        <v>66</v>
      </c>
      <c r="AP2" s="15" t="s">
        <v>135</v>
      </c>
      <c r="AQ2" s="15" t="s">
        <v>136</v>
      </c>
      <c r="AR2" s="39" t="s">
        <v>137</v>
      </c>
      <c r="AS2" s="38" t="s">
        <v>138</v>
      </c>
      <c r="AT2" s="39" t="s">
        <v>139</v>
      </c>
      <c r="AU2" s="39" t="s">
        <v>140</v>
      </c>
      <c r="AV2" s="39" t="s">
        <v>141</v>
      </c>
      <c r="AW2" s="39" t="s">
        <v>142</v>
      </c>
      <c r="AX2" s="39" t="s">
        <v>143</v>
      </c>
      <c r="AY2" s="39" t="s">
        <v>144</v>
      </c>
      <c r="AZ2" s="39" t="s">
        <v>145</v>
      </c>
      <c r="BA2" s="39" t="s">
        <v>146</v>
      </c>
      <c r="BB2" s="39" t="s">
        <v>147</v>
      </c>
      <c r="BC2" s="40" t="s">
        <v>82</v>
      </c>
      <c r="BD2" s="40" t="s">
        <v>83</v>
      </c>
      <c r="BE2" s="40" t="s">
        <v>84</v>
      </c>
      <c r="BF2" s="40" t="s">
        <v>85</v>
      </c>
      <c r="BG2" s="40" t="s">
        <v>656</v>
      </c>
      <c r="BH2" s="40" t="s">
        <v>148</v>
      </c>
      <c r="BI2" s="40" t="s">
        <v>149</v>
      </c>
      <c r="BJ2" s="40" t="s">
        <v>150</v>
      </c>
      <c r="BK2" s="40" t="s">
        <v>151</v>
      </c>
      <c r="BL2" s="40" t="s">
        <v>152</v>
      </c>
      <c r="BM2" s="40" t="s">
        <v>153</v>
      </c>
      <c r="BN2" s="40" t="s">
        <v>154</v>
      </c>
      <c r="BO2" s="41" t="s">
        <v>155</v>
      </c>
      <c r="BP2" s="42" t="s">
        <v>95</v>
      </c>
      <c r="BQ2" s="42" t="s">
        <v>156</v>
      </c>
      <c r="BR2" s="42" t="s">
        <v>157</v>
      </c>
      <c r="BS2" s="42" t="s">
        <v>158</v>
      </c>
      <c r="BT2" s="9" t="s">
        <v>159</v>
      </c>
      <c r="BU2" s="10" t="s">
        <v>160</v>
      </c>
      <c r="BV2" s="10" t="s">
        <v>161</v>
      </c>
      <c r="BW2" s="49" t="s">
        <v>162</v>
      </c>
      <c r="BX2" s="49" t="s">
        <v>163</v>
      </c>
      <c r="BY2" s="49" t="s">
        <v>164</v>
      </c>
      <c r="BZ2" s="49" t="s">
        <v>165</v>
      </c>
      <c r="CA2" s="50" t="s">
        <v>684</v>
      </c>
      <c r="CB2" s="50" t="s">
        <v>108</v>
      </c>
      <c r="CC2" s="50" t="s">
        <v>109</v>
      </c>
      <c r="CD2" s="51" t="s">
        <v>110</v>
      </c>
    </row>
    <row r="3" spans="1:82" s="6" customFormat="1" ht="17">
      <c r="A3" s="21">
        <v>1</v>
      </c>
      <c r="B3" s="21">
        <v>2</v>
      </c>
      <c r="C3" s="22">
        <v>3</v>
      </c>
      <c r="D3" s="22">
        <v>4</v>
      </c>
      <c r="E3" s="22">
        <v>5</v>
      </c>
      <c r="F3" s="22">
        <v>6</v>
      </c>
      <c r="G3" s="23">
        <v>7</v>
      </c>
      <c r="H3" s="23">
        <v>8</v>
      </c>
      <c r="I3" s="23">
        <v>9</v>
      </c>
      <c r="J3" s="23">
        <v>10</v>
      </c>
      <c r="K3" s="23">
        <v>11</v>
      </c>
      <c r="L3" s="23">
        <v>12</v>
      </c>
      <c r="M3" s="24" t="s">
        <v>29</v>
      </c>
      <c r="N3" s="24" t="s">
        <v>31</v>
      </c>
      <c r="O3" s="24">
        <v>14</v>
      </c>
      <c r="P3" s="24">
        <v>15</v>
      </c>
      <c r="Q3" s="24">
        <v>16</v>
      </c>
      <c r="R3" s="24">
        <v>17</v>
      </c>
      <c r="S3" s="24">
        <v>18</v>
      </c>
      <c r="T3" s="24">
        <v>19</v>
      </c>
      <c r="U3" s="25">
        <v>20</v>
      </c>
      <c r="V3" s="25">
        <v>21</v>
      </c>
      <c r="W3" s="25">
        <v>22</v>
      </c>
      <c r="X3" s="25">
        <v>23</v>
      </c>
      <c r="Y3" s="25">
        <v>24</v>
      </c>
      <c r="Z3" s="25">
        <v>25</v>
      </c>
      <c r="AA3" s="25">
        <v>26</v>
      </c>
      <c r="AB3" s="25">
        <v>27</v>
      </c>
      <c r="AC3" s="26">
        <v>28</v>
      </c>
      <c r="AD3" s="26">
        <v>29</v>
      </c>
      <c r="AE3" s="26">
        <v>30</v>
      </c>
      <c r="AF3" s="26">
        <v>31</v>
      </c>
      <c r="AG3" s="26">
        <v>32</v>
      </c>
      <c r="AH3" s="26">
        <v>33</v>
      </c>
      <c r="AI3" s="26">
        <v>34</v>
      </c>
      <c r="AJ3" s="26">
        <v>35</v>
      </c>
      <c r="AK3" s="26">
        <v>36</v>
      </c>
      <c r="AL3" s="26">
        <v>37</v>
      </c>
      <c r="AM3" s="26" t="s">
        <v>62</v>
      </c>
      <c r="AN3" s="26" t="s">
        <v>64</v>
      </c>
      <c r="AO3" s="26">
        <v>39</v>
      </c>
      <c r="AP3" s="15">
        <v>40</v>
      </c>
      <c r="AQ3" s="15">
        <v>41</v>
      </c>
      <c r="AR3" s="43">
        <v>42</v>
      </c>
      <c r="AS3" s="43"/>
      <c r="AT3" s="43">
        <v>43</v>
      </c>
      <c r="AU3" s="43">
        <v>45</v>
      </c>
      <c r="AV3" s="43">
        <v>46</v>
      </c>
      <c r="AW3" s="43">
        <v>47</v>
      </c>
      <c r="AX3" s="43">
        <v>48</v>
      </c>
      <c r="AY3" s="43">
        <v>49</v>
      </c>
      <c r="AZ3" s="43">
        <v>50</v>
      </c>
      <c r="BA3" s="43">
        <v>51</v>
      </c>
      <c r="BB3" s="43">
        <v>52</v>
      </c>
      <c r="BC3" s="44">
        <v>53</v>
      </c>
      <c r="BD3" s="44">
        <v>54</v>
      </c>
      <c r="BE3" s="44">
        <v>55</v>
      </c>
      <c r="BF3" s="44">
        <v>56</v>
      </c>
      <c r="BG3" s="44" t="s">
        <v>655</v>
      </c>
      <c r="BH3" s="44">
        <v>57</v>
      </c>
      <c r="BI3" s="44">
        <v>58</v>
      </c>
      <c r="BJ3" s="44">
        <v>59</v>
      </c>
      <c r="BK3" s="44">
        <v>60</v>
      </c>
      <c r="BL3" s="44">
        <v>61</v>
      </c>
      <c r="BM3" s="44">
        <v>62</v>
      </c>
      <c r="BN3" s="44">
        <v>63</v>
      </c>
      <c r="BO3" s="44">
        <v>64</v>
      </c>
      <c r="BP3" s="45">
        <v>65</v>
      </c>
      <c r="BQ3" s="45">
        <v>66</v>
      </c>
      <c r="BR3" s="45">
        <v>67</v>
      </c>
      <c r="BS3" s="45">
        <v>68</v>
      </c>
      <c r="BT3" s="11">
        <v>69</v>
      </c>
      <c r="BU3" s="11">
        <v>70</v>
      </c>
      <c r="BV3" s="11">
        <v>71</v>
      </c>
      <c r="BW3" s="11">
        <v>72</v>
      </c>
      <c r="BX3" s="11">
        <v>73</v>
      </c>
      <c r="BY3" s="11">
        <v>74</v>
      </c>
      <c r="BZ3" s="11">
        <v>75</v>
      </c>
      <c r="CA3" s="52"/>
      <c r="CB3" s="52">
        <v>76</v>
      </c>
      <c r="CC3" s="52">
        <v>77</v>
      </c>
      <c r="CD3" s="52">
        <v>78</v>
      </c>
    </row>
    <row r="4" spans="1:82">
      <c r="A4" s="123" t="s">
        <v>616</v>
      </c>
      <c r="B4" s="124" t="s">
        <v>731</v>
      </c>
      <c r="C4" s="125" t="s">
        <v>674</v>
      </c>
      <c r="D4" s="125" t="s">
        <v>167</v>
      </c>
      <c r="E4" s="127">
        <v>22.887930000000001</v>
      </c>
      <c r="F4" s="127">
        <v>115.67025</v>
      </c>
      <c r="G4" s="128" t="s">
        <v>168</v>
      </c>
      <c r="H4" s="145">
        <v>8720.681864716249</v>
      </c>
      <c r="I4" s="145">
        <v>203.03459607662927</v>
      </c>
      <c r="J4" s="129">
        <v>9192</v>
      </c>
      <c r="K4" s="129">
        <v>544</v>
      </c>
      <c r="L4" s="129">
        <v>605</v>
      </c>
      <c r="M4" s="146" t="s">
        <v>719</v>
      </c>
      <c r="N4" s="146" t="s">
        <v>617</v>
      </c>
      <c r="O4" s="130" t="s">
        <v>175</v>
      </c>
      <c r="P4" s="130" t="s">
        <v>175</v>
      </c>
      <c r="Q4" s="130" t="s">
        <v>377</v>
      </c>
      <c r="R4" s="131">
        <v>24.9</v>
      </c>
      <c r="S4" s="131" t="s">
        <v>175</v>
      </c>
      <c r="T4" s="130">
        <v>1</v>
      </c>
      <c r="U4" s="132" t="s">
        <v>173</v>
      </c>
      <c r="V4" s="133">
        <v>0.1</v>
      </c>
      <c r="W4" s="132" t="s">
        <v>174</v>
      </c>
      <c r="X4" s="133">
        <v>0.1</v>
      </c>
      <c r="Y4" s="133">
        <v>0.05</v>
      </c>
      <c r="Z4" s="133">
        <v>0.01</v>
      </c>
      <c r="AA4" s="133">
        <v>0.15</v>
      </c>
      <c r="AB4" s="133">
        <f t="shared" ref="AB4:AB5" si="0">0.02*R4</f>
        <v>0.498</v>
      </c>
      <c r="AC4" s="134">
        <v>0</v>
      </c>
      <c r="AD4" s="134">
        <v>0</v>
      </c>
      <c r="AE4" s="134">
        <v>0.5</v>
      </c>
      <c r="AF4" s="134">
        <v>0</v>
      </c>
      <c r="AG4" s="134">
        <v>0.1</v>
      </c>
      <c r="AH4" s="134">
        <v>0</v>
      </c>
      <c r="AI4" s="134">
        <v>0</v>
      </c>
      <c r="AJ4" s="134">
        <v>0</v>
      </c>
      <c r="AK4" s="134" t="s">
        <v>175</v>
      </c>
      <c r="AL4" s="122" t="s">
        <v>175</v>
      </c>
      <c r="AM4" s="122">
        <v>-17.8</v>
      </c>
      <c r="AN4" s="134" t="s">
        <v>176</v>
      </c>
      <c r="AO4" s="122" t="s">
        <v>177</v>
      </c>
      <c r="AP4" s="135">
        <f t="shared" ref="AP4:AP36" si="1">SQRT(SUMSQ(IF(OR(Y4="nd",Y4="nd"),0,Y4),IF(OR(Z4="nd",Z4="nd"),0,Z4),IF(OR(AA4="nd",AA4="nd"),0,AA4),IF(OR(AB4="nd",AB4="nd"),0,AB4),IF(OR(AC4="nd",AC4="nd"),0,AC4),IF(OR(AD4="nd",AD4="nd"),0,AD4),IF(OR(AE4="nd",AE4="nd"),0,AE4),IF(OR(AF4="nd",AF4="nd"),0,AF4),IF(OR(AG4="nd",AG4="nd"),0,AG4),IF(OR(AH4="nd",AH4="nd"),0,AH4),IF(OR(AI4="nd",AI4="nd"),0,AI4),IF(OR(AJ4="nd",AJ4="nd"),0,AJ4)))</f>
        <v>0.73013971265778987</v>
      </c>
      <c r="AQ4" s="135">
        <f t="shared" ref="AQ4:AQ42" si="2">SQRT(SUMSQ(IF(OR(Y4="nd",Y4="nd"),0,Y4),IF(OR(Z4="nd",Z4="nd"),0,Z4),IF(OR(AA4="nd",AA4="nd"),0,AA4),IF(OR(AB4="nd",AB4="nd"),0,AB4),IF(OR(AC4="nd",AC4="nd"),0,AC4),IF(OR(AD4="nd",AD4="nd"),0,AD4),IF(OR(AE4="nd",AE4="nd"),0,AE4),IF(OR(AF4="nd",AF4="nd"),0,AF4),IF(OR(AG4="nd",AG4="nd"),0,AG4),IF(OR(AH4="nd",AH4="nd"),0,AH4),IF(OR(AI4="nd",AI4="nd"),0,AI4),IF(OR(AJ4="nd",AJ4="nd"),0,AJ4)))</f>
        <v>0.73013971265778987</v>
      </c>
      <c r="AR4" s="117">
        <v>-0.93383445099999995</v>
      </c>
      <c r="AS4" s="117">
        <v>0</v>
      </c>
      <c r="AT4" s="117">
        <v>0</v>
      </c>
      <c r="AU4" s="117">
        <v>-0.52614864500000003</v>
      </c>
      <c r="AV4" s="117">
        <v>-0.32614864500000001</v>
      </c>
      <c r="AW4" s="117">
        <v>2.6942580000000002E-3</v>
      </c>
      <c r="AX4" s="117">
        <v>0.28153716099999998</v>
      </c>
      <c r="AY4" s="117">
        <v>0.58153716099999997</v>
      </c>
      <c r="AZ4" s="117">
        <v>0</v>
      </c>
      <c r="BA4" s="117">
        <v>0</v>
      </c>
      <c r="BB4" s="117">
        <v>1.0892229680000001</v>
      </c>
      <c r="BC4" s="136" t="str">
        <f t="shared" ref="BC4:BC65" si="3">IF(BG4="1","1 ",
IF(BG4="2a","0",
IF(BG4="2b","1 ",
IF(BG4="3a","-1 ",
IF(BG4="3b","0 ",
IF(BG4="3c","0",
IF(BG4="3d","-1 ",
IF(BG4="3e","1 ",
IF(BG4="4","1 ",
IF(BG4="5","1",
IF(BG4="6","-1 ",
IF(BG4="7","-1 ",
IF(BG4="8","0",
IF(BG4="9","-1",
IF(BG4="10a","-1 ",
IF(BG4="10b","0",
IF(BG4="11","1 ",
IF(BG4="12a","0",
IF(BG4="12b","-1 ","")))))))))))))))))))</f>
        <v>-1</v>
      </c>
      <c r="BD4" s="136" t="s">
        <v>178</v>
      </c>
      <c r="BE4" s="136" t="s">
        <v>518</v>
      </c>
      <c r="BF4" s="136" t="s">
        <v>712</v>
      </c>
      <c r="BG4" s="120" t="s">
        <v>678</v>
      </c>
      <c r="BH4" s="136" t="str">
        <f t="shared" ref="BH4:BH16" si="4">IF(BG4="1","&gt;MTL",
IF(BG4="2a","HAT-LAT",
IF(BG4="2b","&gt;MLLW",
IF(BG4="3a","&lt;HAT",
IF(BG4="3b","MLLW-LAT",
IF(BG4="3c","(MLLW)-(MLLW-8)",
IF(BG4="3d","&lt;HAT",
IF(BG4="3e","&gt;MLLW",
IF(BG4="4","&gt;MTL",
IF(BG4="5","&gt;MTL",
IF(BG4="6","&lt;HAT",
IF(BG4="7","&lt;HAT",
IF(BG4="8","HAT-MTL",
IF(BG4="9","&lt;MTL",
IF(BG4="10a","&lt;MTL",
IF(BG4="10b","MHHW-MLLW",
IF(BG4="11","&gt;MHHW",
IF(BG4="12a","HAT-LAT",
IF(BG4="12b","&lt;HAT","")))))))))))))))))))</f>
        <v>&lt;MTL</v>
      </c>
      <c r="BI4" s="136">
        <f t="shared" ref="BI4:BI16" si="5">IF(BG4="1",AW4,
IF(BG4="2a",(AR4+BB4)/2,
IF(BG4="2b",AU4,
IF(BG4="3a",BB4,
IF(BG4="3b",(AU4+AR4)/2,
IF(BG4="3c",(AU4+(AU4-8))/2,
IF(BG4="3d",BB4,
IF(BG4="3e",AU4,
IF(BG4="4",AW4,
IF(BG4="5",AW4,
IF(BG4="6",BB4,
IF(BG4="7",BB4,
IF(BG4="8",(AW4+BB4)/2,
IF(BG4="9",AW4,
IF(BG4="10a",AW4,
IF(BG4="10b",(AU4+AY4)/2,
IF(BG4="11",AY4,
IF(BG4="12a",(AR4+BB4)/2,
IF(BG4="12b",BB4,"")))))))))))))))))))</f>
        <v>2.6942580000000002E-3</v>
      </c>
      <c r="BJ4" s="136" t="str">
        <f t="shared" ref="BJ4:BJ20" si="6">IF(BG4="1","Nil",
IF(BG4="2a",(BB4-AR4)/2,
IF(BG4="2b","Nil",
IF(BG4="3a","Nil",
IF(BG4="3b",(AU4 -AR4)/2,
IF(BG4="3c",4,
IF(BG4="3d","Nil",
IF(BG4="3e","Nil",
IF(BG4="4","Nil",
IF(BG4="5","Nil",
IF(BG4="6","Nil",
IF(BG4="7","Nil",
IF(BG4="8",(BB4-AW4)/2,
IF(BG4="9","Nil",
IF(BG4="10a","Nil",
IF(BG4="10b",(AY4-AU4)/2,
IF(BG4="11","Nil",
IF(BG4="12a",(BB4-AR4)/2,
IF(BG4="12b","Nil","")))))))))))))))))))</f>
        <v>Nil</v>
      </c>
      <c r="BK4" s="136">
        <f t="shared" ref="BK4:BK19" si="7">IF(BH4="HAT-LAT",0.27,
IF(BH4="HAT-MTL",0.09,
IF(BH4="MHHW-MLLW",0.27,IF(BH4="MLLW-LAT",0.27,
IF(BH4="(MLLW)-(MLLW-8)",0.4,
IF(BH4="&lt;HAT",0.18,
IF(BH4="&gt;MHHW",0.44,
IF(BH4="&gt;MTL",0.05,
IF(BH4="&lt;MTL",0.05,
IF(BH4="&gt;MLLW",0.4,
IF(BH4="&lt;MLLW",0.4,"Nil")))))))))))</f>
        <v>0.05</v>
      </c>
      <c r="BL4" s="136" t="s">
        <v>736</v>
      </c>
      <c r="BM4" s="136" t="s">
        <v>175</v>
      </c>
      <c r="BN4" s="136" t="s">
        <v>175</v>
      </c>
      <c r="BO4" s="136" t="s">
        <v>736</v>
      </c>
      <c r="BP4" s="137" t="s">
        <v>175</v>
      </c>
      <c r="BQ4" s="137" t="s">
        <v>175</v>
      </c>
      <c r="BR4" s="137" t="s">
        <v>175</v>
      </c>
      <c r="BS4" s="137" t="s">
        <v>175</v>
      </c>
      <c r="BT4" s="138">
        <f t="shared" ref="BT4:BT65" si="8">AM4-BI4</f>
        <v>-17.802694257999999</v>
      </c>
      <c r="BU4" s="138">
        <f t="shared" ref="BU4:BU65" si="9">SQRT(SUMSQ(AP4,BJ4,IF(OR(BK4="nd",BK4="nd"),0,BK4),IF(OR(BL4="nd",BL4="nd"),0,BL4),IF(OR(BO4="nd",BO4="nd"),0,BO4)))</f>
        <v>0.73184971134789678</v>
      </c>
      <c r="BV4" s="138">
        <f t="shared" ref="BV4:BV65" si="10">SQRT(SUMSQ(AP4,BJ4,IF(OR(BK4="nd",BK4="nd"),0,BK4),IF(OR(BL4="nd",BL4="nd"),0,BL4),IF(OR(BO4="nd",BO4="nd"),0,BO4)))</f>
        <v>0.73184971134789678</v>
      </c>
      <c r="BW4" s="53" t="s">
        <v>175</v>
      </c>
      <c r="BX4" s="53" t="s">
        <v>175</v>
      </c>
      <c r="BY4" s="53" t="s">
        <v>175</v>
      </c>
      <c r="BZ4" s="53" t="s">
        <v>175</v>
      </c>
      <c r="CA4" s="147">
        <v>2</v>
      </c>
      <c r="CB4" s="54">
        <v>0</v>
      </c>
    </row>
    <row r="5" spans="1:82">
      <c r="A5" s="123" t="s">
        <v>620</v>
      </c>
      <c r="B5" s="124" t="s">
        <v>731</v>
      </c>
      <c r="C5" s="125" t="s">
        <v>674</v>
      </c>
      <c r="D5" s="125" t="s">
        <v>167</v>
      </c>
      <c r="E5" s="127">
        <v>22.825800000000001</v>
      </c>
      <c r="F5" s="127">
        <v>115.18684</v>
      </c>
      <c r="G5" s="128" t="s">
        <v>168</v>
      </c>
      <c r="H5" s="145">
        <v>4370.6818647162481</v>
      </c>
      <c r="I5" s="145">
        <v>182.61447698361707</v>
      </c>
      <c r="J5" s="129">
        <v>4333</v>
      </c>
      <c r="K5" s="129">
        <v>515</v>
      </c>
      <c r="L5" s="129">
        <v>526</v>
      </c>
      <c r="M5" s="146" t="s">
        <v>726</v>
      </c>
      <c r="N5" s="146" t="s">
        <v>339</v>
      </c>
      <c r="O5" s="130" t="s">
        <v>175</v>
      </c>
      <c r="P5" s="130" t="s">
        <v>175</v>
      </c>
      <c r="Q5" s="130" t="s">
        <v>172</v>
      </c>
      <c r="R5" s="131">
        <v>2.82</v>
      </c>
      <c r="S5" s="131" t="s">
        <v>175</v>
      </c>
      <c r="T5" s="130">
        <v>1</v>
      </c>
      <c r="U5" s="132" t="s">
        <v>173</v>
      </c>
      <c r="V5" s="133">
        <v>0.1</v>
      </c>
      <c r="W5" s="132" t="s">
        <v>174</v>
      </c>
      <c r="X5" s="133">
        <v>0.1</v>
      </c>
      <c r="Y5" s="133">
        <v>0.05</v>
      </c>
      <c r="Z5" s="133">
        <v>0.01</v>
      </c>
      <c r="AA5" s="133">
        <v>0.15</v>
      </c>
      <c r="AB5" s="133">
        <f t="shared" si="0"/>
        <v>5.6399999999999999E-2</v>
      </c>
      <c r="AC5" s="134">
        <v>0</v>
      </c>
      <c r="AD5" s="134">
        <v>0</v>
      </c>
      <c r="AE5" s="134">
        <v>0.5</v>
      </c>
      <c r="AF5" s="134">
        <v>0</v>
      </c>
      <c r="AG5" s="134">
        <v>0.1</v>
      </c>
      <c r="AH5" s="134">
        <v>0</v>
      </c>
      <c r="AI5" s="134">
        <v>0</v>
      </c>
      <c r="AJ5" s="134">
        <v>0</v>
      </c>
      <c r="AK5" s="134" t="s">
        <v>175</v>
      </c>
      <c r="AL5" s="122" t="s">
        <v>175</v>
      </c>
      <c r="AM5" s="122">
        <v>3</v>
      </c>
      <c r="AN5" s="134" t="s">
        <v>176</v>
      </c>
      <c r="AO5" s="122" t="s">
        <v>177</v>
      </c>
      <c r="AP5" s="135">
        <f t="shared" si="1"/>
        <v>0.53691801981308096</v>
      </c>
      <c r="AQ5" s="135">
        <f t="shared" si="2"/>
        <v>0.53691801981308096</v>
      </c>
      <c r="AR5" s="117">
        <v>-0.94330026300000003</v>
      </c>
      <c r="AS5" s="117">
        <v>0</v>
      </c>
      <c r="AT5" s="117">
        <v>0</v>
      </c>
      <c r="AU5" s="117">
        <v>-0.52165013199999999</v>
      </c>
      <c r="AV5" s="117">
        <v>-0.36082506600000003</v>
      </c>
      <c r="AW5" s="117">
        <v>4.3812010000000004E-3</v>
      </c>
      <c r="AX5" s="117">
        <v>0.3</v>
      </c>
      <c r="AY5" s="117">
        <v>0.6</v>
      </c>
      <c r="AZ5" s="117">
        <v>0</v>
      </c>
      <c r="BA5" s="117">
        <v>0</v>
      </c>
      <c r="BB5" s="117">
        <v>1.0433002629999999</v>
      </c>
      <c r="BC5" s="136" t="str">
        <f t="shared" si="3"/>
        <v xml:space="preserve">1 </v>
      </c>
      <c r="BD5" s="136" t="s">
        <v>178</v>
      </c>
      <c r="BE5" s="136" t="s">
        <v>720</v>
      </c>
      <c r="BF5" s="136" t="s">
        <v>666</v>
      </c>
      <c r="BG5" s="120" t="s">
        <v>670</v>
      </c>
      <c r="BH5" s="136" t="str">
        <f t="shared" si="4"/>
        <v>&gt;MLLW</v>
      </c>
      <c r="BI5" s="136">
        <f t="shared" si="5"/>
        <v>-0.52165013199999999</v>
      </c>
      <c r="BJ5" s="136" t="str">
        <f t="shared" si="6"/>
        <v>Nil</v>
      </c>
      <c r="BK5" s="136">
        <f t="shared" si="7"/>
        <v>0.4</v>
      </c>
      <c r="BL5" s="136" t="s">
        <v>736</v>
      </c>
      <c r="BM5" s="136" t="s">
        <v>175</v>
      </c>
      <c r="BN5" s="136" t="s">
        <v>175</v>
      </c>
      <c r="BO5" s="136" t="s">
        <v>736</v>
      </c>
      <c r="BP5" s="137" t="s">
        <v>175</v>
      </c>
      <c r="BQ5" s="137" t="s">
        <v>175</v>
      </c>
      <c r="BR5" s="137" t="s">
        <v>175</v>
      </c>
      <c r="BS5" s="137" t="s">
        <v>175</v>
      </c>
      <c r="BT5" s="138">
        <f t="shared" si="8"/>
        <v>3.521650132</v>
      </c>
      <c r="BU5" s="138">
        <f t="shared" si="9"/>
        <v>0.66953787047485225</v>
      </c>
      <c r="BV5" s="138">
        <f t="shared" si="10"/>
        <v>0.66953787047485225</v>
      </c>
      <c r="BW5" s="53" t="s">
        <v>175</v>
      </c>
      <c r="BX5" s="53" t="s">
        <v>175</v>
      </c>
      <c r="BY5" s="53" t="s">
        <v>175</v>
      </c>
      <c r="BZ5" s="53" t="s">
        <v>175</v>
      </c>
      <c r="CA5" s="147">
        <v>2</v>
      </c>
      <c r="CB5" s="54">
        <v>0</v>
      </c>
    </row>
    <row r="6" spans="1:82">
      <c r="A6" s="123" t="s">
        <v>621</v>
      </c>
      <c r="B6" s="124" t="s">
        <v>731</v>
      </c>
      <c r="C6" s="125" t="s">
        <v>674</v>
      </c>
      <c r="D6" s="125" t="s">
        <v>167</v>
      </c>
      <c r="E6" s="127">
        <v>22.74587</v>
      </c>
      <c r="F6" s="127">
        <v>114.75836</v>
      </c>
      <c r="G6" s="128" t="s">
        <v>168</v>
      </c>
      <c r="H6" s="145">
        <v>1861.2776368064237</v>
      </c>
      <c r="I6" s="145">
        <v>141.74950401380599</v>
      </c>
      <c r="J6" s="129">
        <v>1779</v>
      </c>
      <c r="K6" s="129">
        <v>342</v>
      </c>
      <c r="L6" s="129">
        <v>365</v>
      </c>
      <c r="M6" s="146" t="s">
        <v>727</v>
      </c>
      <c r="N6" s="146" t="s">
        <v>569</v>
      </c>
      <c r="O6" s="130" t="s">
        <v>175</v>
      </c>
      <c r="P6" s="130" t="s">
        <v>175</v>
      </c>
      <c r="Q6" s="130" t="s">
        <v>172</v>
      </c>
      <c r="R6" s="131">
        <v>4.57</v>
      </c>
      <c r="S6" s="131" t="s">
        <v>175</v>
      </c>
      <c r="T6" s="130">
        <v>1</v>
      </c>
      <c r="U6" s="132" t="s">
        <v>173</v>
      </c>
      <c r="V6" s="133">
        <v>0.1</v>
      </c>
      <c r="W6" s="132" t="s">
        <v>174</v>
      </c>
      <c r="X6" s="133">
        <v>0.1</v>
      </c>
      <c r="Y6" s="133">
        <v>0.05</v>
      </c>
      <c r="Z6" s="133">
        <v>0.01</v>
      </c>
      <c r="AA6" s="133">
        <v>0.15</v>
      </c>
      <c r="AB6" s="133">
        <f>0.02*R6</f>
        <v>9.1400000000000009E-2</v>
      </c>
      <c r="AC6" s="134">
        <v>0</v>
      </c>
      <c r="AD6" s="134">
        <v>0</v>
      </c>
      <c r="AE6" s="134">
        <v>0.5</v>
      </c>
      <c r="AF6" s="134">
        <v>0</v>
      </c>
      <c r="AG6" s="134">
        <v>0.1</v>
      </c>
      <c r="AH6" s="134">
        <v>0</v>
      </c>
      <c r="AI6" s="134">
        <v>0</v>
      </c>
      <c r="AJ6" s="134">
        <v>0</v>
      </c>
      <c r="AK6" s="134" t="s">
        <v>175</v>
      </c>
      <c r="AL6" s="122" t="s">
        <v>175</v>
      </c>
      <c r="AM6" s="122">
        <v>1.5</v>
      </c>
      <c r="AN6" s="134" t="s">
        <v>176</v>
      </c>
      <c r="AO6" s="122" t="s">
        <v>177</v>
      </c>
      <c r="AP6" s="135">
        <f t="shared" si="1"/>
        <v>0.5417139097346495</v>
      </c>
      <c r="AQ6" s="135">
        <f t="shared" si="2"/>
        <v>0.5417139097346495</v>
      </c>
      <c r="AR6" s="117">
        <v>-1.019122842</v>
      </c>
      <c r="AS6" s="117">
        <v>0</v>
      </c>
      <c r="AT6" s="117">
        <v>0</v>
      </c>
      <c r="AU6" s="117">
        <v>-0.61448410899999995</v>
      </c>
      <c r="AV6" s="117">
        <v>-0.41448410899999999</v>
      </c>
      <c r="AW6" s="117">
        <v>1.4574782999999999E-2</v>
      </c>
      <c r="AX6" s="117">
        <v>0.394020235</v>
      </c>
      <c r="AY6" s="117">
        <v>0.69324711299999997</v>
      </c>
      <c r="AZ6" s="117">
        <v>0</v>
      </c>
      <c r="BA6" s="117">
        <v>0</v>
      </c>
      <c r="BB6" s="117">
        <v>1.193247113</v>
      </c>
      <c r="BC6" s="136" t="str">
        <f t="shared" si="3"/>
        <v xml:space="preserve">-1 </v>
      </c>
      <c r="BD6" s="136" t="s">
        <v>178</v>
      </c>
      <c r="BE6" s="136" t="s">
        <v>690</v>
      </c>
      <c r="BF6" s="136" t="s">
        <v>699</v>
      </c>
      <c r="BG6" s="120" t="s">
        <v>661</v>
      </c>
      <c r="BH6" s="136" t="str">
        <f t="shared" si="4"/>
        <v>&lt;HAT</v>
      </c>
      <c r="BI6" s="136">
        <f t="shared" si="5"/>
        <v>1.193247113</v>
      </c>
      <c r="BJ6" s="136" t="str">
        <f t="shared" si="6"/>
        <v>Nil</v>
      </c>
      <c r="BK6" s="136">
        <f t="shared" si="7"/>
        <v>0.18</v>
      </c>
      <c r="BL6" s="136" t="s">
        <v>736</v>
      </c>
      <c r="BM6" s="136" t="s">
        <v>175</v>
      </c>
      <c r="BN6" s="136" t="s">
        <v>175</v>
      </c>
      <c r="BO6" s="136" t="s">
        <v>736</v>
      </c>
      <c r="BP6" s="137" t="s">
        <v>175</v>
      </c>
      <c r="BQ6" s="137" t="s">
        <v>175</v>
      </c>
      <c r="BR6" s="137" t="s">
        <v>175</v>
      </c>
      <c r="BS6" s="137" t="s">
        <v>175</v>
      </c>
      <c r="BT6" s="138">
        <f t="shared" si="8"/>
        <v>0.30675288700000003</v>
      </c>
      <c r="BU6" s="138">
        <f t="shared" si="9"/>
        <v>0.57083619366679961</v>
      </c>
      <c r="BV6" s="138">
        <f t="shared" si="10"/>
        <v>0.57083619366679961</v>
      </c>
      <c r="BW6" s="53" t="s">
        <v>175</v>
      </c>
      <c r="BX6" s="53" t="s">
        <v>175</v>
      </c>
      <c r="BY6" s="53" t="s">
        <v>175</v>
      </c>
      <c r="BZ6" s="53" t="s">
        <v>175</v>
      </c>
      <c r="CA6" s="147">
        <v>2</v>
      </c>
      <c r="CB6" s="54">
        <v>0</v>
      </c>
    </row>
    <row r="7" spans="1:82">
      <c r="A7" s="123" t="s">
        <v>407</v>
      </c>
      <c r="B7" s="124" t="s">
        <v>744</v>
      </c>
      <c r="C7" s="148" t="s">
        <v>674</v>
      </c>
      <c r="D7" s="125" t="s">
        <v>167</v>
      </c>
      <c r="E7" s="127">
        <v>22.45</v>
      </c>
      <c r="F7" s="127">
        <v>114.5</v>
      </c>
      <c r="G7" s="128" t="s">
        <v>168</v>
      </c>
      <c r="H7" s="129">
        <v>2560.6818647162481</v>
      </c>
      <c r="I7" s="129">
        <v>97.714109544118543</v>
      </c>
      <c r="J7" s="129">
        <v>2075</v>
      </c>
      <c r="K7" s="129">
        <v>311</v>
      </c>
      <c r="L7" s="129">
        <v>344</v>
      </c>
      <c r="M7" s="130" t="s">
        <v>408</v>
      </c>
      <c r="N7" s="130" t="s">
        <v>339</v>
      </c>
      <c r="O7" s="130" t="s">
        <v>175</v>
      </c>
      <c r="P7" s="130" t="s">
        <v>368</v>
      </c>
      <c r="Q7" s="130" t="s">
        <v>377</v>
      </c>
      <c r="R7" s="131">
        <v>0</v>
      </c>
      <c r="S7" s="131" t="s">
        <v>175</v>
      </c>
      <c r="T7" s="130">
        <v>1</v>
      </c>
      <c r="U7" s="132" t="s">
        <v>365</v>
      </c>
      <c r="V7" s="133">
        <v>0.1</v>
      </c>
      <c r="W7" s="132" t="s">
        <v>174</v>
      </c>
      <c r="X7" s="133">
        <v>0.1</v>
      </c>
      <c r="Y7" s="133">
        <v>0.05</v>
      </c>
      <c r="Z7" s="133">
        <v>0.01</v>
      </c>
      <c r="AA7" s="133">
        <v>0</v>
      </c>
      <c r="AB7" s="133">
        <v>0</v>
      </c>
      <c r="AC7" s="134">
        <v>0</v>
      </c>
      <c r="AD7" s="134">
        <v>0</v>
      </c>
      <c r="AE7" s="134">
        <v>0.5</v>
      </c>
      <c r="AF7" s="134">
        <v>0</v>
      </c>
      <c r="AG7" s="134">
        <v>0.1</v>
      </c>
      <c r="AH7" s="134">
        <v>0</v>
      </c>
      <c r="AI7" s="134">
        <v>0</v>
      </c>
      <c r="AJ7" s="134">
        <v>0</v>
      </c>
      <c r="AK7" s="134" t="s">
        <v>175</v>
      </c>
      <c r="AL7" s="122" t="s">
        <v>175</v>
      </c>
      <c r="AM7" s="122">
        <v>1.5</v>
      </c>
      <c r="AN7" s="134" t="s">
        <v>176</v>
      </c>
      <c r="AO7" s="122" t="s">
        <v>177</v>
      </c>
      <c r="AP7" s="135">
        <f t="shared" si="1"/>
        <v>0.51244511901275824</v>
      </c>
      <c r="AQ7" s="135">
        <f t="shared" si="2"/>
        <v>0.51244511901275824</v>
      </c>
      <c r="AR7" s="117">
        <v>-1.1048023419999999</v>
      </c>
      <c r="AS7" s="117">
        <v>0</v>
      </c>
      <c r="AT7" s="117">
        <v>0</v>
      </c>
      <c r="AU7" s="117">
        <v>-0.65240117099999995</v>
      </c>
      <c r="AV7" s="117">
        <v>-0.402401171</v>
      </c>
      <c r="AW7" s="117">
        <v>2.4399707E-2</v>
      </c>
      <c r="AX7" s="117">
        <v>0.4</v>
      </c>
      <c r="AY7" s="117">
        <v>0.75240117100000004</v>
      </c>
      <c r="AZ7" s="117">
        <v>0</v>
      </c>
      <c r="BA7" s="117">
        <v>0</v>
      </c>
      <c r="BB7" s="117">
        <v>1.204802342</v>
      </c>
      <c r="BC7" s="136" t="str">
        <f t="shared" si="3"/>
        <v>0</v>
      </c>
      <c r="BD7" s="136" t="s">
        <v>178</v>
      </c>
      <c r="BE7" s="136" t="s">
        <v>695</v>
      </c>
      <c r="BF7" s="136" t="s">
        <v>409</v>
      </c>
      <c r="BG7" s="120" t="s">
        <v>676</v>
      </c>
      <c r="BH7" s="136" t="str">
        <f t="shared" si="4"/>
        <v>HAT-LAT</v>
      </c>
      <c r="BI7" s="136">
        <f t="shared" si="5"/>
        <v>5.0000000000000044E-2</v>
      </c>
      <c r="BJ7" s="136">
        <f t="shared" si="6"/>
        <v>1.154802342</v>
      </c>
      <c r="BK7" s="136">
        <f t="shared" si="7"/>
        <v>0.27</v>
      </c>
      <c r="BL7" s="136">
        <v>0.13649220648930305</v>
      </c>
      <c r="BM7" s="136" t="s">
        <v>175</v>
      </c>
      <c r="BN7" s="136" t="s">
        <v>175</v>
      </c>
      <c r="BO7" s="136">
        <v>2.3877492468165951E-2</v>
      </c>
      <c r="BP7" s="137" t="s">
        <v>175</v>
      </c>
      <c r="BQ7" s="137" t="s">
        <v>175</v>
      </c>
      <c r="BR7" s="137" t="s">
        <v>175</v>
      </c>
      <c r="BS7" s="137" t="s">
        <v>175</v>
      </c>
      <c r="BT7" s="138">
        <f>AM7-BI7</f>
        <v>1.45</v>
      </c>
      <c r="BU7" s="138">
        <f>SQRT(SUMSQ(AP7,BJ7,IF(OR(BK7="nd",BK7="nd"),0,BK7),IF(OR(BL7="nd",BL7="nd"),0,BL7),IF(OR(BO7="nd",BO7="nd"),0,BO7)))</f>
        <v>1.2993339471312104</v>
      </c>
      <c r="BV7" s="138">
        <f t="shared" si="10"/>
        <v>1.2993339471312104</v>
      </c>
      <c r="BW7" s="53" t="s">
        <v>175</v>
      </c>
      <c r="BX7" s="53" t="s">
        <v>175</v>
      </c>
      <c r="BY7" s="53" t="s">
        <v>175</v>
      </c>
      <c r="BZ7" s="53" t="s">
        <v>175</v>
      </c>
      <c r="CA7" s="147">
        <v>2</v>
      </c>
      <c r="CB7" s="54">
        <v>0</v>
      </c>
    </row>
    <row r="8" spans="1:82">
      <c r="A8" s="123" t="s">
        <v>745</v>
      </c>
      <c r="B8" s="124" t="s">
        <v>744</v>
      </c>
      <c r="C8" s="148" t="s">
        <v>674</v>
      </c>
      <c r="D8" s="125" t="s">
        <v>167</v>
      </c>
      <c r="E8" s="127">
        <v>22.45</v>
      </c>
      <c r="F8" s="127">
        <v>114.5</v>
      </c>
      <c r="G8" s="128" t="s">
        <v>168</v>
      </c>
      <c r="H8" s="129">
        <v>3750.6818647162481</v>
      </c>
      <c r="I8" s="129">
        <v>129.317621397859</v>
      </c>
      <c r="J8" s="129">
        <v>3535</v>
      </c>
      <c r="K8" s="129">
        <v>404</v>
      </c>
      <c r="L8" s="129">
        <v>387</v>
      </c>
      <c r="M8" s="130" t="s">
        <v>438</v>
      </c>
      <c r="N8" s="130" t="s">
        <v>339</v>
      </c>
      <c r="O8" s="130" t="s">
        <v>439</v>
      </c>
      <c r="P8" s="130" t="s">
        <v>440</v>
      </c>
      <c r="Q8" s="130" t="s">
        <v>377</v>
      </c>
      <c r="R8" s="131">
        <v>5.66</v>
      </c>
      <c r="S8" s="131">
        <v>4.62</v>
      </c>
      <c r="T8" s="130">
        <v>1</v>
      </c>
      <c r="U8" s="132" t="s">
        <v>173</v>
      </c>
      <c r="V8" s="133">
        <v>0.1</v>
      </c>
      <c r="W8" s="132" t="s">
        <v>174</v>
      </c>
      <c r="X8" s="133">
        <v>0.1</v>
      </c>
      <c r="Y8" s="133">
        <v>0.05</v>
      </c>
      <c r="Z8" s="133">
        <v>0.01</v>
      </c>
      <c r="AA8" s="133">
        <v>0.15</v>
      </c>
      <c r="AB8" s="133">
        <f t="shared" ref="AB8:AB19" si="11">0.02*R8</f>
        <v>0.11320000000000001</v>
      </c>
      <c r="AC8" s="134">
        <v>0</v>
      </c>
      <c r="AD8" s="134">
        <v>0</v>
      </c>
      <c r="AE8" s="134">
        <v>0.5</v>
      </c>
      <c r="AF8" s="134">
        <v>0</v>
      </c>
      <c r="AG8" s="134">
        <v>0.1</v>
      </c>
      <c r="AH8" s="134">
        <v>0</v>
      </c>
      <c r="AI8" s="134">
        <v>0</v>
      </c>
      <c r="AJ8" s="134">
        <v>0</v>
      </c>
      <c r="AK8" s="134" t="s">
        <v>175</v>
      </c>
      <c r="AL8" s="122" t="s">
        <v>175</v>
      </c>
      <c r="AM8" s="122">
        <v>-4.4000000000000004</v>
      </c>
      <c r="AN8" s="134" t="s">
        <v>176</v>
      </c>
      <c r="AO8" s="134" t="s">
        <v>177</v>
      </c>
      <c r="AP8" s="135">
        <f t="shared" si="1"/>
        <v>0.54581520682370144</v>
      </c>
      <c r="AQ8" s="135">
        <f t="shared" si="2"/>
        <v>0.54581520682370144</v>
      </c>
      <c r="AR8" s="117">
        <v>-1.1048023419999999</v>
      </c>
      <c r="AS8" s="117">
        <v>0</v>
      </c>
      <c r="AT8" s="117">
        <v>0</v>
      </c>
      <c r="AU8" s="117">
        <v>-0.65240117099999995</v>
      </c>
      <c r="AV8" s="117">
        <v>-0.402401171</v>
      </c>
      <c r="AW8" s="117">
        <v>2.4399707E-2</v>
      </c>
      <c r="AX8" s="117">
        <v>0.4</v>
      </c>
      <c r="AY8" s="117">
        <v>0.75240117100000004</v>
      </c>
      <c r="AZ8" s="117">
        <v>0</v>
      </c>
      <c r="BA8" s="117">
        <v>0</v>
      </c>
      <c r="BB8" s="117">
        <v>1.204802342</v>
      </c>
      <c r="BC8" s="136" t="str">
        <f t="shared" si="3"/>
        <v>-1</v>
      </c>
      <c r="BD8" s="136" t="s">
        <v>178</v>
      </c>
      <c r="BE8" s="136" t="s">
        <v>518</v>
      </c>
      <c r="BF8" s="136" t="s">
        <v>292</v>
      </c>
      <c r="BG8" s="120" t="s">
        <v>678</v>
      </c>
      <c r="BH8" s="136" t="str">
        <f t="shared" si="4"/>
        <v>&lt;MTL</v>
      </c>
      <c r="BI8" s="136">
        <f t="shared" si="5"/>
        <v>2.4399707E-2</v>
      </c>
      <c r="BJ8" s="136" t="str">
        <f t="shared" si="6"/>
        <v>Nil</v>
      </c>
      <c r="BK8" s="136">
        <f t="shared" si="7"/>
        <v>0.05</v>
      </c>
      <c r="BL8" s="136" t="s">
        <v>736</v>
      </c>
      <c r="BM8" s="136" t="s">
        <v>175</v>
      </c>
      <c r="BN8" s="136" t="s">
        <v>175</v>
      </c>
      <c r="BO8" s="136" t="s">
        <v>736</v>
      </c>
      <c r="BP8" s="137" t="s">
        <v>175</v>
      </c>
      <c r="BQ8" s="137" t="s">
        <v>175</v>
      </c>
      <c r="BR8" s="137" t="s">
        <v>175</v>
      </c>
      <c r="BS8" s="137" t="s">
        <v>175</v>
      </c>
      <c r="BT8" s="138">
        <f t="shared" si="8"/>
        <v>-4.4243997070000001</v>
      </c>
      <c r="BU8" s="138">
        <f t="shared" si="9"/>
        <v>0.54810057471234241</v>
      </c>
      <c r="BV8" s="138">
        <f t="shared" si="10"/>
        <v>0.54810057471234241</v>
      </c>
      <c r="BW8" s="53" t="s">
        <v>175</v>
      </c>
      <c r="BX8" s="53" t="s">
        <v>175</v>
      </c>
      <c r="BY8" s="53" t="s">
        <v>175</v>
      </c>
      <c r="BZ8" s="53" t="s">
        <v>175</v>
      </c>
      <c r="CA8" s="147">
        <v>2</v>
      </c>
      <c r="CB8" s="54">
        <v>0</v>
      </c>
    </row>
    <row r="9" spans="1:82">
      <c r="A9" s="123" t="s">
        <v>746</v>
      </c>
      <c r="B9" s="124" t="s">
        <v>744</v>
      </c>
      <c r="C9" s="148" t="s">
        <v>674</v>
      </c>
      <c r="D9" s="125" t="s">
        <v>167</v>
      </c>
      <c r="E9" s="127">
        <v>22.45</v>
      </c>
      <c r="F9" s="127">
        <v>114.5</v>
      </c>
      <c r="G9" s="128" t="s">
        <v>168</v>
      </c>
      <c r="H9" s="129">
        <v>4368.8105623511901</v>
      </c>
      <c r="I9" s="129">
        <v>172.23393710447482</v>
      </c>
      <c r="J9" s="129">
        <v>4331</v>
      </c>
      <c r="K9" s="129">
        <v>493</v>
      </c>
      <c r="L9" s="129">
        <v>499</v>
      </c>
      <c r="M9" s="130" t="s">
        <v>451</v>
      </c>
      <c r="N9" s="130" t="s">
        <v>339</v>
      </c>
      <c r="O9" s="130" t="s">
        <v>452</v>
      </c>
      <c r="P9" s="130" t="s">
        <v>453</v>
      </c>
      <c r="Q9" s="130" t="s">
        <v>172</v>
      </c>
      <c r="R9" s="131">
        <v>8</v>
      </c>
      <c r="S9" s="131" t="s">
        <v>175</v>
      </c>
      <c r="T9" s="130">
        <v>1</v>
      </c>
      <c r="U9" s="132" t="s">
        <v>173</v>
      </c>
      <c r="V9" s="133">
        <v>0.1</v>
      </c>
      <c r="W9" s="132" t="s">
        <v>174</v>
      </c>
      <c r="X9" s="133">
        <v>0.1</v>
      </c>
      <c r="Y9" s="133">
        <v>0.05</v>
      </c>
      <c r="Z9" s="133">
        <v>0.01</v>
      </c>
      <c r="AA9" s="133">
        <v>0.15</v>
      </c>
      <c r="AB9" s="133">
        <f t="shared" si="11"/>
        <v>0.16</v>
      </c>
      <c r="AC9" s="134">
        <v>0</v>
      </c>
      <c r="AD9" s="134">
        <v>0</v>
      </c>
      <c r="AE9" s="134">
        <v>0.5</v>
      </c>
      <c r="AF9" s="134">
        <v>0</v>
      </c>
      <c r="AG9" s="134">
        <v>0.1</v>
      </c>
      <c r="AH9" s="134">
        <v>0</v>
      </c>
      <c r="AI9" s="134">
        <v>0</v>
      </c>
      <c r="AJ9" s="134">
        <v>0</v>
      </c>
      <c r="AK9" s="134" t="s">
        <v>175</v>
      </c>
      <c r="AL9" s="122" t="s">
        <v>175</v>
      </c>
      <c r="AM9" s="122">
        <v>-7</v>
      </c>
      <c r="AN9" s="134" t="s">
        <v>176</v>
      </c>
      <c r="AO9" s="134" t="s">
        <v>177</v>
      </c>
      <c r="AP9" s="135">
        <f t="shared" si="1"/>
        <v>0.55740470037487133</v>
      </c>
      <c r="AQ9" s="135">
        <f t="shared" si="2"/>
        <v>0.55740470037487133</v>
      </c>
      <c r="AR9" s="117">
        <v>-1.1048023419999999</v>
      </c>
      <c r="AS9" s="117">
        <v>0</v>
      </c>
      <c r="AT9" s="117">
        <v>0</v>
      </c>
      <c r="AU9" s="117">
        <v>-0.65240117099999995</v>
      </c>
      <c r="AV9" s="117">
        <v>-0.402401171</v>
      </c>
      <c r="AW9" s="117">
        <v>2.4399707E-2</v>
      </c>
      <c r="AX9" s="117">
        <v>0.4</v>
      </c>
      <c r="AY9" s="117">
        <v>0.75240117100000004</v>
      </c>
      <c r="AZ9" s="117">
        <v>0</v>
      </c>
      <c r="BA9" s="117">
        <v>0</v>
      </c>
      <c r="BB9" s="117">
        <v>1.204802342</v>
      </c>
      <c r="BC9" s="136" t="str">
        <f t="shared" si="3"/>
        <v>-1</v>
      </c>
      <c r="BD9" s="136" t="s">
        <v>178</v>
      </c>
      <c r="BE9" s="136" t="s">
        <v>518</v>
      </c>
      <c r="BF9" s="136" t="s">
        <v>301</v>
      </c>
      <c r="BG9" s="120" t="s">
        <v>678</v>
      </c>
      <c r="BH9" s="136" t="str">
        <f t="shared" si="4"/>
        <v>&lt;MTL</v>
      </c>
      <c r="BI9" s="136">
        <f t="shared" si="5"/>
        <v>2.4399707E-2</v>
      </c>
      <c r="BJ9" s="136" t="str">
        <f t="shared" si="6"/>
        <v>Nil</v>
      </c>
      <c r="BK9" s="136">
        <f t="shared" si="7"/>
        <v>0.05</v>
      </c>
      <c r="BL9" s="136" t="s">
        <v>736</v>
      </c>
      <c r="BM9" s="136" t="s">
        <v>175</v>
      </c>
      <c r="BN9" s="136" t="s">
        <v>175</v>
      </c>
      <c r="BO9" s="136" t="s">
        <v>736</v>
      </c>
      <c r="BP9" s="137" t="s">
        <v>175</v>
      </c>
      <c r="BQ9" s="137" t="s">
        <v>175</v>
      </c>
      <c r="BR9" s="137" t="s">
        <v>175</v>
      </c>
      <c r="BS9" s="137" t="s">
        <v>175</v>
      </c>
      <c r="BT9" s="138">
        <f t="shared" si="8"/>
        <v>-7.0243997069999997</v>
      </c>
      <c r="BU9" s="138">
        <f t="shared" si="9"/>
        <v>0.55964274318532903</v>
      </c>
      <c r="BV9" s="138">
        <f t="shared" si="10"/>
        <v>0.55964274318532903</v>
      </c>
      <c r="BW9" s="53" t="s">
        <v>175</v>
      </c>
      <c r="BX9" s="53" t="s">
        <v>175</v>
      </c>
      <c r="BY9" s="53" t="s">
        <v>175</v>
      </c>
      <c r="BZ9" s="53" t="s">
        <v>175</v>
      </c>
      <c r="CA9" s="147">
        <v>2</v>
      </c>
      <c r="CB9" s="54">
        <v>0</v>
      </c>
    </row>
    <row r="10" spans="1:82">
      <c r="A10" s="123" t="s">
        <v>446</v>
      </c>
      <c r="B10" s="124" t="s">
        <v>975</v>
      </c>
      <c r="C10" s="148" t="s">
        <v>674</v>
      </c>
      <c r="D10" s="125" t="s">
        <v>167</v>
      </c>
      <c r="E10" s="127">
        <v>22.45</v>
      </c>
      <c r="F10" s="127">
        <v>114.5</v>
      </c>
      <c r="G10" s="128" t="s">
        <v>168</v>
      </c>
      <c r="H10" s="129">
        <v>3888.8105623511883</v>
      </c>
      <c r="I10" s="129">
        <v>148.87756409381564</v>
      </c>
      <c r="J10" s="129">
        <v>4310</v>
      </c>
      <c r="K10" s="129">
        <v>503</v>
      </c>
      <c r="L10" s="129">
        <v>407</v>
      </c>
      <c r="M10" s="130" t="s">
        <v>447</v>
      </c>
      <c r="N10" s="149" t="s">
        <v>735</v>
      </c>
      <c r="O10" s="130" t="s">
        <v>448</v>
      </c>
      <c r="P10" s="130" t="s">
        <v>449</v>
      </c>
      <c r="Q10" s="130" t="s">
        <v>172</v>
      </c>
      <c r="R10" s="131">
        <v>4.4000000000000004</v>
      </c>
      <c r="S10" s="131" t="s">
        <v>175</v>
      </c>
      <c r="T10" s="130">
        <v>1</v>
      </c>
      <c r="U10" s="132" t="s">
        <v>173</v>
      </c>
      <c r="V10" s="133">
        <v>0.1</v>
      </c>
      <c r="W10" s="132" t="s">
        <v>174</v>
      </c>
      <c r="X10" s="133">
        <v>0.1</v>
      </c>
      <c r="Y10" s="133">
        <v>0.05</v>
      </c>
      <c r="Z10" s="133">
        <v>0.01</v>
      </c>
      <c r="AA10" s="133">
        <v>0.15</v>
      </c>
      <c r="AB10" s="133">
        <f t="shared" si="11"/>
        <v>8.8000000000000009E-2</v>
      </c>
      <c r="AC10" s="134">
        <v>0</v>
      </c>
      <c r="AD10" s="134">
        <v>0</v>
      </c>
      <c r="AE10" s="134">
        <v>0.5</v>
      </c>
      <c r="AF10" s="134">
        <v>0</v>
      </c>
      <c r="AG10" s="134">
        <v>0.1</v>
      </c>
      <c r="AH10" s="134">
        <v>0</v>
      </c>
      <c r="AI10" s="134">
        <v>0</v>
      </c>
      <c r="AJ10" s="134">
        <v>0</v>
      </c>
      <c r="AK10" s="134" t="s">
        <v>175</v>
      </c>
      <c r="AL10" s="122" t="s">
        <v>175</v>
      </c>
      <c r="AM10" s="122">
        <v>-5.6</v>
      </c>
      <c r="AN10" s="134" t="s">
        <v>176</v>
      </c>
      <c r="AO10" s="134" t="s">
        <v>177</v>
      </c>
      <c r="AP10" s="135">
        <f t="shared" si="1"/>
        <v>0.54115062598134356</v>
      </c>
      <c r="AQ10" s="135">
        <f t="shared" si="2"/>
        <v>0.54115062598134356</v>
      </c>
      <c r="AR10" s="117">
        <v>-1.1048023419999999</v>
      </c>
      <c r="AS10" s="117">
        <v>0</v>
      </c>
      <c r="AT10" s="117">
        <v>0</v>
      </c>
      <c r="AU10" s="117">
        <v>-0.65240117099999995</v>
      </c>
      <c r="AV10" s="117">
        <v>-0.402401171</v>
      </c>
      <c r="AW10" s="117">
        <v>2.4399707E-2</v>
      </c>
      <c r="AX10" s="117">
        <v>0.4</v>
      </c>
      <c r="AY10" s="117">
        <v>0.75240117100000004</v>
      </c>
      <c r="AZ10" s="117">
        <v>0</v>
      </c>
      <c r="BA10" s="117">
        <v>0</v>
      </c>
      <c r="BB10" s="117">
        <v>1.6023453540000001</v>
      </c>
      <c r="BC10" s="136" t="str">
        <f t="shared" si="3"/>
        <v>-1</v>
      </c>
      <c r="BD10" s="136" t="s">
        <v>178</v>
      </c>
      <c r="BE10" s="136" t="s">
        <v>518</v>
      </c>
      <c r="BF10" s="136" t="s">
        <v>301</v>
      </c>
      <c r="BG10" s="120" t="s">
        <v>678</v>
      </c>
      <c r="BH10" s="136" t="str">
        <f t="shared" si="4"/>
        <v>&lt;MTL</v>
      </c>
      <c r="BI10" s="136">
        <f t="shared" si="5"/>
        <v>2.4399707E-2</v>
      </c>
      <c r="BJ10" s="136" t="str">
        <f t="shared" si="6"/>
        <v>Nil</v>
      </c>
      <c r="BK10" s="136">
        <f t="shared" si="7"/>
        <v>0.05</v>
      </c>
      <c r="BL10" s="136" t="s">
        <v>736</v>
      </c>
      <c r="BM10" s="136" t="s">
        <v>175</v>
      </c>
      <c r="BN10" s="136" t="s">
        <v>175</v>
      </c>
      <c r="BO10" s="136" t="s">
        <v>736</v>
      </c>
      <c r="BP10" s="137" t="s">
        <v>175</v>
      </c>
      <c r="BQ10" s="137" t="s">
        <v>175</v>
      </c>
      <c r="BR10" s="137" t="s">
        <v>175</v>
      </c>
      <c r="BS10" s="137" t="s">
        <v>175</v>
      </c>
      <c r="BT10" s="138">
        <f t="shared" si="8"/>
        <v>-5.6243997069999994</v>
      </c>
      <c r="BU10" s="138">
        <f t="shared" si="9"/>
        <v>0.5434556099627641</v>
      </c>
      <c r="BV10" s="138">
        <f t="shared" si="10"/>
        <v>0.5434556099627641</v>
      </c>
      <c r="BW10" s="53" t="s">
        <v>175</v>
      </c>
      <c r="BX10" s="53" t="s">
        <v>175</v>
      </c>
      <c r="BY10" s="53" t="s">
        <v>175</v>
      </c>
      <c r="BZ10" s="53" t="s">
        <v>175</v>
      </c>
      <c r="CA10" s="147">
        <v>2</v>
      </c>
      <c r="CB10" s="54">
        <v>0</v>
      </c>
    </row>
    <row r="11" spans="1:82">
      <c r="A11" s="123" t="s">
        <v>253</v>
      </c>
      <c r="B11" s="124" t="s">
        <v>749</v>
      </c>
      <c r="C11" s="148" t="s">
        <v>674</v>
      </c>
      <c r="D11" s="125" t="s">
        <v>167</v>
      </c>
      <c r="E11" s="150">
        <v>22.152553989000001</v>
      </c>
      <c r="F11" s="150">
        <v>114.44853539</v>
      </c>
      <c r="G11" s="128" t="s">
        <v>168</v>
      </c>
      <c r="H11" s="151">
        <v>2025</v>
      </c>
      <c r="I11" s="151">
        <v>65</v>
      </c>
      <c r="J11" s="151">
        <v>1441</v>
      </c>
      <c r="K11" s="151">
        <v>255</v>
      </c>
      <c r="L11" s="151">
        <v>218</v>
      </c>
      <c r="M11" s="130" t="s">
        <v>240</v>
      </c>
      <c r="N11" s="130" t="s">
        <v>339</v>
      </c>
      <c r="O11" s="130" t="s">
        <v>175</v>
      </c>
      <c r="P11" s="130" t="s">
        <v>254</v>
      </c>
      <c r="Q11" s="130" t="s">
        <v>172</v>
      </c>
      <c r="R11" s="131">
        <v>7.05</v>
      </c>
      <c r="S11" s="131" t="s">
        <v>255</v>
      </c>
      <c r="T11" s="130">
        <v>1</v>
      </c>
      <c r="U11" s="132" t="s">
        <v>173</v>
      </c>
      <c r="V11" s="133">
        <v>0.01</v>
      </c>
      <c r="W11" s="132" t="s">
        <v>174</v>
      </c>
      <c r="X11" s="133">
        <v>0.01</v>
      </c>
      <c r="Y11" s="133">
        <v>5.0000000000000001E-3</v>
      </c>
      <c r="Z11" s="133">
        <v>0.01</v>
      </c>
      <c r="AA11" s="133">
        <v>0.15</v>
      </c>
      <c r="AB11" s="133">
        <f t="shared" si="11"/>
        <v>0.14099999999999999</v>
      </c>
      <c r="AC11" s="134">
        <v>0</v>
      </c>
      <c r="AD11" s="134">
        <v>0</v>
      </c>
      <c r="AE11" s="134">
        <v>0.5</v>
      </c>
      <c r="AF11" s="134">
        <v>0</v>
      </c>
      <c r="AG11" s="134">
        <v>0.1</v>
      </c>
      <c r="AH11" s="134">
        <v>0</v>
      </c>
      <c r="AI11" s="134">
        <v>0</v>
      </c>
      <c r="AJ11" s="134">
        <v>0</v>
      </c>
      <c r="AK11" s="134" t="s">
        <v>175</v>
      </c>
      <c r="AL11" s="122" t="s">
        <v>175</v>
      </c>
      <c r="AM11" s="122">
        <v>-35.880000000000003</v>
      </c>
      <c r="AN11" s="134" t="s">
        <v>176</v>
      </c>
      <c r="AO11" s="122" t="s">
        <v>177</v>
      </c>
      <c r="AP11" s="135">
        <f t="shared" si="1"/>
        <v>0.55000545451840743</v>
      </c>
      <c r="AQ11" s="135">
        <f t="shared" si="2"/>
        <v>0.55000545451840743</v>
      </c>
      <c r="AR11" s="117">
        <v>-1.362054791</v>
      </c>
      <c r="AS11" s="117">
        <v>0</v>
      </c>
      <c r="AT11" s="117">
        <v>0</v>
      </c>
      <c r="AU11" s="117">
        <v>-0.64441261999999999</v>
      </c>
      <c r="AV11" s="117">
        <v>-0.38411789099999999</v>
      </c>
      <c r="AW11" s="117">
        <v>8.5366334000000002E-2</v>
      </c>
      <c r="AX11" s="117">
        <v>0.53499792300000004</v>
      </c>
      <c r="AY11" s="117">
        <v>0.83499792299999998</v>
      </c>
      <c r="AZ11" s="117">
        <v>0</v>
      </c>
      <c r="BA11" s="117">
        <v>0</v>
      </c>
      <c r="BB11" s="117">
        <v>1.3144084659999999</v>
      </c>
      <c r="BC11" s="136" t="str">
        <f t="shared" si="3"/>
        <v>-1</v>
      </c>
      <c r="BD11" s="136" t="s">
        <v>178</v>
      </c>
      <c r="BE11" s="152" t="s">
        <v>702</v>
      </c>
      <c r="BF11" s="152" t="s">
        <v>232</v>
      </c>
      <c r="BG11" s="120" t="s">
        <v>678</v>
      </c>
      <c r="BH11" s="136" t="str">
        <f t="shared" si="4"/>
        <v>&lt;MTL</v>
      </c>
      <c r="BI11" s="136">
        <f t="shared" si="5"/>
        <v>8.5366334000000002E-2</v>
      </c>
      <c r="BJ11" s="136" t="str">
        <f t="shared" si="6"/>
        <v>Nil</v>
      </c>
      <c r="BK11" s="136">
        <f t="shared" si="7"/>
        <v>0.05</v>
      </c>
      <c r="BL11" s="136" t="s">
        <v>736</v>
      </c>
      <c r="BM11" s="136" t="s">
        <v>175</v>
      </c>
      <c r="BN11" s="136" t="s">
        <v>175</v>
      </c>
      <c r="BO11" s="136" t="s">
        <v>736</v>
      </c>
      <c r="BP11" s="137" t="s">
        <v>175</v>
      </c>
      <c r="BQ11" s="137" t="s">
        <v>175</v>
      </c>
      <c r="BR11" s="137" t="s">
        <v>175</v>
      </c>
      <c r="BS11" s="137" t="s">
        <v>175</v>
      </c>
      <c r="BT11" s="138">
        <f t="shared" si="8"/>
        <v>-35.965366334000002</v>
      </c>
      <c r="BU11" s="138">
        <f t="shared" si="9"/>
        <v>0.5522734829774103</v>
      </c>
      <c r="BV11" s="138">
        <f t="shared" si="10"/>
        <v>0.5522734829774103</v>
      </c>
      <c r="BW11" s="53" t="s">
        <v>175</v>
      </c>
      <c r="BX11" s="53" t="s">
        <v>175</v>
      </c>
      <c r="BY11" s="53" t="s">
        <v>175</v>
      </c>
      <c r="BZ11" s="53" t="s">
        <v>175</v>
      </c>
      <c r="CA11" s="147">
        <v>1</v>
      </c>
      <c r="CB11" s="54">
        <v>0</v>
      </c>
    </row>
    <row r="12" spans="1:82">
      <c r="A12" s="123" t="s">
        <v>256</v>
      </c>
      <c r="B12" s="124" t="s">
        <v>749</v>
      </c>
      <c r="C12" s="148" t="s">
        <v>674</v>
      </c>
      <c r="D12" s="148" t="s">
        <v>167</v>
      </c>
      <c r="E12" s="150">
        <v>22.152553989000001</v>
      </c>
      <c r="F12" s="150">
        <v>114.44853539</v>
      </c>
      <c r="G12" s="128" t="s">
        <v>168</v>
      </c>
      <c r="H12" s="151">
        <v>3575</v>
      </c>
      <c r="I12" s="151">
        <v>60</v>
      </c>
      <c r="J12" s="151">
        <v>3314</v>
      </c>
      <c r="K12" s="151">
        <v>263</v>
      </c>
      <c r="L12" s="151">
        <v>276</v>
      </c>
      <c r="M12" s="130" t="s">
        <v>240</v>
      </c>
      <c r="N12" s="130" t="s">
        <v>339</v>
      </c>
      <c r="O12" s="130" t="s">
        <v>175</v>
      </c>
      <c r="P12" s="130" t="s">
        <v>254</v>
      </c>
      <c r="Q12" s="130" t="s">
        <v>172</v>
      </c>
      <c r="R12" s="131">
        <v>8.5500000000000007</v>
      </c>
      <c r="S12" s="131" t="s">
        <v>257</v>
      </c>
      <c r="T12" s="130">
        <v>1</v>
      </c>
      <c r="U12" s="132" t="s">
        <v>173</v>
      </c>
      <c r="V12" s="133">
        <v>0.01</v>
      </c>
      <c r="W12" s="132" t="s">
        <v>174</v>
      </c>
      <c r="X12" s="133">
        <v>0.01</v>
      </c>
      <c r="Y12" s="133">
        <v>5.0000000000000001E-3</v>
      </c>
      <c r="Z12" s="133">
        <v>0.01</v>
      </c>
      <c r="AA12" s="133">
        <v>0.15</v>
      </c>
      <c r="AB12" s="133">
        <f t="shared" si="11"/>
        <v>0.17100000000000001</v>
      </c>
      <c r="AC12" s="134">
        <v>0</v>
      </c>
      <c r="AD12" s="134">
        <v>0</v>
      </c>
      <c r="AE12" s="134">
        <v>0.5</v>
      </c>
      <c r="AF12" s="134">
        <v>0</v>
      </c>
      <c r="AG12" s="134">
        <v>0.1</v>
      </c>
      <c r="AH12" s="134">
        <v>0</v>
      </c>
      <c r="AI12" s="134">
        <v>0</v>
      </c>
      <c r="AJ12" s="134">
        <v>0</v>
      </c>
      <c r="AK12" s="134" t="s">
        <v>175</v>
      </c>
      <c r="AL12" s="122" t="s">
        <v>175</v>
      </c>
      <c r="AM12" s="122">
        <v>-37.380000000000003</v>
      </c>
      <c r="AN12" s="134" t="s">
        <v>176</v>
      </c>
      <c r="AO12" s="122" t="s">
        <v>177</v>
      </c>
      <c r="AP12" s="135">
        <f t="shared" si="1"/>
        <v>0.55844963962742422</v>
      </c>
      <c r="AQ12" s="135">
        <f t="shared" si="2"/>
        <v>0.55844963962742422</v>
      </c>
      <c r="AR12" s="117">
        <v>-1.362054791</v>
      </c>
      <c r="AS12" s="117">
        <v>0</v>
      </c>
      <c r="AT12" s="117">
        <v>0</v>
      </c>
      <c r="AU12" s="117">
        <v>-0.64441261999999999</v>
      </c>
      <c r="AV12" s="117">
        <v>-0.38411789099999999</v>
      </c>
      <c r="AW12" s="117">
        <v>8.5366334000000002E-2</v>
      </c>
      <c r="AX12" s="117">
        <v>0.53499792300000004</v>
      </c>
      <c r="AY12" s="117">
        <v>0.83499792299999998</v>
      </c>
      <c r="AZ12" s="117">
        <v>0</v>
      </c>
      <c r="BA12" s="117">
        <v>0</v>
      </c>
      <c r="BB12" s="117">
        <v>1.3144084659999999</v>
      </c>
      <c r="BC12" s="136" t="str">
        <f t="shared" si="3"/>
        <v>-1</v>
      </c>
      <c r="BD12" s="136" t="s">
        <v>178</v>
      </c>
      <c r="BE12" s="152" t="s">
        <v>702</v>
      </c>
      <c r="BF12" s="152" t="s">
        <v>232</v>
      </c>
      <c r="BG12" s="120" t="s">
        <v>678</v>
      </c>
      <c r="BH12" s="136" t="str">
        <f t="shared" si="4"/>
        <v>&lt;MTL</v>
      </c>
      <c r="BI12" s="136">
        <f t="shared" si="5"/>
        <v>8.5366334000000002E-2</v>
      </c>
      <c r="BJ12" s="136" t="str">
        <f t="shared" si="6"/>
        <v>Nil</v>
      </c>
      <c r="BK12" s="136">
        <f t="shared" si="7"/>
        <v>0.05</v>
      </c>
      <c r="BL12" s="136" t="s">
        <v>736</v>
      </c>
      <c r="BM12" s="136" t="s">
        <v>175</v>
      </c>
      <c r="BN12" s="136" t="s">
        <v>175</v>
      </c>
      <c r="BO12" s="136" t="s">
        <v>736</v>
      </c>
      <c r="BP12" s="137" t="s">
        <v>175</v>
      </c>
      <c r="BQ12" s="137" t="s">
        <v>175</v>
      </c>
      <c r="BR12" s="137" t="s">
        <v>175</v>
      </c>
      <c r="BS12" s="137" t="s">
        <v>175</v>
      </c>
      <c r="BT12" s="138">
        <f t="shared" si="8"/>
        <v>-37.465366334000002</v>
      </c>
      <c r="BU12" s="138">
        <f t="shared" si="9"/>
        <v>0.56068351143938588</v>
      </c>
      <c r="BV12" s="138">
        <f t="shared" si="10"/>
        <v>0.56068351143938588</v>
      </c>
      <c r="BW12" s="53" t="s">
        <v>175</v>
      </c>
      <c r="BX12" s="53" t="s">
        <v>175</v>
      </c>
      <c r="BY12" s="53" t="s">
        <v>175</v>
      </c>
      <c r="BZ12" s="53" t="s">
        <v>175</v>
      </c>
      <c r="CA12" s="147">
        <v>1</v>
      </c>
      <c r="CB12" s="54">
        <v>0</v>
      </c>
    </row>
    <row r="13" spans="1:82">
      <c r="A13" s="123" t="s">
        <v>258</v>
      </c>
      <c r="B13" s="124" t="s">
        <v>749</v>
      </c>
      <c r="C13" s="148" t="s">
        <v>674</v>
      </c>
      <c r="D13" s="148" t="s">
        <v>167</v>
      </c>
      <c r="E13" s="150">
        <v>22.152553989000001</v>
      </c>
      <c r="F13" s="150">
        <v>114.44853539</v>
      </c>
      <c r="G13" s="128" t="s">
        <v>168</v>
      </c>
      <c r="H13" s="151">
        <v>4870</v>
      </c>
      <c r="I13" s="151">
        <v>75</v>
      </c>
      <c r="J13" s="151">
        <v>4983</v>
      </c>
      <c r="K13" s="151">
        <v>307</v>
      </c>
      <c r="L13" s="151">
        <v>290</v>
      </c>
      <c r="M13" s="130" t="s">
        <v>240</v>
      </c>
      <c r="N13" s="130" t="s">
        <v>339</v>
      </c>
      <c r="O13" s="130" t="s">
        <v>175</v>
      </c>
      <c r="P13" s="130" t="s">
        <v>254</v>
      </c>
      <c r="Q13" s="130" t="s">
        <v>172</v>
      </c>
      <c r="R13" s="131">
        <v>12.05</v>
      </c>
      <c r="S13" s="131" t="s">
        <v>259</v>
      </c>
      <c r="T13" s="130">
        <v>1</v>
      </c>
      <c r="U13" s="132" t="s">
        <v>173</v>
      </c>
      <c r="V13" s="133">
        <v>0.01</v>
      </c>
      <c r="W13" s="132" t="s">
        <v>174</v>
      </c>
      <c r="X13" s="133">
        <v>0.01</v>
      </c>
      <c r="Y13" s="133">
        <v>5.0000000000000001E-3</v>
      </c>
      <c r="Z13" s="133">
        <v>0.01</v>
      </c>
      <c r="AA13" s="133">
        <v>0.15</v>
      </c>
      <c r="AB13" s="133">
        <f t="shared" si="11"/>
        <v>0.24100000000000002</v>
      </c>
      <c r="AC13" s="134">
        <v>0</v>
      </c>
      <c r="AD13" s="134">
        <v>0</v>
      </c>
      <c r="AE13" s="134">
        <v>0.5</v>
      </c>
      <c r="AF13" s="134">
        <v>0</v>
      </c>
      <c r="AG13" s="134">
        <v>0.1</v>
      </c>
      <c r="AH13" s="134">
        <v>0</v>
      </c>
      <c r="AI13" s="134">
        <v>0</v>
      </c>
      <c r="AJ13" s="134">
        <v>0</v>
      </c>
      <c r="AK13" s="134" t="s">
        <v>175</v>
      </c>
      <c r="AL13" s="122" t="s">
        <v>175</v>
      </c>
      <c r="AM13" s="122">
        <v>-40.880000000000003</v>
      </c>
      <c r="AN13" s="134" t="s">
        <v>176</v>
      </c>
      <c r="AO13" s="122" t="s">
        <v>177</v>
      </c>
      <c r="AP13" s="135">
        <f t="shared" si="1"/>
        <v>0.5837002655473098</v>
      </c>
      <c r="AQ13" s="135">
        <f t="shared" si="2"/>
        <v>0.5837002655473098</v>
      </c>
      <c r="AR13" s="117">
        <v>-1.362054791</v>
      </c>
      <c r="AS13" s="117">
        <v>0</v>
      </c>
      <c r="AT13" s="117">
        <v>0</v>
      </c>
      <c r="AU13" s="117">
        <v>-0.64441261999999999</v>
      </c>
      <c r="AV13" s="117">
        <v>-0.38411789099999999</v>
      </c>
      <c r="AW13" s="117">
        <v>8.5366334000000002E-2</v>
      </c>
      <c r="AX13" s="117">
        <v>0.53499792300000004</v>
      </c>
      <c r="AY13" s="117">
        <v>0.83499792299999998</v>
      </c>
      <c r="AZ13" s="117">
        <v>0</v>
      </c>
      <c r="BA13" s="117">
        <v>0</v>
      </c>
      <c r="BB13" s="117">
        <v>1.3144084659999999</v>
      </c>
      <c r="BC13" s="136" t="str">
        <f t="shared" si="3"/>
        <v>-1</v>
      </c>
      <c r="BD13" s="136" t="s">
        <v>178</v>
      </c>
      <c r="BE13" s="152" t="s">
        <v>702</v>
      </c>
      <c r="BF13" s="152" t="s">
        <v>232</v>
      </c>
      <c r="BG13" s="120" t="s">
        <v>678</v>
      </c>
      <c r="BH13" s="136" t="str">
        <f t="shared" si="4"/>
        <v>&lt;MTL</v>
      </c>
      <c r="BI13" s="136">
        <f t="shared" si="5"/>
        <v>8.5366334000000002E-2</v>
      </c>
      <c r="BJ13" s="136" t="str">
        <f t="shared" si="6"/>
        <v>Nil</v>
      </c>
      <c r="BK13" s="136">
        <f t="shared" si="7"/>
        <v>0.05</v>
      </c>
      <c r="BL13" s="136" t="s">
        <v>736</v>
      </c>
      <c r="BM13" s="136" t="s">
        <v>175</v>
      </c>
      <c r="BN13" s="136" t="s">
        <v>175</v>
      </c>
      <c r="BO13" s="136" t="s">
        <v>736</v>
      </c>
      <c r="BP13" s="137" t="s">
        <v>175</v>
      </c>
      <c r="BQ13" s="137" t="s">
        <v>175</v>
      </c>
      <c r="BR13" s="137" t="s">
        <v>175</v>
      </c>
      <c r="BS13" s="137" t="s">
        <v>175</v>
      </c>
      <c r="BT13" s="138">
        <f t="shared" si="8"/>
        <v>-40.965366334000002</v>
      </c>
      <c r="BU13" s="138">
        <f t="shared" si="9"/>
        <v>0.58583786152825601</v>
      </c>
      <c r="BV13" s="138">
        <f t="shared" si="10"/>
        <v>0.58583786152825601</v>
      </c>
      <c r="BW13" s="53" t="s">
        <v>175</v>
      </c>
      <c r="BX13" s="53" t="s">
        <v>175</v>
      </c>
      <c r="BY13" s="53" t="s">
        <v>175</v>
      </c>
      <c r="BZ13" s="53" t="s">
        <v>175</v>
      </c>
      <c r="CA13" s="147">
        <v>1</v>
      </c>
      <c r="CB13" s="54">
        <v>0</v>
      </c>
    </row>
    <row r="14" spans="1:82">
      <c r="A14" s="123" t="s">
        <v>221</v>
      </c>
      <c r="B14" s="124" t="s">
        <v>222</v>
      </c>
      <c r="C14" s="148" t="s">
        <v>674</v>
      </c>
      <c r="D14" s="125" t="s">
        <v>167</v>
      </c>
      <c r="E14" s="150">
        <v>22.217997</v>
      </c>
      <c r="F14" s="150">
        <v>114.38223600000001</v>
      </c>
      <c r="G14" s="128" t="s">
        <v>168</v>
      </c>
      <c r="H14" s="151">
        <v>4520.681864716249</v>
      </c>
      <c r="I14" s="151">
        <v>441.71884231188625</v>
      </c>
      <c r="J14" s="151">
        <v>4513</v>
      </c>
      <c r="K14" s="151">
        <v>1069</v>
      </c>
      <c r="L14" s="151">
        <v>1119</v>
      </c>
      <c r="M14" s="153" t="s">
        <v>223</v>
      </c>
      <c r="N14" s="130" t="s">
        <v>339</v>
      </c>
      <c r="O14" s="130" t="s">
        <v>223</v>
      </c>
      <c r="P14" s="153" t="s">
        <v>224</v>
      </c>
      <c r="Q14" s="153" t="s">
        <v>172</v>
      </c>
      <c r="R14" s="131">
        <v>5.6</v>
      </c>
      <c r="S14" s="112" t="s">
        <v>225</v>
      </c>
      <c r="T14" s="130">
        <v>1</v>
      </c>
      <c r="U14" s="132" t="s">
        <v>173</v>
      </c>
      <c r="V14" s="133">
        <v>0.01</v>
      </c>
      <c r="W14" s="132" t="s">
        <v>174</v>
      </c>
      <c r="X14" s="133">
        <v>0.01</v>
      </c>
      <c r="Y14" s="133">
        <v>5.0000000000000001E-3</v>
      </c>
      <c r="Z14" s="133">
        <v>0.01</v>
      </c>
      <c r="AA14" s="133">
        <v>0.15</v>
      </c>
      <c r="AB14" s="133">
        <f t="shared" si="11"/>
        <v>0.11199999999999999</v>
      </c>
      <c r="AC14" s="134">
        <v>0</v>
      </c>
      <c r="AD14" s="134">
        <v>0</v>
      </c>
      <c r="AE14" s="134">
        <v>0.5</v>
      </c>
      <c r="AF14" s="134">
        <v>0</v>
      </c>
      <c r="AG14" s="134">
        <v>0.1</v>
      </c>
      <c r="AH14" s="134">
        <v>0</v>
      </c>
      <c r="AI14" s="134">
        <v>0</v>
      </c>
      <c r="AJ14" s="134">
        <v>0</v>
      </c>
      <c r="AK14" s="134" t="s">
        <v>175</v>
      </c>
      <c r="AL14" s="122" t="s">
        <v>175</v>
      </c>
      <c r="AM14" s="122">
        <v>-36.580000000000005</v>
      </c>
      <c r="AN14" s="134" t="s">
        <v>176</v>
      </c>
      <c r="AO14" s="134" t="s">
        <v>177</v>
      </c>
      <c r="AP14" s="135">
        <f t="shared" si="1"/>
        <v>0.54329457939500925</v>
      </c>
      <c r="AQ14" s="135">
        <f t="shared" si="2"/>
        <v>0.54329457939500925</v>
      </c>
      <c r="AR14" s="117">
        <v>-1.375921202</v>
      </c>
      <c r="AS14" s="117">
        <v>0</v>
      </c>
      <c r="AT14" s="118">
        <v>0</v>
      </c>
      <c r="AU14" s="118">
        <v>-0.64147125999999999</v>
      </c>
      <c r="AV14" s="118">
        <v>-0.38327750300000002</v>
      </c>
      <c r="AW14" s="118">
        <v>8.9883422000000004E-2</v>
      </c>
      <c r="AX14" s="118">
        <v>0.54214122499999995</v>
      </c>
      <c r="AY14" s="118">
        <v>0.84214122499999999</v>
      </c>
      <c r="AZ14" s="118">
        <v>0</v>
      </c>
      <c r="BA14" s="118">
        <v>0</v>
      </c>
      <c r="BB14" s="117">
        <v>1.3257537100000001</v>
      </c>
      <c r="BC14" s="136" t="str">
        <f t="shared" si="3"/>
        <v>-1</v>
      </c>
      <c r="BD14" s="136" t="s">
        <v>178</v>
      </c>
      <c r="BE14" s="152" t="s">
        <v>702</v>
      </c>
      <c r="BF14" s="152" t="s">
        <v>226</v>
      </c>
      <c r="BG14" s="120" t="s">
        <v>678</v>
      </c>
      <c r="BH14" s="136" t="str">
        <f t="shared" si="4"/>
        <v>&lt;MTL</v>
      </c>
      <c r="BI14" s="136">
        <f t="shared" si="5"/>
        <v>8.9883422000000004E-2</v>
      </c>
      <c r="BJ14" s="136" t="str">
        <f t="shared" si="6"/>
        <v>Nil</v>
      </c>
      <c r="BK14" s="136">
        <f t="shared" si="7"/>
        <v>0.05</v>
      </c>
      <c r="BL14" s="136" t="s">
        <v>736</v>
      </c>
      <c r="BM14" s="136" t="s">
        <v>175</v>
      </c>
      <c r="BN14" s="136" t="s">
        <v>175</v>
      </c>
      <c r="BO14" s="136" t="s">
        <v>736</v>
      </c>
      <c r="BP14" s="137" t="s">
        <v>175</v>
      </c>
      <c r="BQ14" s="137" t="s">
        <v>175</v>
      </c>
      <c r="BR14" s="137" t="s">
        <v>175</v>
      </c>
      <c r="BS14" s="137" t="s">
        <v>175</v>
      </c>
      <c r="BT14" s="138">
        <f t="shared" si="8"/>
        <v>-36.669883422000005</v>
      </c>
      <c r="BU14" s="138">
        <f t="shared" si="9"/>
        <v>0.54559050578249624</v>
      </c>
      <c r="BV14" s="138">
        <f t="shared" si="10"/>
        <v>0.54559050578249624</v>
      </c>
      <c r="BW14" s="53" t="s">
        <v>175</v>
      </c>
      <c r="BX14" s="53" t="s">
        <v>175</v>
      </c>
      <c r="BY14" s="53" t="s">
        <v>175</v>
      </c>
      <c r="BZ14" s="53" t="s">
        <v>175</v>
      </c>
      <c r="CA14" s="147">
        <v>2</v>
      </c>
      <c r="CB14" s="54">
        <v>0</v>
      </c>
    </row>
    <row r="15" spans="1:82">
      <c r="A15" s="123" t="s">
        <v>293</v>
      </c>
      <c r="B15" s="124" t="s">
        <v>294</v>
      </c>
      <c r="C15" s="148" t="s">
        <v>674</v>
      </c>
      <c r="D15" s="148" t="s">
        <v>167</v>
      </c>
      <c r="E15" s="150">
        <v>22.36232</v>
      </c>
      <c r="F15" s="150">
        <v>114.374207</v>
      </c>
      <c r="G15" s="128" t="s">
        <v>168</v>
      </c>
      <c r="H15" s="129">
        <v>5913.9526305170129</v>
      </c>
      <c r="I15" s="129">
        <v>182.3082471898625</v>
      </c>
      <c r="J15" s="129">
        <v>6750</v>
      </c>
      <c r="K15" s="129">
        <v>415</v>
      </c>
      <c r="L15" s="129">
        <v>435</v>
      </c>
      <c r="M15" s="130" t="s">
        <v>295</v>
      </c>
      <c r="N15" s="130" t="s">
        <v>268</v>
      </c>
      <c r="O15" s="130" t="s">
        <v>296</v>
      </c>
      <c r="P15" s="130" t="s">
        <v>297</v>
      </c>
      <c r="Q15" s="130" t="s">
        <v>172</v>
      </c>
      <c r="R15" s="131">
        <v>6.08</v>
      </c>
      <c r="S15" s="131">
        <v>19.95</v>
      </c>
      <c r="T15" s="130">
        <v>1</v>
      </c>
      <c r="U15" s="132" t="s">
        <v>173</v>
      </c>
      <c r="V15" s="133">
        <v>0.1</v>
      </c>
      <c r="W15" s="132" t="s">
        <v>174</v>
      </c>
      <c r="X15" s="133">
        <v>0.1</v>
      </c>
      <c r="Y15" s="133">
        <v>0.05</v>
      </c>
      <c r="Z15" s="133">
        <v>0.01</v>
      </c>
      <c r="AA15" s="133">
        <v>0.15</v>
      </c>
      <c r="AB15" s="133">
        <f t="shared" si="11"/>
        <v>0.1216</v>
      </c>
      <c r="AC15" s="134">
        <v>0</v>
      </c>
      <c r="AD15" s="134">
        <v>0</v>
      </c>
      <c r="AE15" s="134">
        <v>0.5</v>
      </c>
      <c r="AF15" s="134">
        <v>0</v>
      </c>
      <c r="AG15" s="134">
        <v>0.1</v>
      </c>
      <c r="AH15" s="134">
        <v>0</v>
      </c>
      <c r="AI15" s="134">
        <v>0</v>
      </c>
      <c r="AJ15" s="134">
        <v>0</v>
      </c>
      <c r="AK15" s="134" t="s">
        <v>175</v>
      </c>
      <c r="AL15" s="122" t="s">
        <v>175</v>
      </c>
      <c r="AM15" s="122">
        <v>-12.88</v>
      </c>
      <c r="AN15" s="134" t="s">
        <v>176</v>
      </c>
      <c r="AO15" s="122" t="s">
        <v>177</v>
      </c>
      <c r="AP15" s="135">
        <f t="shared" si="1"/>
        <v>0.5476189916356079</v>
      </c>
      <c r="AQ15" s="135">
        <f t="shared" si="2"/>
        <v>0.5476189916356079</v>
      </c>
      <c r="AR15" s="117">
        <v>-1.2195396329999999</v>
      </c>
      <c r="AS15" s="117">
        <v>0</v>
      </c>
      <c r="AT15" s="117">
        <v>0</v>
      </c>
      <c r="AU15" s="117">
        <v>-0.72390792699999995</v>
      </c>
      <c r="AV15" s="117">
        <v>-0.47172377999999998</v>
      </c>
      <c r="AW15" s="117">
        <v>-2.3907926999999999E-2</v>
      </c>
      <c r="AX15" s="117">
        <v>0.42390792700000002</v>
      </c>
      <c r="AY15" s="117">
        <v>0.67609207299999996</v>
      </c>
      <c r="AZ15" s="154">
        <v>0</v>
      </c>
      <c r="BA15" s="154">
        <v>0</v>
      </c>
      <c r="BB15" s="117">
        <v>1.17172378</v>
      </c>
      <c r="BC15" s="136" t="str">
        <f t="shared" si="3"/>
        <v xml:space="preserve">-1 </v>
      </c>
      <c r="BD15" s="136" t="s">
        <v>178</v>
      </c>
      <c r="BE15" s="136" t="s">
        <v>700</v>
      </c>
      <c r="BF15" s="136" t="s">
        <v>708</v>
      </c>
      <c r="BG15" s="120" t="s">
        <v>665</v>
      </c>
      <c r="BH15" s="136" t="str">
        <f t="shared" si="4"/>
        <v>&lt;HAT</v>
      </c>
      <c r="BI15" s="136">
        <f t="shared" si="5"/>
        <v>1.17172378</v>
      </c>
      <c r="BJ15" s="136" t="str">
        <f t="shared" si="6"/>
        <v>Nil</v>
      </c>
      <c r="BK15" s="136">
        <f t="shared" si="7"/>
        <v>0.18</v>
      </c>
      <c r="BL15" s="136" t="s">
        <v>736</v>
      </c>
      <c r="BM15" s="136" t="s">
        <v>175</v>
      </c>
      <c r="BN15" s="136" t="s">
        <v>175</v>
      </c>
      <c r="BO15" s="136" t="s">
        <v>736</v>
      </c>
      <c r="BP15" s="137" t="s">
        <v>175</v>
      </c>
      <c r="BQ15" s="137" t="s">
        <v>175</v>
      </c>
      <c r="BR15" s="137" t="s">
        <v>175</v>
      </c>
      <c r="BS15" s="137" t="s">
        <v>175</v>
      </c>
      <c r="BT15" s="138">
        <f t="shared" si="8"/>
        <v>-14.051723780000001</v>
      </c>
      <c r="BU15" s="138">
        <f t="shared" si="9"/>
        <v>0.57644302407089631</v>
      </c>
      <c r="BV15" s="138">
        <f t="shared" si="10"/>
        <v>0.57644302407089631</v>
      </c>
      <c r="BW15" s="53" t="s">
        <v>175</v>
      </c>
      <c r="BX15" s="53" t="s">
        <v>175</v>
      </c>
      <c r="BY15" s="53" t="s">
        <v>175</v>
      </c>
      <c r="BZ15" s="53" t="s">
        <v>175</v>
      </c>
      <c r="CA15" s="147">
        <v>1</v>
      </c>
      <c r="CB15" s="54">
        <v>0</v>
      </c>
    </row>
    <row r="16" spans="1:82">
      <c r="A16" s="123" t="s">
        <v>303</v>
      </c>
      <c r="B16" s="124" t="s">
        <v>304</v>
      </c>
      <c r="C16" s="148" t="s">
        <v>674</v>
      </c>
      <c r="D16" s="148" t="s">
        <v>167</v>
      </c>
      <c r="E16" s="150">
        <v>22.373881000000001</v>
      </c>
      <c r="F16" s="150">
        <v>114.34049400000001</v>
      </c>
      <c r="G16" s="128" t="s">
        <v>168</v>
      </c>
      <c r="H16" s="129">
        <v>6595.4478223201995</v>
      </c>
      <c r="I16" s="129">
        <v>104.09753596238481</v>
      </c>
      <c r="J16" s="129">
        <v>7486</v>
      </c>
      <c r="K16" s="129">
        <v>178</v>
      </c>
      <c r="L16" s="129">
        <v>174</v>
      </c>
      <c r="M16" s="130" t="s">
        <v>305</v>
      </c>
      <c r="N16" s="130" t="s">
        <v>268</v>
      </c>
      <c r="O16" s="130" t="s">
        <v>306</v>
      </c>
      <c r="P16" s="130" t="s">
        <v>307</v>
      </c>
      <c r="Q16" s="130" t="s">
        <v>172</v>
      </c>
      <c r="R16" s="131">
        <v>12.63</v>
      </c>
      <c r="S16" s="131">
        <v>9.870000000000001</v>
      </c>
      <c r="T16" s="130">
        <v>1</v>
      </c>
      <c r="U16" s="132" t="s">
        <v>192</v>
      </c>
      <c r="V16" s="133">
        <v>0.1</v>
      </c>
      <c r="W16" s="132" t="s">
        <v>174</v>
      </c>
      <c r="X16" s="133">
        <v>0.1</v>
      </c>
      <c r="Y16" s="133">
        <v>0.05</v>
      </c>
      <c r="Z16" s="133">
        <v>0.01</v>
      </c>
      <c r="AA16" s="133">
        <v>0.15</v>
      </c>
      <c r="AB16" s="133">
        <f t="shared" si="11"/>
        <v>0.25260000000000005</v>
      </c>
      <c r="AC16" s="134">
        <v>0</v>
      </c>
      <c r="AD16" s="134">
        <v>0</v>
      </c>
      <c r="AE16" s="134">
        <v>0.5</v>
      </c>
      <c r="AF16" s="134">
        <v>0</v>
      </c>
      <c r="AG16" s="134">
        <v>0.1</v>
      </c>
      <c r="AH16" s="134">
        <v>0</v>
      </c>
      <c r="AI16" s="134">
        <v>0</v>
      </c>
      <c r="AJ16" s="134">
        <v>0</v>
      </c>
      <c r="AK16" s="134" t="s">
        <v>175</v>
      </c>
      <c r="AL16" s="122" t="s">
        <v>175</v>
      </c>
      <c r="AM16" s="122">
        <v>-17.009999999999998</v>
      </c>
      <c r="AN16" s="134" t="s">
        <v>176</v>
      </c>
      <c r="AO16" s="122" t="s">
        <v>177</v>
      </c>
      <c r="AP16" s="135">
        <f t="shared" si="1"/>
        <v>0.59068329923911</v>
      </c>
      <c r="AQ16" s="135">
        <f t="shared" si="2"/>
        <v>0.59068329923911</v>
      </c>
      <c r="AR16" s="117">
        <v>-1.1823323080000001</v>
      </c>
      <c r="AS16" s="117">
        <v>0</v>
      </c>
      <c r="AT16" s="117">
        <v>0</v>
      </c>
      <c r="AU16" s="117">
        <v>-0.71646646199999997</v>
      </c>
      <c r="AV16" s="117">
        <v>-0.44939938499999998</v>
      </c>
      <c r="AW16" s="117">
        <v>-1.6466462000000001E-2</v>
      </c>
      <c r="AX16" s="117">
        <v>0.41646646199999998</v>
      </c>
      <c r="AY16" s="117">
        <v>0.68353353800000005</v>
      </c>
      <c r="AZ16" s="154">
        <v>0</v>
      </c>
      <c r="BA16" s="154">
        <v>0</v>
      </c>
      <c r="BB16" s="117">
        <v>1.1493993849999999</v>
      </c>
      <c r="BC16" s="136" t="str">
        <f t="shared" si="3"/>
        <v>0</v>
      </c>
      <c r="BD16" s="136" t="s">
        <v>178</v>
      </c>
      <c r="BE16" s="136" t="s">
        <v>692</v>
      </c>
      <c r="BF16" s="136" t="s">
        <v>289</v>
      </c>
      <c r="BG16" s="120" t="s">
        <v>663</v>
      </c>
      <c r="BH16" s="136" t="str">
        <f t="shared" si="4"/>
        <v>HAT-MTL</v>
      </c>
      <c r="BI16" s="136">
        <f t="shared" si="5"/>
        <v>0.56646646150000002</v>
      </c>
      <c r="BJ16" s="136">
        <f t="shared" si="6"/>
        <v>0.58293292349999992</v>
      </c>
      <c r="BK16" s="136">
        <f t="shared" si="7"/>
        <v>0.09</v>
      </c>
      <c r="BL16" s="136">
        <v>9.3168545008639247E-2</v>
      </c>
      <c r="BM16" s="136" t="s">
        <v>175</v>
      </c>
      <c r="BN16" s="136" t="s">
        <v>175</v>
      </c>
      <c r="BO16" s="136">
        <v>0.46681336754711777</v>
      </c>
      <c r="BP16" s="137" t="s">
        <v>175</v>
      </c>
      <c r="BQ16" s="137" t="s">
        <v>175</v>
      </c>
      <c r="BR16" s="137" t="s">
        <v>175</v>
      </c>
      <c r="BS16" s="137" t="s">
        <v>175</v>
      </c>
      <c r="BT16" s="138">
        <f t="shared" si="8"/>
        <v>-17.576466461499997</v>
      </c>
      <c r="BU16" s="138">
        <f t="shared" si="9"/>
        <v>0.96094362540159661</v>
      </c>
      <c r="BV16" s="138">
        <f t="shared" si="10"/>
        <v>0.96094362540159661</v>
      </c>
      <c r="BW16" s="53" t="s">
        <v>175</v>
      </c>
      <c r="BX16" s="53" t="s">
        <v>175</v>
      </c>
      <c r="BY16" s="53" t="s">
        <v>175</v>
      </c>
      <c r="BZ16" s="53" t="s">
        <v>175</v>
      </c>
      <c r="CA16" s="147">
        <v>3</v>
      </c>
      <c r="CB16" s="54">
        <v>1</v>
      </c>
      <c r="CC16" s="54" t="s">
        <v>993</v>
      </c>
    </row>
    <row r="17" spans="1:87">
      <c r="A17" s="123" t="s">
        <v>308</v>
      </c>
      <c r="B17" s="124" t="s">
        <v>304</v>
      </c>
      <c r="C17" s="148" t="s">
        <v>674</v>
      </c>
      <c r="D17" s="148" t="s">
        <v>167</v>
      </c>
      <c r="E17" s="150">
        <v>22.373881000000001</v>
      </c>
      <c r="F17" s="150">
        <v>114.34049400000001</v>
      </c>
      <c r="G17" s="128" t="s">
        <v>168</v>
      </c>
      <c r="H17" s="129">
        <v>7760.6431238619889</v>
      </c>
      <c r="I17" s="129">
        <v>142.95557699313449</v>
      </c>
      <c r="J17" s="129">
        <v>8580</v>
      </c>
      <c r="K17" s="129">
        <v>417</v>
      </c>
      <c r="L17" s="129">
        <v>252</v>
      </c>
      <c r="M17" s="130" t="s">
        <v>305</v>
      </c>
      <c r="N17" s="130" t="s">
        <v>268</v>
      </c>
      <c r="O17" s="130" t="s">
        <v>306</v>
      </c>
      <c r="P17" s="130" t="s">
        <v>307</v>
      </c>
      <c r="Q17" s="130" t="s">
        <v>172</v>
      </c>
      <c r="R17" s="131">
        <v>14.03</v>
      </c>
      <c r="S17" s="131">
        <v>8.9700000000000006</v>
      </c>
      <c r="T17" s="130">
        <v>1</v>
      </c>
      <c r="U17" s="132" t="s">
        <v>192</v>
      </c>
      <c r="V17" s="133">
        <v>0.1</v>
      </c>
      <c r="W17" s="132" t="s">
        <v>174</v>
      </c>
      <c r="X17" s="133">
        <v>0.1</v>
      </c>
      <c r="Y17" s="133">
        <v>0.05</v>
      </c>
      <c r="Z17" s="133">
        <v>0.01</v>
      </c>
      <c r="AA17" s="133">
        <v>0.15</v>
      </c>
      <c r="AB17" s="133">
        <f t="shared" si="11"/>
        <v>0.28060000000000002</v>
      </c>
      <c r="AC17" s="134">
        <v>0</v>
      </c>
      <c r="AD17" s="134">
        <v>0</v>
      </c>
      <c r="AE17" s="134">
        <v>0.5</v>
      </c>
      <c r="AF17" s="134">
        <v>0</v>
      </c>
      <c r="AG17" s="134">
        <v>0.1</v>
      </c>
      <c r="AH17" s="134">
        <v>0</v>
      </c>
      <c r="AI17" s="134">
        <v>0</v>
      </c>
      <c r="AJ17" s="134">
        <v>0</v>
      </c>
      <c r="AK17" s="134" t="s">
        <v>175</v>
      </c>
      <c r="AL17" s="122" t="s">
        <v>175</v>
      </c>
      <c r="AM17" s="122">
        <v>-17.909999999999997</v>
      </c>
      <c r="AN17" s="134" t="s">
        <v>176</v>
      </c>
      <c r="AO17" s="122" t="s">
        <v>177</v>
      </c>
      <c r="AP17" s="135">
        <f t="shared" si="1"/>
        <v>0.60318849458523327</v>
      </c>
      <c r="AQ17" s="135">
        <f t="shared" si="2"/>
        <v>0.60318849458523327</v>
      </c>
      <c r="AR17" s="117">
        <v>-1.1823323080000001</v>
      </c>
      <c r="AS17" s="117">
        <v>0</v>
      </c>
      <c r="AT17" s="117">
        <v>0</v>
      </c>
      <c r="AU17" s="117">
        <v>-0.71646646199999997</v>
      </c>
      <c r="AV17" s="117">
        <v>-0.44939938499999998</v>
      </c>
      <c r="AW17" s="117">
        <v>-1.6466462000000001E-2</v>
      </c>
      <c r="AX17" s="117">
        <v>0.41646646199999998</v>
      </c>
      <c r="AY17" s="117">
        <v>0.68353353800000005</v>
      </c>
      <c r="AZ17" s="154">
        <v>0</v>
      </c>
      <c r="BA17" s="154">
        <v>0</v>
      </c>
      <c r="BB17" s="117">
        <v>1.1493993849999999</v>
      </c>
      <c r="BC17" s="136" t="str">
        <f t="shared" si="3"/>
        <v>0</v>
      </c>
      <c r="BD17" s="136" t="s">
        <v>178</v>
      </c>
      <c r="BE17" s="136" t="s">
        <v>692</v>
      </c>
      <c r="BF17" s="136" t="s">
        <v>289</v>
      </c>
      <c r="BG17" s="120" t="s">
        <v>663</v>
      </c>
      <c r="BH17" s="136" t="str">
        <f t="shared" ref="BH17:BH83" si="12">IF(BG17="1","&gt;MTL",
IF(BG17="2a","HAT-LAT",
IF(BG17="2b","&gt;MLLW",
IF(BG17="3a","&lt;HAT",
IF(BG17="3b","MLLW-LAT",
IF(BG17="3c","(MLLW)-(MLLW-8)",
IF(BG17="3d","&lt;HAT",
IF(BG17="3e","&gt;MLLW",
IF(BG17="4","&gt;MTL",
IF(BG17="5","&gt;MTL",
IF(BG17="6","&lt;HAT",
IF(BG17="7","&lt;HAT",
IF(BG17="8","HAT-MTL",
IF(BG17="9","&lt;MTL",
IF(BG17="10a","&lt;MTL",
IF(BG17="10b","MHHW-MLLW",
IF(BG17="11","&gt;MHHW",
IF(BG17="12a","HAT-LAT",
IF(BG17="12b","&lt;HAT","")))))))))))))))))))</f>
        <v>HAT-MTL</v>
      </c>
      <c r="BI17" s="136">
        <f t="shared" ref="BI17:BI83" si="13">IF(BG17="1",AW17,
IF(BG17="2a",(AR17+BB17)/2,
IF(BG17="2b",AU17,
IF(BG17="3a",BB17,
IF(BG17="3b",(AU17+AR17)/2,
IF(BG17="3c",(AU17+(AU17-8))/2,
IF(BG17="3d",BB17,
IF(BG17="3e",AU17,
IF(BG17="4",AW17,
IF(BG17="5",AW17,
IF(BG17="6",BB17,
IF(BG17="7",BB17,
IF(BG17="8",(AW17+BB17)/2,
IF(BG17="9",AW17,
IF(BG17="10a",AW17,
IF(BG17="10b",(AU17+AY17)/2,
IF(BG17="11",AY17,
IF(BG17="12a",(AR17+BB17)/2,
IF(BG17="12b",BB17,"")))))))))))))))))))</f>
        <v>0.56646646150000002</v>
      </c>
      <c r="BJ17" s="136">
        <f t="shared" si="6"/>
        <v>0.58293292349999992</v>
      </c>
      <c r="BK17" s="136">
        <f t="shared" si="7"/>
        <v>0.09</v>
      </c>
      <c r="BL17" s="136">
        <v>9.3168545008639247E-2</v>
      </c>
      <c r="BM17" s="136" t="s">
        <v>175</v>
      </c>
      <c r="BN17" s="136" t="s">
        <v>175</v>
      </c>
      <c r="BO17" s="136">
        <v>0.26522156236109173</v>
      </c>
      <c r="BP17" s="137" t="s">
        <v>175</v>
      </c>
      <c r="BQ17" s="137" t="s">
        <v>175</v>
      </c>
      <c r="BR17" s="137" t="s">
        <v>175</v>
      </c>
      <c r="BS17" s="137" t="s">
        <v>175</v>
      </c>
      <c r="BT17" s="138">
        <f t="shared" si="8"/>
        <v>-18.476466461499996</v>
      </c>
      <c r="BU17" s="138">
        <f t="shared" si="9"/>
        <v>0.8892524996987875</v>
      </c>
      <c r="BV17" s="138">
        <f t="shared" si="10"/>
        <v>0.8892524996987875</v>
      </c>
      <c r="BW17" s="53" t="s">
        <v>175</v>
      </c>
      <c r="BX17" s="53" t="s">
        <v>175</v>
      </c>
      <c r="BY17" s="53" t="s">
        <v>175</v>
      </c>
      <c r="BZ17" s="53" t="s">
        <v>175</v>
      </c>
      <c r="CA17" s="147">
        <v>1</v>
      </c>
      <c r="CB17" s="54">
        <v>0</v>
      </c>
    </row>
    <row r="18" spans="1:87">
      <c r="A18" s="123" t="s">
        <v>309</v>
      </c>
      <c r="B18" s="124" t="s">
        <v>304</v>
      </c>
      <c r="C18" s="148" t="s">
        <v>674</v>
      </c>
      <c r="D18" s="148" t="s">
        <v>167</v>
      </c>
      <c r="E18" s="150">
        <v>22.373881000000001</v>
      </c>
      <c r="F18" s="150">
        <v>114.34049400000001</v>
      </c>
      <c r="G18" s="128" t="s">
        <v>168</v>
      </c>
      <c r="H18" s="129">
        <v>8180.6818647162472</v>
      </c>
      <c r="I18" s="129">
        <v>448.0128744281256</v>
      </c>
      <c r="J18" s="129">
        <v>8574</v>
      </c>
      <c r="K18" s="129">
        <v>1049</v>
      </c>
      <c r="L18" s="129">
        <v>1015</v>
      </c>
      <c r="M18" s="130" t="s">
        <v>305</v>
      </c>
      <c r="N18" s="130" t="s">
        <v>339</v>
      </c>
      <c r="O18" s="130" t="s">
        <v>306</v>
      </c>
      <c r="P18" s="130" t="s">
        <v>307</v>
      </c>
      <c r="Q18" s="130" t="s">
        <v>172</v>
      </c>
      <c r="R18" s="131">
        <v>12.63</v>
      </c>
      <c r="S18" s="131">
        <v>9.870000000000001</v>
      </c>
      <c r="T18" s="130">
        <v>1</v>
      </c>
      <c r="U18" s="132" t="s">
        <v>192</v>
      </c>
      <c r="V18" s="133">
        <v>0.1</v>
      </c>
      <c r="W18" s="132" t="s">
        <v>174</v>
      </c>
      <c r="X18" s="133">
        <v>0.1</v>
      </c>
      <c r="Y18" s="133">
        <v>0.05</v>
      </c>
      <c r="Z18" s="133">
        <v>0.01</v>
      </c>
      <c r="AA18" s="133">
        <v>0.15</v>
      </c>
      <c r="AB18" s="133">
        <f t="shared" si="11"/>
        <v>0.25260000000000005</v>
      </c>
      <c r="AC18" s="134">
        <v>0</v>
      </c>
      <c r="AD18" s="134">
        <v>0</v>
      </c>
      <c r="AE18" s="134">
        <v>0.5</v>
      </c>
      <c r="AF18" s="134">
        <v>0</v>
      </c>
      <c r="AG18" s="134">
        <v>0.1</v>
      </c>
      <c r="AH18" s="134">
        <v>0</v>
      </c>
      <c r="AI18" s="134">
        <v>0</v>
      </c>
      <c r="AJ18" s="134">
        <v>0</v>
      </c>
      <c r="AK18" s="134" t="s">
        <v>175</v>
      </c>
      <c r="AL18" s="122" t="s">
        <v>175</v>
      </c>
      <c r="AM18" s="122">
        <v>-17.009999999999998</v>
      </c>
      <c r="AN18" s="134" t="s">
        <v>176</v>
      </c>
      <c r="AO18" s="122" t="s">
        <v>177</v>
      </c>
      <c r="AP18" s="135">
        <f t="shared" si="1"/>
        <v>0.59068329923911</v>
      </c>
      <c r="AQ18" s="135">
        <f t="shared" si="2"/>
        <v>0.59068329923911</v>
      </c>
      <c r="AR18" s="117">
        <v>-1.1823323080000001</v>
      </c>
      <c r="AS18" s="117">
        <v>0</v>
      </c>
      <c r="AT18" s="117">
        <v>0</v>
      </c>
      <c r="AU18" s="117">
        <v>-0.71646646199999997</v>
      </c>
      <c r="AV18" s="117">
        <v>-0.44939938499999998</v>
      </c>
      <c r="AW18" s="117">
        <v>-1.6466462000000001E-2</v>
      </c>
      <c r="AX18" s="117">
        <v>0.41646646199999998</v>
      </c>
      <c r="AY18" s="117">
        <v>0.68353353800000005</v>
      </c>
      <c r="AZ18" s="154">
        <v>0</v>
      </c>
      <c r="BA18" s="154">
        <v>0</v>
      </c>
      <c r="BB18" s="117">
        <v>1.1493993849999999</v>
      </c>
      <c r="BC18" s="136" t="str">
        <f t="shared" si="3"/>
        <v>0</v>
      </c>
      <c r="BD18" s="136" t="s">
        <v>178</v>
      </c>
      <c r="BE18" s="136" t="s">
        <v>692</v>
      </c>
      <c r="BF18" s="136" t="s">
        <v>289</v>
      </c>
      <c r="BG18" s="120" t="s">
        <v>663</v>
      </c>
      <c r="BH18" s="136" t="str">
        <f t="shared" si="12"/>
        <v>HAT-MTL</v>
      </c>
      <c r="BI18" s="136">
        <f t="shared" si="13"/>
        <v>0.56646646150000002</v>
      </c>
      <c r="BJ18" s="136">
        <f t="shared" si="6"/>
        <v>0.58293292349999992</v>
      </c>
      <c r="BK18" s="136">
        <f t="shared" si="7"/>
        <v>0.09</v>
      </c>
      <c r="BL18" s="136">
        <v>9.3168545008639247E-2</v>
      </c>
      <c r="BM18" s="136" t="s">
        <v>175</v>
      </c>
      <c r="BN18" s="136" t="s">
        <v>175</v>
      </c>
      <c r="BO18" s="136">
        <v>0.26522156236109173</v>
      </c>
      <c r="BP18" s="137" t="s">
        <v>175</v>
      </c>
      <c r="BQ18" s="137" t="s">
        <v>175</v>
      </c>
      <c r="BR18" s="137" t="s">
        <v>175</v>
      </c>
      <c r="BS18" s="137" t="s">
        <v>175</v>
      </c>
      <c r="BT18" s="138">
        <f t="shared" si="8"/>
        <v>-17.576466461499997</v>
      </c>
      <c r="BU18" s="138">
        <f t="shared" si="9"/>
        <v>0.88081803354639721</v>
      </c>
      <c r="BV18" s="138">
        <f t="shared" si="10"/>
        <v>0.88081803354639721</v>
      </c>
      <c r="BW18" s="53" t="s">
        <v>175</v>
      </c>
      <c r="BX18" s="53" t="s">
        <v>175</v>
      </c>
      <c r="BY18" s="53" t="s">
        <v>175</v>
      </c>
      <c r="BZ18" s="53" t="s">
        <v>175</v>
      </c>
      <c r="CA18" s="147">
        <v>1</v>
      </c>
      <c r="CB18" s="54">
        <v>0</v>
      </c>
    </row>
    <row r="19" spans="1:87">
      <c r="A19" s="123" t="s">
        <v>310</v>
      </c>
      <c r="B19" s="124" t="s">
        <v>304</v>
      </c>
      <c r="C19" s="148" t="s">
        <v>674</v>
      </c>
      <c r="D19" s="148" t="s">
        <v>167</v>
      </c>
      <c r="E19" s="150">
        <v>22.373881000000001</v>
      </c>
      <c r="F19" s="150">
        <v>114.34049400000001</v>
      </c>
      <c r="G19" s="128" t="s">
        <v>168</v>
      </c>
      <c r="H19" s="129">
        <v>8289.7615432346574</v>
      </c>
      <c r="I19" s="129">
        <v>432.19229491156301</v>
      </c>
      <c r="J19" s="129">
        <v>8696</v>
      </c>
      <c r="K19" s="129">
        <v>1033</v>
      </c>
      <c r="L19" s="129">
        <v>1014</v>
      </c>
      <c r="M19" s="130" t="s">
        <v>305</v>
      </c>
      <c r="N19" s="130" t="s">
        <v>339</v>
      </c>
      <c r="O19" s="130" t="s">
        <v>306</v>
      </c>
      <c r="P19" s="130" t="s">
        <v>307</v>
      </c>
      <c r="Q19" s="130" t="s">
        <v>172</v>
      </c>
      <c r="R19" s="131">
        <v>14.43</v>
      </c>
      <c r="S19" s="131">
        <v>8.57</v>
      </c>
      <c r="T19" s="130">
        <v>1</v>
      </c>
      <c r="U19" s="132" t="s">
        <v>192</v>
      </c>
      <c r="V19" s="133">
        <v>0.1</v>
      </c>
      <c r="W19" s="132" t="s">
        <v>174</v>
      </c>
      <c r="X19" s="133">
        <v>0.1</v>
      </c>
      <c r="Y19" s="133">
        <v>0.05</v>
      </c>
      <c r="Z19" s="133">
        <v>0.01</v>
      </c>
      <c r="AA19" s="133">
        <v>0.15</v>
      </c>
      <c r="AB19" s="133">
        <f t="shared" si="11"/>
        <v>0.28860000000000002</v>
      </c>
      <c r="AC19" s="134">
        <v>0</v>
      </c>
      <c r="AD19" s="134">
        <v>0</v>
      </c>
      <c r="AE19" s="134">
        <v>0.5</v>
      </c>
      <c r="AF19" s="134">
        <v>0</v>
      </c>
      <c r="AG19" s="134">
        <v>0.1</v>
      </c>
      <c r="AH19" s="134">
        <v>0</v>
      </c>
      <c r="AI19" s="134">
        <v>0</v>
      </c>
      <c r="AJ19" s="134">
        <v>0</v>
      </c>
      <c r="AK19" s="134" t="s">
        <v>175</v>
      </c>
      <c r="AL19" s="122" t="s">
        <v>175</v>
      </c>
      <c r="AM19" s="122">
        <v>-18.309999999999999</v>
      </c>
      <c r="AN19" s="134" t="s">
        <v>176</v>
      </c>
      <c r="AO19" s="122" t="s">
        <v>177</v>
      </c>
      <c r="AP19" s="135">
        <f t="shared" si="1"/>
        <v>0.60695136543219019</v>
      </c>
      <c r="AQ19" s="135">
        <f t="shared" si="2"/>
        <v>0.60695136543219019</v>
      </c>
      <c r="AR19" s="117">
        <v>-1.1823323080000001</v>
      </c>
      <c r="AS19" s="117">
        <v>0</v>
      </c>
      <c r="AT19" s="117">
        <v>0</v>
      </c>
      <c r="AU19" s="117">
        <v>-0.71646646199999997</v>
      </c>
      <c r="AV19" s="117">
        <v>-0.44939938499999998</v>
      </c>
      <c r="AW19" s="117">
        <v>-1.6466462000000001E-2</v>
      </c>
      <c r="AX19" s="117">
        <v>0.41646646199999998</v>
      </c>
      <c r="AY19" s="117">
        <v>0.68353353800000005</v>
      </c>
      <c r="AZ19" s="154">
        <v>0</v>
      </c>
      <c r="BA19" s="154">
        <v>0</v>
      </c>
      <c r="BB19" s="117">
        <v>1.1493993849999999</v>
      </c>
      <c r="BC19" s="136" t="str">
        <f t="shared" si="3"/>
        <v>0</v>
      </c>
      <c r="BD19" s="136" t="s">
        <v>178</v>
      </c>
      <c r="BE19" s="136" t="s">
        <v>692</v>
      </c>
      <c r="BF19" s="136" t="s">
        <v>289</v>
      </c>
      <c r="BG19" s="120" t="s">
        <v>663</v>
      </c>
      <c r="BH19" s="136" t="str">
        <f t="shared" si="12"/>
        <v>HAT-MTL</v>
      </c>
      <c r="BI19" s="136">
        <f t="shared" si="13"/>
        <v>0.56646646150000002</v>
      </c>
      <c r="BJ19" s="136">
        <f t="shared" si="6"/>
        <v>0.58293292349999992</v>
      </c>
      <c r="BK19" s="136">
        <f t="shared" si="7"/>
        <v>0.09</v>
      </c>
      <c r="BL19" s="136">
        <v>9.3168545008639247E-2</v>
      </c>
      <c r="BM19" s="136" t="s">
        <v>175</v>
      </c>
      <c r="BN19" s="136" t="s">
        <v>175</v>
      </c>
      <c r="BO19" s="136">
        <v>0.27859742385714248</v>
      </c>
      <c r="BP19" s="137" t="s">
        <v>175</v>
      </c>
      <c r="BQ19" s="137" t="s">
        <v>175</v>
      </c>
      <c r="BR19" s="137" t="s">
        <v>175</v>
      </c>
      <c r="BS19" s="137" t="s">
        <v>175</v>
      </c>
      <c r="BT19" s="138">
        <f t="shared" si="8"/>
        <v>-18.876466461499998</v>
      </c>
      <c r="BU19" s="138">
        <f t="shared" si="9"/>
        <v>0.89587814777408203</v>
      </c>
      <c r="BV19" s="138">
        <f t="shared" si="10"/>
        <v>0.89587814777408203</v>
      </c>
      <c r="BW19" s="53" t="s">
        <v>175</v>
      </c>
      <c r="BX19" s="53" t="s">
        <v>175</v>
      </c>
      <c r="BY19" s="53" t="s">
        <v>175</v>
      </c>
      <c r="BZ19" s="53" t="s">
        <v>175</v>
      </c>
      <c r="CA19" s="147">
        <v>1</v>
      </c>
      <c r="CB19" s="54">
        <v>0</v>
      </c>
    </row>
    <row r="20" spans="1:87">
      <c r="A20" s="123" t="s">
        <v>166</v>
      </c>
      <c r="B20" s="124" t="s">
        <v>747</v>
      </c>
      <c r="C20" s="148" t="s">
        <v>674</v>
      </c>
      <c r="D20" s="125" t="s">
        <v>167</v>
      </c>
      <c r="E20" s="150">
        <v>22.300999999999998</v>
      </c>
      <c r="F20" s="150">
        <v>114.26</v>
      </c>
      <c r="G20" s="128" t="s">
        <v>168</v>
      </c>
      <c r="H20" s="151">
        <v>8470.681864716249</v>
      </c>
      <c r="I20" s="151">
        <v>457.72867034232519</v>
      </c>
      <c r="J20" s="151">
        <v>8906</v>
      </c>
      <c r="K20" s="151">
        <v>1178</v>
      </c>
      <c r="L20" s="151">
        <v>1044</v>
      </c>
      <c r="M20" s="130" t="s">
        <v>169</v>
      </c>
      <c r="N20" s="130" t="s">
        <v>339</v>
      </c>
      <c r="O20" s="130" t="s">
        <v>169</v>
      </c>
      <c r="P20" s="111" t="s">
        <v>171</v>
      </c>
      <c r="Q20" s="130" t="s">
        <v>172</v>
      </c>
      <c r="R20" s="112">
        <v>11.6</v>
      </c>
      <c r="S20" s="112">
        <v>20.100000000000001</v>
      </c>
      <c r="T20" s="130">
        <v>1</v>
      </c>
      <c r="U20" s="113" t="s">
        <v>173</v>
      </c>
      <c r="V20" s="133">
        <v>0.01</v>
      </c>
      <c r="W20" s="132" t="s">
        <v>174</v>
      </c>
      <c r="X20" s="133">
        <v>0.01</v>
      </c>
      <c r="Y20" s="133">
        <v>5.0000000000000001E-3</v>
      </c>
      <c r="Z20" s="133">
        <v>0.19</v>
      </c>
      <c r="AA20" s="133">
        <v>0.15</v>
      </c>
      <c r="AB20" s="133">
        <f>0.02*R20</f>
        <v>0.23199999999999998</v>
      </c>
      <c r="AC20" s="134">
        <v>0</v>
      </c>
      <c r="AD20" s="134">
        <v>0</v>
      </c>
      <c r="AE20" s="134">
        <v>0.5</v>
      </c>
      <c r="AF20" s="134">
        <v>0</v>
      </c>
      <c r="AG20" s="114">
        <v>0.1</v>
      </c>
      <c r="AH20" s="134">
        <v>0</v>
      </c>
      <c r="AI20" s="134">
        <v>0</v>
      </c>
      <c r="AJ20" s="134">
        <v>0</v>
      </c>
      <c r="AK20" s="134" t="s">
        <v>175</v>
      </c>
      <c r="AL20" s="122" t="s">
        <v>175</v>
      </c>
      <c r="AM20" s="122">
        <v>-19.7</v>
      </c>
      <c r="AN20" s="134" t="s">
        <v>176</v>
      </c>
      <c r="AO20" s="122" t="s">
        <v>177</v>
      </c>
      <c r="AP20" s="135">
        <f t="shared" si="1"/>
        <v>0.6102859985285588</v>
      </c>
      <c r="AQ20" s="135">
        <f t="shared" si="2"/>
        <v>0.6102859985285588</v>
      </c>
      <c r="AR20" s="117">
        <v>-1.2428971419999999</v>
      </c>
      <c r="AS20" s="117">
        <v>0</v>
      </c>
      <c r="AT20" s="117">
        <v>0</v>
      </c>
      <c r="AU20" s="117">
        <v>-0.69507251199999998</v>
      </c>
      <c r="AV20" s="117">
        <v>-0.44434738899999998</v>
      </c>
      <c r="AW20" s="117">
        <v>2.3405565999999999E-2</v>
      </c>
      <c r="AX20" s="117">
        <v>0.47883980199999998</v>
      </c>
      <c r="AY20" s="117">
        <v>0.75420236399999996</v>
      </c>
      <c r="AZ20" s="117">
        <v>0</v>
      </c>
      <c r="BA20" s="117">
        <v>0</v>
      </c>
      <c r="BB20" s="117">
        <v>1.20347724</v>
      </c>
      <c r="BC20" s="136">
        <v>-1</v>
      </c>
      <c r="BD20" s="136" t="s">
        <v>178</v>
      </c>
      <c r="BE20" s="136" t="s">
        <v>702</v>
      </c>
      <c r="BF20" s="115" t="s">
        <v>179</v>
      </c>
      <c r="BG20" s="120" t="s">
        <v>678</v>
      </c>
      <c r="BH20" s="136" t="str">
        <f t="shared" si="12"/>
        <v>&lt;MTL</v>
      </c>
      <c r="BI20" s="136">
        <f t="shared" si="13"/>
        <v>2.3405565999999999E-2</v>
      </c>
      <c r="BJ20" s="136" t="str">
        <f t="shared" si="6"/>
        <v>Nil</v>
      </c>
      <c r="BK20" s="136">
        <f>IF(BH20="HAT-LAT",0.27,
IF(BH20="HAT-MTL",0.09,
IF(BH20="MHHW-MLLW",0.27,IF(BH20="MLLW-LAT",0.27,
IF(BH20="(MLLW)-(MLLW-8)",0.4,
IF(BH20="&lt;HAT",0.18,
IF(BH20="&gt;MHHW",0.44,
IF(BH20="&gt;MTL",0.05,
IF(BH20="&lt;MTL",0.05,
IF(BH20="&gt;MLLW",0.4,
IF(BH20="&lt;MLLW",0.4,"Nil")))))))))))</f>
        <v>0.05</v>
      </c>
      <c r="BL20" s="136">
        <v>0.14457497406862929</v>
      </c>
      <c r="BM20" s="136" t="s">
        <v>175</v>
      </c>
      <c r="BN20" s="136" t="s">
        <v>175</v>
      </c>
      <c r="BO20" s="136">
        <v>1.8358369862922164E-2</v>
      </c>
      <c r="BP20" s="137" t="s">
        <v>175</v>
      </c>
      <c r="BQ20" s="137" t="s">
        <v>175</v>
      </c>
      <c r="BR20" s="137" t="s">
        <v>175</v>
      </c>
      <c r="BS20" s="137" t="s">
        <v>175</v>
      </c>
      <c r="BT20" s="138">
        <f t="shared" si="8"/>
        <v>-19.723405566</v>
      </c>
      <c r="BU20" s="138">
        <f t="shared" si="9"/>
        <v>0.62943462954541096</v>
      </c>
      <c r="BV20" s="138">
        <f t="shared" si="10"/>
        <v>0.62943462954541096</v>
      </c>
      <c r="BW20" s="53" t="s">
        <v>175</v>
      </c>
      <c r="BX20" s="53" t="s">
        <v>175</v>
      </c>
      <c r="BY20" s="53" t="s">
        <v>175</v>
      </c>
      <c r="BZ20" s="53" t="s">
        <v>175</v>
      </c>
      <c r="CA20" s="147">
        <v>2</v>
      </c>
      <c r="CB20" s="54">
        <v>0</v>
      </c>
      <c r="CG20" s="116"/>
    </row>
    <row r="21" spans="1:87">
      <c r="A21" s="123" t="s">
        <v>737</v>
      </c>
      <c r="B21" s="124" t="s">
        <v>983</v>
      </c>
      <c r="C21" s="125" t="s">
        <v>674</v>
      </c>
      <c r="D21" s="125" t="s">
        <v>167</v>
      </c>
      <c r="E21" s="150">
        <v>22.245605999999999</v>
      </c>
      <c r="F21" s="150">
        <v>114.246</v>
      </c>
      <c r="G21" s="128" t="s">
        <v>168</v>
      </c>
      <c r="H21" s="151">
        <v>4217</v>
      </c>
      <c r="I21" s="151">
        <v>33</v>
      </c>
      <c r="J21" s="151">
        <v>4135</v>
      </c>
      <c r="K21" s="151">
        <v>258</v>
      </c>
      <c r="L21" s="151">
        <v>251</v>
      </c>
      <c r="M21" s="130" t="s">
        <v>280</v>
      </c>
      <c r="N21" s="130" t="s">
        <v>339</v>
      </c>
      <c r="O21" s="130" t="s">
        <v>175</v>
      </c>
      <c r="P21" s="130" t="s">
        <v>175</v>
      </c>
      <c r="Q21" s="130" t="s">
        <v>175</v>
      </c>
      <c r="R21" s="131" t="s">
        <v>175</v>
      </c>
      <c r="S21" s="131" t="s">
        <v>175</v>
      </c>
      <c r="T21" s="130">
        <v>0</v>
      </c>
      <c r="U21" s="132" t="s">
        <v>281</v>
      </c>
      <c r="V21" s="133">
        <v>0.01</v>
      </c>
      <c r="W21" s="132" t="s">
        <v>174</v>
      </c>
      <c r="X21" s="133">
        <v>0.01</v>
      </c>
      <c r="Y21" s="133">
        <v>5.0000000000000001E-3</v>
      </c>
      <c r="Z21" s="133">
        <v>0.01</v>
      </c>
      <c r="AA21" s="133">
        <v>0.15</v>
      </c>
      <c r="AB21" s="133">
        <v>0</v>
      </c>
      <c r="AC21" s="134">
        <v>0</v>
      </c>
      <c r="AD21" s="134">
        <v>0</v>
      </c>
      <c r="AE21" s="134">
        <v>0.03</v>
      </c>
      <c r="AF21" s="134">
        <v>0</v>
      </c>
      <c r="AG21" s="134">
        <v>0.1</v>
      </c>
      <c r="AH21" s="134">
        <v>0</v>
      </c>
      <c r="AI21" s="134">
        <v>0</v>
      </c>
      <c r="AJ21" s="134">
        <v>0</v>
      </c>
      <c r="AK21" s="134" t="s">
        <v>175</v>
      </c>
      <c r="AL21" s="122" t="s">
        <v>175</v>
      </c>
      <c r="AM21" s="122">
        <v>2.7270000000000003</v>
      </c>
      <c r="AN21" s="134" t="s">
        <v>176</v>
      </c>
      <c r="AO21" s="122" t="s">
        <v>177</v>
      </c>
      <c r="AP21" s="135">
        <f t="shared" si="1"/>
        <v>0.18309833423600555</v>
      </c>
      <c r="AQ21" s="135">
        <f t="shared" si="2"/>
        <v>0.18309833423600555</v>
      </c>
      <c r="AR21" s="117">
        <v>-1.3273691700000001</v>
      </c>
      <c r="AS21" s="117">
        <v>0</v>
      </c>
      <c r="AT21" s="117">
        <v>0</v>
      </c>
      <c r="AU21" s="117">
        <v>-0.66123547000000005</v>
      </c>
      <c r="AV21" s="117">
        <v>-0.41123546999999999</v>
      </c>
      <c r="AW21" s="117">
        <v>7.0686767999999997E-2</v>
      </c>
      <c r="AX21" s="117">
        <v>0.51645348000000002</v>
      </c>
      <c r="AY21" s="117">
        <v>0.83876452999999995</v>
      </c>
      <c r="AZ21" s="154">
        <v>0</v>
      </c>
      <c r="BA21" s="154">
        <v>0</v>
      </c>
      <c r="BB21" s="117">
        <v>1.33876453</v>
      </c>
      <c r="BC21" s="136" t="str">
        <f t="shared" si="3"/>
        <v>0</v>
      </c>
      <c r="BD21" s="136" t="s">
        <v>193</v>
      </c>
      <c r="BE21" s="136" t="s">
        <v>282</v>
      </c>
      <c r="BF21" s="136" t="s">
        <v>283</v>
      </c>
      <c r="BG21" s="120" t="s">
        <v>679</v>
      </c>
      <c r="BH21" s="136" t="str">
        <f t="shared" si="12"/>
        <v>MHHW-MLLW</v>
      </c>
      <c r="BI21" s="136">
        <f t="shared" si="13"/>
        <v>8.8764529999999953E-2</v>
      </c>
      <c r="BJ21" s="136">
        <v>0.50471179728198834</v>
      </c>
      <c r="BK21" s="136" t="s">
        <v>456</v>
      </c>
      <c r="BL21" s="136" t="s">
        <v>456</v>
      </c>
      <c r="BM21" s="136" t="s">
        <v>175</v>
      </c>
      <c r="BN21" s="136" t="s">
        <v>175</v>
      </c>
      <c r="BO21" s="136">
        <v>1.867263782836992E-2</v>
      </c>
      <c r="BP21" s="137" t="s">
        <v>175</v>
      </c>
      <c r="BQ21" s="137" t="s">
        <v>175</v>
      </c>
      <c r="BR21" s="137" t="s">
        <v>175</v>
      </c>
      <c r="BS21" s="137" t="s">
        <v>175</v>
      </c>
      <c r="BT21" s="138">
        <f t="shared" si="8"/>
        <v>2.6382354700000006</v>
      </c>
      <c r="BU21" s="138">
        <f t="shared" si="9"/>
        <v>0.53722217537912964</v>
      </c>
      <c r="BV21" s="138">
        <f t="shared" si="10"/>
        <v>0.53722217537912964</v>
      </c>
      <c r="BW21" s="53" t="s">
        <v>175</v>
      </c>
      <c r="BX21" s="53" t="s">
        <v>175</v>
      </c>
      <c r="BY21" s="53" t="s">
        <v>175</v>
      </c>
      <c r="BZ21" s="53" t="s">
        <v>175</v>
      </c>
      <c r="CA21" s="147">
        <v>1</v>
      </c>
      <c r="CB21" s="54">
        <v>0</v>
      </c>
      <c r="CG21" s="116"/>
    </row>
    <row r="22" spans="1:87">
      <c r="A22" s="123" t="s">
        <v>738</v>
      </c>
      <c r="B22" s="124" t="s">
        <v>983</v>
      </c>
      <c r="C22" s="125" t="s">
        <v>674</v>
      </c>
      <c r="D22" s="125" t="s">
        <v>167</v>
      </c>
      <c r="E22" s="150">
        <v>22.245605999999999</v>
      </c>
      <c r="F22" s="150">
        <v>114.246</v>
      </c>
      <c r="G22" s="128" t="s">
        <v>168</v>
      </c>
      <c r="H22" s="151">
        <v>3827</v>
      </c>
      <c r="I22" s="151">
        <v>27</v>
      </c>
      <c r="J22" s="151">
        <v>3621</v>
      </c>
      <c r="K22" s="151">
        <v>235</v>
      </c>
      <c r="L22" s="151">
        <v>230</v>
      </c>
      <c r="M22" s="130" t="s">
        <v>280</v>
      </c>
      <c r="N22" s="130" t="s">
        <v>339</v>
      </c>
      <c r="O22" s="130" t="s">
        <v>175</v>
      </c>
      <c r="P22" s="130" t="s">
        <v>175</v>
      </c>
      <c r="Q22" s="130" t="s">
        <v>175</v>
      </c>
      <c r="R22" s="131" t="s">
        <v>175</v>
      </c>
      <c r="S22" s="131" t="s">
        <v>175</v>
      </c>
      <c r="T22" s="130">
        <v>0</v>
      </c>
      <c r="U22" s="132" t="s">
        <v>281</v>
      </c>
      <c r="V22" s="133">
        <v>0.01</v>
      </c>
      <c r="W22" s="132" t="s">
        <v>174</v>
      </c>
      <c r="X22" s="133">
        <v>0.01</v>
      </c>
      <c r="Y22" s="133">
        <v>5.0000000000000001E-3</v>
      </c>
      <c r="Z22" s="133">
        <v>0.01</v>
      </c>
      <c r="AA22" s="133">
        <v>0.15</v>
      </c>
      <c r="AB22" s="133">
        <v>0</v>
      </c>
      <c r="AC22" s="134">
        <v>0</v>
      </c>
      <c r="AD22" s="134">
        <v>0</v>
      </c>
      <c r="AE22" s="134">
        <v>0.03</v>
      </c>
      <c r="AF22" s="134">
        <v>0</v>
      </c>
      <c r="AG22" s="134">
        <v>0.1</v>
      </c>
      <c r="AH22" s="134">
        <v>0</v>
      </c>
      <c r="AI22" s="134">
        <v>0</v>
      </c>
      <c r="AJ22" s="134">
        <v>0</v>
      </c>
      <c r="AK22" s="134" t="s">
        <v>175</v>
      </c>
      <c r="AL22" s="122" t="s">
        <v>175</v>
      </c>
      <c r="AM22" s="122">
        <v>2.3440000000000003</v>
      </c>
      <c r="AN22" s="134" t="s">
        <v>176</v>
      </c>
      <c r="AO22" s="122" t="s">
        <v>177</v>
      </c>
      <c r="AP22" s="135">
        <f>SQRT(SUMSQ(IF(OR(Y22="nd",Y22="nd"),0,Y22),IF(OR(Z22="nd",Z22="nd"),0,Z22),IF(OR(AA22="nd",AA22="nd"),0,AA22),IF(OR(AB22="nd",AB22="nd"),0,AB22),IF(OR(AC22="nd",AC22="nd"),0,AC22),IF(OR(AD22="nd",AD22="nd"),0,AD22),IF(OR(AE22="nd",AE22="nd"),0,AE22),IF(OR(AF22="nd",AF22="nd"),0,AF22),IF(OR(AG22="nd",AG22="nd"),0,AG22),IF(OR(AH22="nd",AH22="nd"),0,AH22),IF(OR(AI22="nd",AI22="nd"),0,AI22),IF(OR(AJ22="nd",AJ22="nd"),0,AJ22)))</f>
        <v>0.18309833423600555</v>
      </c>
      <c r="AQ22" s="135">
        <f t="shared" si="2"/>
        <v>0.18309833423600555</v>
      </c>
      <c r="AR22" s="117">
        <v>-1.3273691700000001</v>
      </c>
      <c r="AS22" s="117">
        <v>0</v>
      </c>
      <c r="AT22" s="117">
        <v>0</v>
      </c>
      <c r="AU22" s="117">
        <v>-0.66123547000000005</v>
      </c>
      <c r="AV22" s="117">
        <v>-0.41123546999999999</v>
      </c>
      <c r="AW22" s="117">
        <v>7.0686767999999997E-2</v>
      </c>
      <c r="AX22" s="117">
        <v>0.51645348000000002</v>
      </c>
      <c r="AY22" s="117">
        <v>0.83876452999999995</v>
      </c>
      <c r="AZ22" s="154">
        <v>0</v>
      </c>
      <c r="BA22" s="154">
        <v>0</v>
      </c>
      <c r="BB22" s="117">
        <v>1.33876453</v>
      </c>
      <c r="BC22" s="136" t="str">
        <f t="shared" si="3"/>
        <v>0</v>
      </c>
      <c r="BD22" s="136" t="s">
        <v>193</v>
      </c>
      <c r="BE22" s="136" t="s">
        <v>282</v>
      </c>
      <c r="BF22" s="136" t="s">
        <v>283</v>
      </c>
      <c r="BG22" s="120" t="s">
        <v>679</v>
      </c>
      <c r="BH22" s="136" t="str">
        <f t="shared" si="12"/>
        <v>MHHW-MLLW</v>
      </c>
      <c r="BI22" s="136">
        <f t="shared" si="13"/>
        <v>8.8764529999999953E-2</v>
      </c>
      <c r="BJ22" s="136">
        <v>0.50471179728198834</v>
      </c>
      <c r="BK22" s="136" t="s">
        <v>456</v>
      </c>
      <c r="BL22" s="136" t="s">
        <v>456</v>
      </c>
      <c r="BM22" s="136" t="s">
        <v>175</v>
      </c>
      <c r="BN22" s="136" t="s">
        <v>175</v>
      </c>
      <c r="BO22" s="136">
        <v>4.1819299423898615E-2</v>
      </c>
      <c r="BP22" s="137" t="s">
        <v>175</v>
      </c>
      <c r="BQ22" s="137" t="s">
        <v>175</v>
      </c>
      <c r="BR22" s="137" t="s">
        <v>175</v>
      </c>
      <c r="BS22" s="137" t="s">
        <v>175</v>
      </c>
      <c r="BT22" s="138">
        <f t="shared" si="8"/>
        <v>2.2552354700000006</v>
      </c>
      <c r="BU22" s="138">
        <f t="shared" si="9"/>
        <v>0.53852377117442141</v>
      </c>
      <c r="BV22" s="138">
        <f t="shared" si="10"/>
        <v>0.53852377117442141</v>
      </c>
      <c r="BW22" s="53" t="s">
        <v>175</v>
      </c>
      <c r="BX22" s="53" t="s">
        <v>175</v>
      </c>
      <c r="BY22" s="53" t="s">
        <v>175</v>
      </c>
      <c r="BZ22" s="53" t="s">
        <v>175</v>
      </c>
      <c r="CA22" s="147">
        <v>1</v>
      </c>
      <c r="CB22" s="54">
        <v>0</v>
      </c>
      <c r="CG22" s="116"/>
    </row>
    <row r="23" spans="1:87">
      <c r="A23" s="123" t="s">
        <v>984</v>
      </c>
      <c r="B23" s="124" t="s">
        <v>983</v>
      </c>
      <c r="C23" s="125" t="s">
        <v>674</v>
      </c>
      <c r="D23" s="125" t="s">
        <v>167</v>
      </c>
      <c r="E23" s="150">
        <v>22.245605999999999</v>
      </c>
      <c r="F23" s="150">
        <v>114.246</v>
      </c>
      <c r="G23" s="128" t="s">
        <v>168</v>
      </c>
      <c r="H23" s="151">
        <v>3489</v>
      </c>
      <c r="I23" s="151">
        <v>19</v>
      </c>
      <c r="J23" s="151">
        <v>3214</v>
      </c>
      <c r="K23" s="151">
        <v>217</v>
      </c>
      <c r="L23" s="151">
        <v>235</v>
      </c>
      <c r="M23" s="130" t="s">
        <v>280</v>
      </c>
      <c r="N23" s="130" t="s">
        <v>339</v>
      </c>
      <c r="O23" s="130" t="s">
        <v>175</v>
      </c>
      <c r="P23" s="130" t="s">
        <v>175</v>
      </c>
      <c r="Q23" s="130" t="s">
        <v>175</v>
      </c>
      <c r="R23" s="131" t="s">
        <v>175</v>
      </c>
      <c r="S23" s="131" t="s">
        <v>175</v>
      </c>
      <c r="T23" s="130">
        <v>0</v>
      </c>
      <c r="U23" s="132" t="s">
        <v>281</v>
      </c>
      <c r="V23" s="133">
        <v>0.01</v>
      </c>
      <c r="W23" s="132" t="s">
        <v>174</v>
      </c>
      <c r="X23" s="133">
        <v>0.01</v>
      </c>
      <c r="Y23" s="133">
        <v>5.0000000000000001E-3</v>
      </c>
      <c r="Z23" s="133">
        <v>0.01</v>
      </c>
      <c r="AA23" s="133">
        <v>0.15</v>
      </c>
      <c r="AB23" s="133">
        <v>0</v>
      </c>
      <c r="AC23" s="134">
        <v>0</v>
      </c>
      <c r="AD23" s="134">
        <v>0</v>
      </c>
      <c r="AE23" s="134">
        <v>0.03</v>
      </c>
      <c r="AF23" s="134">
        <v>0</v>
      </c>
      <c r="AG23" s="134">
        <v>0.1</v>
      </c>
      <c r="AH23" s="134">
        <v>0</v>
      </c>
      <c r="AI23" s="134">
        <v>0</v>
      </c>
      <c r="AJ23" s="134">
        <v>0</v>
      </c>
      <c r="AK23" s="134" t="s">
        <v>175</v>
      </c>
      <c r="AL23" s="122" t="s">
        <v>175</v>
      </c>
      <c r="AM23" s="122">
        <v>2.0760000000000005</v>
      </c>
      <c r="AN23" s="134" t="s">
        <v>176</v>
      </c>
      <c r="AO23" s="122" t="s">
        <v>177</v>
      </c>
      <c r="AP23" s="135">
        <f t="shared" ref="AP23:AP26" si="14">SQRT(SUMSQ(IF(OR(Y23="nd",Y23="nd"),0,Y23),IF(OR(Z23="nd",Z23="nd"),0,Z23),IF(OR(AA23="nd",AA23="nd"),0,AA23),IF(OR(AB23="nd",AB23="nd"),0,AB23),IF(OR(AC23="nd",AC23="nd"),0,AC23),IF(OR(AD23="nd",AD23="nd"),0,AD23),IF(OR(AE23="nd",AE23="nd"),0,AE23),IF(OR(AF23="nd",AF23="nd"),0,AF23),IF(OR(AG23="nd",AG23="nd"),0,AG23),IF(OR(AH23="nd",AH23="nd"),0,AH23),IF(OR(AI23="nd",AI23="nd"),0,AI23),IF(OR(AJ23="nd",AJ23="nd"),0,AJ23)))</f>
        <v>0.18309833423600555</v>
      </c>
      <c r="AQ23" s="135">
        <f t="shared" ref="AQ23:AQ26" si="15">SQRT(SUMSQ(IF(OR(Y23="nd",Y23="nd"),0,Y23),IF(OR(Z23="nd",Z23="nd"),0,Z23),IF(OR(AA23="nd",AA23="nd"),0,AA23),IF(OR(AB23="nd",AB23="nd"),0,AB23),IF(OR(AC23="nd",AC23="nd"),0,AC23),IF(OR(AD23="nd",AD23="nd"),0,AD23),IF(OR(AE23="nd",AE23="nd"),0,AE23),IF(OR(AF23="nd",AF23="nd"),0,AF23),IF(OR(AG23="nd",AG23="nd"),0,AG23),IF(OR(AH23="nd",AH23="nd"),0,AH23),IF(OR(AI23="nd",AI23="nd"),0,AI23),IF(OR(AJ23="nd",AJ23="nd"),0,AJ23)))</f>
        <v>0.18309833423600555</v>
      </c>
      <c r="AR23" s="117">
        <v>-1.3273691700000001</v>
      </c>
      <c r="AS23" s="117">
        <v>0</v>
      </c>
      <c r="AT23" s="117">
        <v>0</v>
      </c>
      <c r="AU23" s="117">
        <v>-0.66123547000000005</v>
      </c>
      <c r="AV23" s="117">
        <v>-0.41123546999999999</v>
      </c>
      <c r="AW23" s="117">
        <v>7.0686767999999997E-2</v>
      </c>
      <c r="AX23" s="117">
        <v>0.51645348000000002</v>
      </c>
      <c r="AY23" s="117">
        <v>0.83876452999999995</v>
      </c>
      <c r="AZ23" s="154">
        <v>0</v>
      </c>
      <c r="BA23" s="154">
        <v>0</v>
      </c>
      <c r="BB23" s="117">
        <v>1.33876453</v>
      </c>
      <c r="BC23" s="136" t="str">
        <f t="shared" si="3"/>
        <v>0</v>
      </c>
      <c r="BD23" s="136" t="s">
        <v>193</v>
      </c>
      <c r="BE23" s="136" t="s">
        <v>282</v>
      </c>
      <c r="BF23" s="136" t="s">
        <v>283</v>
      </c>
      <c r="BG23" s="120" t="s">
        <v>679</v>
      </c>
      <c r="BH23" s="136" t="str">
        <f t="shared" ref="BH23:BH26" si="16">IF(BG23="1","&gt;MTL",
IF(BG23="2a","HAT-LAT",
IF(BG23="2b","&gt;MLLW",
IF(BG23="3a","&lt;HAT",
IF(BG23="3b","MLLW-LAT",
IF(BG23="3c","(MLLW)-(MLLW-8)",
IF(BG23="3d","&lt;HAT",
IF(BG23="3e","&gt;MLLW",
IF(BG23="4","&gt;MTL",
IF(BG23="5","&gt;MTL",
IF(BG23="6","&lt;HAT",
IF(BG23="7","&lt;HAT",
IF(BG23="8","HAT-MTL",
IF(BG23="9","&lt;MTL",
IF(BG23="10a","&lt;MTL",
IF(BG23="10b","MHHW-MLLW",
IF(BG23="11","&gt;MHHW",
IF(BG23="12a","HAT-LAT",
IF(BG23="12b","&lt;HAT","")))))))))))))))))))</f>
        <v>MHHW-MLLW</v>
      </c>
      <c r="BI23" s="136">
        <f t="shared" ref="BI23:BI26" si="17">IF(BG23="1",AW23,
IF(BG23="2a",(AR23+BB23)/2,
IF(BG23="2b",AU23,
IF(BG23="3a",BB23,
IF(BG23="3b",(AU23+AR23)/2,
IF(BG23="3c",(AU23+(AU23-8))/2,
IF(BG23="3d",BB23,
IF(BG23="3e",AU23,
IF(BG23="4",AW23,
IF(BG23="5",AW23,
IF(BG23="6",BB23,
IF(BG23="7",BB23,
IF(BG23="8",(AW23+BB23)/2,
IF(BG23="9",AW23,
IF(BG23="10a",AW23,
IF(BG23="10b",(AU23+AY23)/2,
IF(BG23="11",AY23,
IF(BG23="12a",(AR23+BB23)/2,
IF(BG23="12b",BB23,"")))))))))))))))))))</f>
        <v>8.8764529999999953E-2</v>
      </c>
      <c r="BJ23" s="136">
        <v>0.50471179728198834</v>
      </c>
      <c r="BK23" s="136" t="s">
        <v>456</v>
      </c>
      <c r="BL23" s="136" t="s">
        <v>456</v>
      </c>
      <c r="BM23" s="136" t="s">
        <v>175</v>
      </c>
      <c r="BN23" s="136" t="s">
        <v>175</v>
      </c>
      <c r="BO23" s="136">
        <v>4.1819299423898615E-2</v>
      </c>
      <c r="BP23" s="137" t="s">
        <v>175</v>
      </c>
      <c r="BQ23" s="137" t="s">
        <v>175</v>
      </c>
      <c r="BR23" s="137" t="s">
        <v>175</v>
      </c>
      <c r="BS23" s="137" t="s">
        <v>175</v>
      </c>
      <c r="BT23" s="138">
        <f t="shared" ref="BT23:BT26" si="18">AM23-BI23</f>
        <v>1.9872354700000006</v>
      </c>
      <c r="BU23" s="138">
        <f t="shared" ref="BU23:BU26" si="19">SQRT(SUMSQ(AP23,BJ23,IF(OR(BK23="nd",BK23="nd"),0,BK23),IF(OR(BL23="nd",BL23="nd"),0,BL23),IF(OR(BO23="nd",BO23="nd"),0,BO23)))</f>
        <v>0.53852377117442141</v>
      </c>
      <c r="BV23" s="138">
        <f t="shared" ref="BV23:BV26" si="20">SQRT(SUMSQ(AP23,BJ23,IF(OR(BK23="nd",BK23="nd"),0,BK23),IF(OR(BL23="nd",BL23="nd"),0,BL23),IF(OR(BO23="nd",BO23="nd"),0,BO23)))</f>
        <v>0.53852377117442141</v>
      </c>
      <c r="BW23" s="53" t="s">
        <v>175</v>
      </c>
      <c r="BX23" s="53" t="s">
        <v>175</v>
      </c>
      <c r="BY23" s="53" t="s">
        <v>175</v>
      </c>
      <c r="BZ23" s="53" t="s">
        <v>175</v>
      </c>
      <c r="CA23" s="147">
        <v>1</v>
      </c>
      <c r="CB23" s="54">
        <v>0</v>
      </c>
      <c r="CG23" s="116"/>
    </row>
    <row r="24" spans="1:87">
      <c r="A24" s="123" t="s">
        <v>985</v>
      </c>
      <c r="B24" s="124" t="s">
        <v>983</v>
      </c>
      <c r="C24" s="125" t="s">
        <v>674</v>
      </c>
      <c r="D24" s="125" t="s">
        <v>167</v>
      </c>
      <c r="E24" s="150">
        <v>22.245605999999999</v>
      </c>
      <c r="F24" s="150">
        <v>114.246</v>
      </c>
      <c r="G24" s="128" t="s">
        <v>168</v>
      </c>
      <c r="H24" s="151">
        <v>4960</v>
      </c>
      <c r="I24" s="151">
        <v>21</v>
      </c>
      <c r="J24" s="151">
        <v>5090</v>
      </c>
      <c r="K24" s="151">
        <v>216</v>
      </c>
      <c r="L24" s="151">
        <v>242</v>
      </c>
      <c r="M24" s="130" t="s">
        <v>280</v>
      </c>
      <c r="N24" s="130" t="s">
        <v>339</v>
      </c>
      <c r="O24" s="130" t="s">
        <v>175</v>
      </c>
      <c r="P24" s="130" t="s">
        <v>175</v>
      </c>
      <c r="Q24" s="130" t="s">
        <v>175</v>
      </c>
      <c r="R24" s="131" t="s">
        <v>175</v>
      </c>
      <c r="S24" s="131" t="s">
        <v>175</v>
      </c>
      <c r="T24" s="130">
        <v>0</v>
      </c>
      <c r="U24" s="132" t="s">
        <v>281</v>
      </c>
      <c r="V24" s="133">
        <v>0.01</v>
      </c>
      <c r="W24" s="132" t="s">
        <v>174</v>
      </c>
      <c r="X24" s="133">
        <v>0.01</v>
      </c>
      <c r="Y24" s="133">
        <v>5.0000000000000001E-3</v>
      </c>
      <c r="Z24" s="133">
        <v>0.01</v>
      </c>
      <c r="AA24" s="133">
        <v>0.15</v>
      </c>
      <c r="AB24" s="133">
        <v>0</v>
      </c>
      <c r="AC24" s="134">
        <v>0</v>
      </c>
      <c r="AD24" s="134">
        <v>0</v>
      </c>
      <c r="AE24" s="134">
        <v>0.03</v>
      </c>
      <c r="AF24" s="134">
        <v>0</v>
      </c>
      <c r="AG24" s="134">
        <v>0.1</v>
      </c>
      <c r="AH24" s="134">
        <v>0</v>
      </c>
      <c r="AI24" s="134">
        <v>0</v>
      </c>
      <c r="AJ24" s="134">
        <v>0</v>
      </c>
      <c r="AK24" s="134" t="s">
        <v>175</v>
      </c>
      <c r="AL24" s="122" t="s">
        <v>175</v>
      </c>
      <c r="AM24" s="122">
        <v>2.2930000000000001</v>
      </c>
      <c r="AN24" s="134" t="s">
        <v>176</v>
      </c>
      <c r="AO24" s="122" t="s">
        <v>177</v>
      </c>
      <c r="AP24" s="135">
        <f t="shared" si="14"/>
        <v>0.18309833423600555</v>
      </c>
      <c r="AQ24" s="135">
        <f t="shared" si="15"/>
        <v>0.18309833423600555</v>
      </c>
      <c r="AR24" s="117">
        <v>-1.3273691700000001</v>
      </c>
      <c r="AS24" s="117">
        <v>0</v>
      </c>
      <c r="AT24" s="117">
        <v>0</v>
      </c>
      <c r="AU24" s="117">
        <v>-0.66123547000000005</v>
      </c>
      <c r="AV24" s="117">
        <v>-0.41123546999999999</v>
      </c>
      <c r="AW24" s="117">
        <v>7.0686767999999997E-2</v>
      </c>
      <c r="AX24" s="117">
        <v>0.51645348000000002</v>
      </c>
      <c r="AY24" s="117">
        <v>0.83876452999999995</v>
      </c>
      <c r="AZ24" s="154">
        <v>0</v>
      </c>
      <c r="BA24" s="154">
        <v>0</v>
      </c>
      <c r="BB24" s="117">
        <v>1.33876453</v>
      </c>
      <c r="BC24" s="136" t="str">
        <f t="shared" si="3"/>
        <v>0</v>
      </c>
      <c r="BD24" s="136" t="s">
        <v>193</v>
      </c>
      <c r="BE24" s="136" t="s">
        <v>282</v>
      </c>
      <c r="BF24" s="136" t="s">
        <v>283</v>
      </c>
      <c r="BG24" s="120" t="s">
        <v>679</v>
      </c>
      <c r="BH24" s="136" t="str">
        <f t="shared" si="16"/>
        <v>MHHW-MLLW</v>
      </c>
      <c r="BI24" s="136">
        <f t="shared" si="17"/>
        <v>8.8764529999999953E-2</v>
      </c>
      <c r="BJ24" s="136">
        <v>0.50471179728198834</v>
      </c>
      <c r="BK24" s="136" t="s">
        <v>456</v>
      </c>
      <c r="BL24" s="136" t="s">
        <v>456</v>
      </c>
      <c r="BM24" s="136" t="s">
        <v>175</v>
      </c>
      <c r="BN24" s="136" t="s">
        <v>175</v>
      </c>
      <c r="BO24" s="136">
        <v>3.8005796365838007E-2</v>
      </c>
      <c r="BP24" s="137" t="s">
        <v>175</v>
      </c>
      <c r="BQ24" s="137" t="s">
        <v>175</v>
      </c>
      <c r="BR24" s="137" t="s">
        <v>175</v>
      </c>
      <c r="BS24" s="137" t="s">
        <v>175</v>
      </c>
      <c r="BT24" s="138">
        <f t="shared" si="18"/>
        <v>2.2042354700000004</v>
      </c>
      <c r="BU24" s="138">
        <f t="shared" si="19"/>
        <v>0.53824106018866347</v>
      </c>
      <c r="BV24" s="138">
        <f t="shared" si="20"/>
        <v>0.53824106018866347</v>
      </c>
      <c r="BW24" s="53" t="s">
        <v>175</v>
      </c>
      <c r="BX24" s="53" t="s">
        <v>175</v>
      </c>
      <c r="BY24" s="53" t="s">
        <v>175</v>
      </c>
      <c r="BZ24" s="53" t="s">
        <v>175</v>
      </c>
      <c r="CA24" s="147">
        <v>1</v>
      </c>
      <c r="CB24" s="54">
        <v>0</v>
      </c>
      <c r="CG24" s="116"/>
    </row>
    <row r="25" spans="1:87">
      <c r="A25" s="123" t="s">
        <v>986</v>
      </c>
      <c r="B25" s="124" t="s">
        <v>983</v>
      </c>
      <c r="C25" s="125" t="s">
        <v>674</v>
      </c>
      <c r="D25" s="125" t="s">
        <v>167</v>
      </c>
      <c r="E25" s="150">
        <v>22.245605999999999</v>
      </c>
      <c r="F25" s="150">
        <v>114.246</v>
      </c>
      <c r="G25" s="128" t="s">
        <v>168</v>
      </c>
      <c r="H25" s="151">
        <v>4975</v>
      </c>
      <c r="I25" s="151">
        <v>23</v>
      </c>
      <c r="J25" s="151">
        <v>5108</v>
      </c>
      <c r="K25" s="151">
        <v>211</v>
      </c>
      <c r="L25" s="151">
        <v>257</v>
      </c>
      <c r="M25" s="130" t="s">
        <v>280</v>
      </c>
      <c r="N25" s="130" t="s">
        <v>339</v>
      </c>
      <c r="O25" s="130" t="s">
        <v>175</v>
      </c>
      <c r="P25" s="130" t="s">
        <v>175</v>
      </c>
      <c r="Q25" s="130" t="s">
        <v>175</v>
      </c>
      <c r="R25" s="131" t="s">
        <v>175</v>
      </c>
      <c r="S25" s="131" t="s">
        <v>175</v>
      </c>
      <c r="T25" s="130">
        <v>0</v>
      </c>
      <c r="U25" s="132" t="s">
        <v>281</v>
      </c>
      <c r="V25" s="133">
        <v>0.01</v>
      </c>
      <c r="W25" s="132" t="s">
        <v>174</v>
      </c>
      <c r="X25" s="133">
        <v>0.01</v>
      </c>
      <c r="Y25" s="133">
        <v>5.0000000000000001E-3</v>
      </c>
      <c r="Z25" s="133">
        <v>0.01</v>
      </c>
      <c r="AA25" s="133">
        <v>0.15</v>
      </c>
      <c r="AB25" s="133">
        <v>0</v>
      </c>
      <c r="AC25" s="134">
        <v>0</v>
      </c>
      <c r="AD25" s="134">
        <v>0</v>
      </c>
      <c r="AE25" s="134">
        <v>0.03</v>
      </c>
      <c r="AF25" s="134">
        <v>0</v>
      </c>
      <c r="AG25" s="134">
        <v>0.1</v>
      </c>
      <c r="AH25" s="134">
        <v>0</v>
      </c>
      <c r="AI25" s="134">
        <v>0</v>
      </c>
      <c r="AJ25" s="134">
        <v>0</v>
      </c>
      <c r="AK25" s="134" t="s">
        <v>175</v>
      </c>
      <c r="AL25" s="122" t="s">
        <v>175</v>
      </c>
      <c r="AM25" s="122">
        <v>2.3650000000000002</v>
      </c>
      <c r="AN25" s="134" t="s">
        <v>176</v>
      </c>
      <c r="AO25" s="122" t="s">
        <v>177</v>
      </c>
      <c r="AP25" s="135">
        <f t="shared" si="14"/>
        <v>0.18309833423600555</v>
      </c>
      <c r="AQ25" s="135">
        <f t="shared" si="15"/>
        <v>0.18309833423600555</v>
      </c>
      <c r="AR25" s="117">
        <v>-1.3273691700000001</v>
      </c>
      <c r="AS25" s="117">
        <v>0</v>
      </c>
      <c r="AT25" s="117">
        <v>0</v>
      </c>
      <c r="AU25" s="117">
        <v>-0.66123547000000005</v>
      </c>
      <c r="AV25" s="117">
        <v>-0.41123546999999999</v>
      </c>
      <c r="AW25" s="117">
        <v>7.0686767999999997E-2</v>
      </c>
      <c r="AX25" s="117">
        <v>0.51645348000000002</v>
      </c>
      <c r="AY25" s="117">
        <v>0.83876452999999995</v>
      </c>
      <c r="AZ25" s="154">
        <v>0</v>
      </c>
      <c r="BA25" s="154">
        <v>0</v>
      </c>
      <c r="BB25" s="117">
        <v>1.33876453</v>
      </c>
      <c r="BC25" s="136" t="str">
        <f t="shared" si="3"/>
        <v>0</v>
      </c>
      <c r="BD25" s="136" t="s">
        <v>193</v>
      </c>
      <c r="BE25" s="136" t="s">
        <v>282</v>
      </c>
      <c r="BF25" s="136" t="s">
        <v>283</v>
      </c>
      <c r="BG25" s="120" t="s">
        <v>679</v>
      </c>
      <c r="BH25" s="136" t="str">
        <f t="shared" si="16"/>
        <v>MHHW-MLLW</v>
      </c>
      <c r="BI25" s="136">
        <f t="shared" si="17"/>
        <v>8.8764529999999953E-2</v>
      </c>
      <c r="BJ25" s="136">
        <v>0.50471179728198834</v>
      </c>
      <c r="BK25" s="136" t="s">
        <v>456</v>
      </c>
      <c r="BL25" s="136" t="s">
        <v>456</v>
      </c>
      <c r="BM25" s="136" t="s">
        <v>175</v>
      </c>
      <c r="BN25" s="136" t="s">
        <v>175</v>
      </c>
      <c r="BO25" s="136">
        <v>3.8005796365838007E-2</v>
      </c>
      <c r="BP25" s="137" t="s">
        <v>175</v>
      </c>
      <c r="BQ25" s="137" t="s">
        <v>175</v>
      </c>
      <c r="BR25" s="137" t="s">
        <v>175</v>
      </c>
      <c r="BS25" s="137" t="s">
        <v>175</v>
      </c>
      <c r="BT25" s="138">
        <f t="shared" si="18"/>
        <v>2.2762354700000005</v>
      </c>
      <c r="BU25" s="138">
        <f t="shared" si="19"/>
        <v>0.53824106018866347</v>
      </c>
      <c r="BV25" s="138">
        <f t="shared" si="20"/>
        <v>0.53824106018866347</v>
      </c>
      <c r="BW25" s="53" t="s">
        <v>175</v>
      </c>
      <c r="BX25" s="53" t="s">
        <v>175</v>
      </c>
      <c r="BY25" s="53" t="s">
        <v>175</v>
      </c>
      <c r="BZ25" s="53" t="s">
        <v>175</v>
      </c>
      <c r="CA25" s="147">
        <v>1</v>
      </c>
      <c r="CB25" s="54">
        <v>0</v>
      </c>
      <c r="CG25" s="116"/>
    </row>
    <row r="26" spans="1:87">
      <c r="A26" s="123" t="s">
        <v>987</v>
      </c>
      <c r="B26" s="124" t="s">
        <v>983</v>
      </c>
      <c r="C26" s="125" t="s">
        <v>674</v>
      </c>
      <c r="D26" s="125" t="s">
        <v>167</v>
      </c>
      <c r="E26" s="150">
        <v>22.245605999999999</v>
      </c>
      <c r="F26" s="150">
        <v>114.246</v>
      </c>
      <c r="G26" s="128" t="s">
        <v>168</v>
      </c>
      <c r="H26" s="151">
        <v>5110</v>
      </c>
      <c r="I26" s="151">
        <v>24</v>
      </c>
      <c r="J26" s="151">
        <v>5277</v>
      </c>
      <c r="K26" s="151">
        <v>230</v>
      </c>
      <c r="L26" s="151">
        <v>259</v>
      </c>
      <c r="M26" s="130" t="s">
        <v>280</v>
      </c>
      <c r="N26" s="130" t="s">
        <v>339</v>
      </c>
      <c r="O26" s="130" t="s">
        <v>175</v>
      </c>
      <c r="P26" s="130" t="s">
        <v>175</v>
      </c>
      <c r="Q26" s="130" t="s">
        <v>175</v>
      </c>
      <c r="R26" s="131" t="s">
        <v>175</v>
      </c>
      <c r="S26" s="131" t="s">
        <v>175</v>
      </c>
      <c r="T26" s="130">
        <v>0</v>
      </c>
      <c r="U26" s="132" t="s">
        <v>281</v>
      </c>
      <c r="V26" s="133">
        <v>0.01</v>
      </c>
      <c r="W26" s="132" t="s">
        <v>174</v>
      </c>
      <c r="X26" s="133">
        <v>0.01</v>
      </c>
      <c r="Y26" s="133">
        <v>5.0000000000000001E-3</v>
      </c>
      <c r="Z26" s="133">
        <v>0.01</v>
      </c>
      <c r="AA26" s="133">
        <v>0.15</v>
      </c>
      <c r="AB26" s="133">
        <v>0</v>
      </c>
      <c r="AC26" s="134">
        <v>0</v>
      </c>
      <c r="AD26" s="134">
        <v>0</v>
      </c>
      <c r="AE26" s="134">
        <v>0.03</v>
      </c>
      <c r="AF26" s="134">
        <v>0</v>
      </c>
      <c r="AG26" s="134">
        <v>0.1</v>
      </c>
      <c r="AH26" s="134">
        <v>0</v>
      </c>
      <c r="AI26" s="134">
        <v>0</v>
      </c>
      <c r="AJ26" s="134">
        <v>0</v>
      </c>
      <c r="AK26" s="134" t="s">
        <v>175</v>
      </c>
      <c r="AL26" s="122" t="s">
        <v>175</v>
      </c>
      <c r="AM26" s="122">
        <v>2.8310000000000004</v>
      </c>
      <c r="AN26" s="134" t="s">
        <v>176</v>
      </c>
      <c r="AO26" s="122" t="s">
        <v>177</v>
      </c>
      <c r="AP26" s="135">
        <f t="shared" si="14"/>
        <v>0.18309833423600555</v>
      </c>
      <c r="AQ26" s="135">
        <f t="shared" si="15"/>
        <v>0.18309833423600555</v>
      </c>
      <c r="AR26" s="117">
        <v>-1.3273691700000001</v>
      </c>
      <c r="AS26" s="117">
        <v>0</v>
      </c>
      <c r="AT26" s="117">
        <v>0</v>
      </c>
      <c r="AU26" s="117">
        <v>-0.66123547000000005</v>
      </c>
      <c r="AV26" s="117">
        <v>-0.41123546999999999</v>
      </c>
      <c r="AW26" s="117">
        <v>7.0686767999999997E-2</v>
      </c>
      <c r="AX26" s="117">
        <v>0.51645348000000002</v>
      </c>
      <c r="AY26" s="117">
        <v>0.83876452999999995</v>
      </c>
      <c r="AZ26" s="154">
        <v>0</v>
      </c>
      <c r="BA26" s="154">
        <v>0</v>
      </c>
      <c r="BB26" s="117">
        <v>1.33876453</v>
      </c>
      <c r="BC26" s="136" t="str">
        <f t="shared" si="3"/>
        <v>0</v>
      </c>
      <c r="BD26" s="136" t="s">
        <v>193</v>
      </c>
      <c r="BE26" s="136" t="s">
        <v>282</v>
      </c>
      <c r="BF26" s="136" t="s">
        <v>283</v>
      </c>
      <c r="BG26" s="120" t="s">
        <v>679</v>
      </c>
      <c r="BH26" s="136" t="str">
        <f t="shared" si="16"/>
        <v>MHHW-MLLW</v>
      </c>
      <c r="BI26" s="136">
        <f t="shared" si="17"/>
        <v>8.8764529999999953E-2</v>
      </c>
      <c r="BJ26" s="136">
        <v>0.50471179728198834</v>
      </c>
      <c r="BK26" s="136" t="s">
        <v>456</v>
      </c>
      <c r="BL26" s="136" t="s">
        <v>456</v>
      </c>
      <c r="BM26" s="136" t="s">
        <v>175</v>
      </c>
      <c r="BN26" s="136" t="s">
        <v>175</v>
      </c>
      <c r="BO26" s="136">
        <v>3.8005796365838007E-2</v>
      </c>
      <c r="BP26" s="137" t="s">
        <v>175</v>
      </c>
      <c r="BQ26" s="137" t="s">
        <v>175</v>
      </c>
      <c r="BR26" s="137" t="s">
        <v>175</v>
      </c>
      <c r="BS26" s="137" t="s">
        <v>175</v>
      </c>
      <c r="BT26" s="138">
        <f t="shared" si="18"/>
        <v>2.7422354700000007</v>
      </c>
      <c r="BU26" s="138">
        <f t="shared" si="19"/>
        <v>0.53824106018866347</v>
      </c>
      <c r="BV26" s="138">
        <f t="shared" si="20"/>
        <v>0.53824106018866347</v>
      </c>
      <c r="BW26" s="53" t="s">
        <v>175</v>
      </c>
      <c r="BX26" s="53" t="s">
        <v>175</v>
      </c>
      <c r="BY26" s="53" t="s">
        <v>175</v>
      </c>
      <c r="BZ26" s="53" t="s">
        <v>175</v>
      </c>
      <c r="CA26" s="147">
        <v>1</v>
      </c>
      <c r="CB26" s="54">
        <v>0</v>
      </c>
      <c r="CG26" s="116"/>
    </row>
    <row r="27" spans="1:87">
      <c r="A27" s="123" t="s">
        <v>278</v>
      </c>
      <c r="B27" s="124" t="s">
        <v>279</v>
      </c>
      <c r="C27" s="148" t="s">
        <v>674</v>
      </c>
      <c r="D27" s="148" t="s">
        <v>167</v>
      </c>
      <c r="E27" s="150">
        <v>22.245605999999999</v>
      </c>
      <c r="F27" s="150">
        <v>114.246</v>
      </c>
      <c r="G27" s="128" t="s">
        <v>168</v>
      </c>
      <c r="H27" s="151">
        <v>5140</v>
      </c>
      <c r="I27" s="151">
        <v>50</v>
      </c>
      <c r="J27" s="151">
        <v>5313</v>
      </c>
      <c r="K27" s="151">
        <v>242</v>
      </c>
      <c r="L27" s="151">
        <v>272</v>
      </c>
      <c r="M27" s="130" t="s">
        <v>280</v>
      </c>
      <c r="N27" s="130" t="s">
        <v>339</v>
      </c>
      <c r="O27" s="130" t="s">
        <v>175</v>
      </c>
      <c r="P27" s="130" t="s">
        <v>175</v>
      </c>
      <c r="Q27" s="130" t="s">
        <v>175</v>
      </c>
      <c r="R27" s="131" t="s">
        <v>175</v>
      </c>
      <c r="S27" s="131" t="s">
        <v>175</v>
      </c>
      <c r="T27" s="130">
        <v>0</v>
      </c>
      <c r="U27" s="132" t="s">
        <v>281</v>
      </c>
      <c r="V27" s="133">
        <v>0.01</v>
      </c>
      <c r="W27" s="132" t="s">
        <v>174</v>
      </c>
      <c r="X27" s="133">
        <v>0.01</v>
      </c>
      <c r="Y27" s="133">
        <v>5.0000000000000001E-3</v>
      </c>
      <c r="Z27" s="133">
        <v>1.13610148</v>
      </c>
      <c r="AA27" s="133">
        <v>0.15</v>
      </c>
      <c r="AB27" s="133">
        <v>0</v>
      </c>
      <c r="AC27" s="134">
        <v>0</v>
      </c>
      <c r="AD27" s="134">
        <v>0</v>
      </c>
      <c r="AE27" s="134">
        <v>0.5</v>
      </c>
      <c r="AF27" s="134">
        <v>0</v>
      </c>
      <c r="AG27" s="134">
        <v>0.1</v>
      </c>
      <c r="AH27" s="134">
        <v>0</v>
      </c>
      <c r="AI27" s="134">
        <v>0</v>
      </c>
      <c r="AJ27" s="134">
        <v>0</v>
      </c>
      <c r="AK27" s="134" t="s">
        <v>175</v>
      </c>
      <c r="AL27" s="122" t="s">
        <v>175</v>
      </c>
      <c r="AM27" s="122">
        <v>2.8</v>
      </c>
      <c r="AN27" s="134" t="s">
        <v>176</v>
      </c>
      <c r="AO27" s="122" t="s">
        <v>177</v>
      </c>
      <c r="AP27" s="135">
        <f t="shared" si="1"/>
        <v>1.2542932563233331</v>
      </c>
      <c r="AQ27" s="135">
        <f t="shared" si="2"/>
        <v>1.2542932563233331</v>
      </c>
      <c r="AR27" s="117">
        <v>-1.3273691700000001</v>
      </c>
      <c r="AS27" s="117">
        <v>0</v>
      </c>
      <c r="AT27" s="117">
        <v>0</v>
      </c>
      <c r="AU27" s="117">
        <v>-0.66123547000000005</v>
      </c>
      <c r="AV27" s="117">
        <v>-0.41123546999999999</v>
      </c>
      <c r="AW27" s="117">
        <v>7.0686767999999997E-2</v>
      </c>
      <c r="AX27" s="117">
        <v>0.51645348000000002</v>
      </c>
      <c r="AY27" s="117">
        <v>0.83876452999999995</v>
      </c>
      <c r="AZ27" s="154">
        <v>0</v>
      </c>
      <c r="BA27" s="154">
        <v>0</v>
      </c>
      <c r="BB27" s="117">
        <v>1.33876453</v>
      </c>
      <c r="BC27" s="136" t="str">
        <f t="shared" si="3"/>
        <v>0</v>
      </c>
      <c r="BD27" s="136" t="s">
        <v>193</v>
      </c>
      <c r="BE27" s="136" t="s">
        <v>282</v>
      </c>
      <c r="BF27" s="136" t="s">
        <v>283</v>
      </c>
      <c r="BG27" s="120" t="s">
        <v>679</v>
      </c>
      <c r="BH27" s="136" t="str">
        <f t="shared" si="12"/>
        <v>MHHW-MLLW</v>
      </c>
      <c r="BI27" s="136">
        <f t="shared" si="13"/>
        <v>8.8764529999999953E-2</v>
      </c>
      <c r="BJ27" s="136">
        <v>0.50471179728198834</v>
      </c>
      <c r="BK27" s="136" t="s">
        <v>456</v>
      </c>
      <c r="BL27" s="136" t="s">
        <v>456</v>
      </c>
      <c r="BM27" s="136" t="s">
        <v>175</v>
      </c>
      <c r="BN27" s="136" t="s">
        <v>175</v>
      </c>
      <c r="BO27" s="136">
        <v>3.8005796365838007E-2</v>
      </c>
      <c r="BP27" s="137" t="s">
        <v>175</v>
      </c>
      <c r="BQ27" s="137" t="s">
        <v>175</v>
      </c>
      <c r="BR27" s="137" t="s">
        <v>175</v>
      </c>
      <c r="BS27" s="137" t="s">
        <v>175</v>
      </c>
      <c r="BT27" s="138">
        <f t="shared" si="8"/>
        <v>2.7112354700000001</v>
      </c>
      <c r="BU27" s="138">
        <f t="shared" si="9"/>
        <v>1.3525642357134862</v>
      </c>
      <c r="BV27" s="138">
        <f t="shared" si="10"/>
        <v>1.3525642357134862</v>
      </c>
      <c r="BW27" s="53" t="s">
        <v>175</v>
      </c>
      <c r="BX27" s="53" t="s">
        <v>175</v>
      </c>
      <c r="BY27" s="53" t="s">
        <v>175</v>
      </c>
      <c r="BZ27" s="53" t="s">
        <v>175</v>
      </c>
      <c r="CA27" s="147">
        <v>1</v>
      </c>
      <c r="CB27" s="54">
        <v>0</v>
      </c>
    </row>
    <row r="28" spans="1:87" ht="17">
      <c r="A28" s="123" t="s">
        <v>260</v>
      </c>
      <c r="B28" s="124" t="s">
        <v>261</v>
      </c>
      <c r="C28" s="148" t="s">
        <v>674</v>
      </c>
      <c r="D28" s="148" t="s">
        <v>167</v>
      </c>
      <c r="E28" s="150">
        <v>22.464210477999998</v>
      </c>
      <c r="F28" s="150">
        <v>114.207645047</v>
      </c>
      <c r="G28" s="128" t="s">
        <v>168</v>
      </c>
      <c r="H28" s="151">
        <v>626.46950426133219</v>
      </c>
      <c r="I28" s="151">
        <v>121.27869156010786</v>
      </c>
      <c r="J28" s="151">
        <v>605</v>
      </c>
      <c r="K28" s="151">
        <v>186</v>
      </c>
      <c r="L28" s="151">
        <v>275</v>
      </c>
      <c r="M28" s="130" t="s">
        <v>262</v>
      </c>
      <c r="N28" s="130" t="s">
        <v>198</v>
      </c>
      <c r="O28" s="130" t="s">
        <v>175</v>
      </c>
      <c r="P28" s="155" t="s">
        <v>175</v>
      </c>
      <c r="Q28" s="155" t="s">
        <v>175</v>
      </c>
      <c r="R28" s="156" t="s">
        <v>175</v>
      </c>
      <c r="S28" s="156" t="s">
        <v>175</v>
      </c>
      <c r="T28" s="130">
        <v>1</v>
      </c>
      <c r="U28" s="132" t="s">
        <v>173</v>
      </c>
      <c r="V28" s="133">
        <v>0.05</v>
      </c>
      <c r="W28" s="132" t="s">
        <v>174</v>
      </c>
      <c r="X28" s="133">
        <v>0.05</v>
      </c>
      <c r="Y28" s="133">
        <v>2.5000000000000001E-2</v>
      </c>
      <c r="Z28" s="133">
        <v>0.01</v>
      </c>
      <c r="AA28" s="133">
        <v>0.15</v>
      </c>
      <c r="AB28" s="133">
        <v>0.2</v>
      </c>
      <c r="AC28" s="134">
        <v>0</v>
      </c>
      <c r="AD28" s="134">
        <v>0</v>
      </c>
      <c r="AE28" s="134">
        <v>0.5</v>
      </c>
      <c r="AF28" s="134">
        <v>0</v>
      </c>
      <c r="AG28" s="134">
        <v>0.1</v>
      </c>
      <c r="AH28" s="134">
        <v>0</v>
      </c>
      <c r="AI28" s="134">
        <v>0</v>
      </c>
      <c r="AJ28" s="134">
        <v>0</v>
      </c>
      <c r="AK28" s="134" t="s">
        <v>175</v>
      </c>
      <c r="AL28" s="122" t="s">
        <v>175</v>
      </c>
      <c r="AM28" s="122">
        <v>-1.38</v>
      </c>
      <c r="AN28" s="134" t="s">
        <v>176</v>
      </c>
      <c r="AO28" s="122" t="s">
        <v>177</v>
      </c>
      <c r="AP28" s="135">
        <f t="shared" si="1"/>
        <v>0.56852880314017507</v>
      </c>
      <c r="AQ28" s="135">
        <f t="shared" si="2"/>
        <v>0.56852880314017507</v>
      </c>
      <c r="AR28" s="117">
        <v>-1.3695372690000001</v>
      </c>
      <c r="AS28" s="117">
        <v>0</v>
      </c>
      <c r="AT28" s="117">
        <v>0</v>
      </c>
      <c r="AU28" s="117">
        <v>-0.75591259899999996</v>
      </c>
      <c r="AV28" s="117">
        <v>-0.55250643200000005</v>
      </c>
      <c r="AW28" s="117">
        <v>2.6478149999999999E-2</v>
      </c>
      <c r="AX28" s="117">
        <v>0.57705656400000005</v>
      </c>
      <c r="AY28" s="117">
        <v>0.83727506600000001</v>
      </c>
      <c r="AZ28" s="117">
        <v>0</v>
      </c>
      <c r="BA28" s="117">
        <v>0</v>
      </c>
      <c r="BB28" s="117">
        <v>1.3440874009999999</v>
      </c>
      <c r="BC28" s="136" t="str">
        <f t="shared" si="3"/>
        <v xml:space="preserve">-1 </v>
      </c>
      <c r="BD28" s="136" t="s">
        <v>178</v>
      </c>
      <c r="BE28" s="136" t="s">
        <v>689</v>
      </c>
      <c r="BF28" s="136" t="s">
        <v>263</v>
      </c>
      <c r="BG28" s="120" t="s">
        <v>665</v>
      </c>
      <c r="BH28" s="136" t="str">
        <f t="shared" si="12"/>
        <v>&lt;HAT</v>
      </c>
      <c r="BI28" s="136">
        <f t="shared" si="13"/>
        <v>1.3440874009999999</v>
      </c>
      <c r="BJ28" s="136" t="str">
        <f t="shared" ref="BJ28:BJ152" si="21">IF(BG28="1","Nil",
IF(BG28="2a",(BB28-AR28)/2,
IF(BG28="2b","Nil",
IF(BG28="3a","Nil",
IF(BG28="3b",(AU28 -AR28)/2,
IF(BG28="3c",4,
IF(BG28="3d","Nil",
IF(BG28="3e","Nil",
IF(BG28="4","Nil",
IF(BG28="5","Nil",
IF(BG28="6","Nil",
IF(BG28="7","Nil",
IF(BG28="8",(BB28-AW28)/2,
IF(BG28="9","Nil",
IF(BG28="10a","Nil",
IF(BG28="10b",(AY28-AU28)/2,
IF(BG28="11","Nil",
IF(BG28="12a",(BB28-AR28)/2,
IF(BG28="12b","Nil","")))))))))))))))))))</f>
        <v>Nil</v>
      </c>
      <c r="BK28" s="136">
        <f t="shared" ref="BK28:BK152" si="22">IF(BH28="HAT-LAT",0.27,
IF(BH28="HAT-MTL",0.09,
IF(BH28="MHHW-MLLW",0.27,IF(BH28="MLLW-LAT",0.27,
IF(BH28="(MLLW)-(MLLW-8)",0.4,
IF(BH28="&lt;HAT",0.18,
IF(BH28="&gt;MHHW",0.44,
IF(BH28="&gt;MTL",0.05,
IF(BH28="&lt;MTL",0.05,
IF(BH28="&gt;MLLW",0.4,
IF(BH28="&lt;MLLW",0.4,"Nil")))))))))))</f>
        <v>0.18</v>
      </c>
      <c r="BL28" s="136" t="s">
        <v>736</v>
      </c>
      <c r="BM28" s="136" t="s">
        <v>175</v>
      </c>
      <c r="BN28" s="136" t="s">
        <v>175</v>
      </c>
      <c r="BO28" s="136" t="s">
        <v>736</v>
      </c>
      <c r="BP28" s="137" t="s">
        <v>175</v>
      </c>
      <c r="BQ28" s="137" t="s">
        <v>175</v>
      </c>
      <c r="BR28" s="137" t="s">
        <v>175</v>
      </c>
      <c r="BS28" s="137" t="s">
        <v>175</v>
      </c>
      <c r="BT28" s="138">
        <f t="shared" si="8"/>
        <v>-2.7240874009999998</v>
      </c>
      <c r="BU28" s="138">
        <f t="shared" si="9"/>
        <v>0.59634302209382806</v>
      </c>
      <c r="BV28" s="138">
        <f t="shared" si="10"/>
        <v>0.59634302209382806</v>
      </c>
      <c r="BW28" s="53" t="s">
        <v>175</v>
      </c>
      <c r="BX28" s="53" t="s">
        <v>175</v>
      </c>
      <c r="BY28" s="53" t="s">
        <v>175</v>
      </c>
      <c r="BZ28" s="53" t="s">
        <v>175</v>
      </c>
      <c r="CA28" s="147">
        <v>2</v>
      </c>
      <c r="CB28" s="54">
        <v>0</v>
      </c>
      <c r="CI28" s="116"/>
    </row>
    <row r="29" spans="1:87" ht="17">
      <c r="A29" s="123" t="s">
        <v>264</v>
      </c>
      <c r="B29" s="124" t="s">
        <v>261</v>
      </c>
      <c r="C29" s="148" t="s">
        <v>674</v>
      </c>
      <c r="D29" s="148" t="s">
        <v>167</v>
      </c>
      <c r="E29" s="150">
        <v>22.464210477999998</v>
      </c>
      <c r="F29" s="150">
        <v>114.207645047</v>
      </c>
      <c r="G29" s="128" t="s">
        <v>168</v>
      </c>
      <c r="H29" s="151">
        <v>1000.6818647162495</v>
      </c>
      <c r="I29" s="151">
        <v>441.7188423118867</v>
      </c>
      <c r="J29" s="151">
        <v>523</v>
      </c>
      <c r="K29" s="151">
        <v>702</v>
      </c>
      <c r="L29" s="151">
        <v>522</v>
      </c>
      <c r="M29" s="130" t="s">
        <v>262</v>
      </c>
      <c r="N29" s="130" t="s">
        <v>339</v>
      </c>
      <c r="O29" s="130" t="s">
        <v>175</v>
      </c>
      <c r="P29" s="155" t="s">
        <v>175</v>
      </c>
      <c r="Q29" s="155" t="s">
        <v>175</v>
      </c>
      <c r="R29" s="156" t="s">
        <v>175</v>
      </c>
      <c r="S29" s="156" t="s">
        <v>175</v>
      </c>
      <c r="T29" s="130">
        <v>1</v>
      </c>
      <c r="U29" s="132" t="s">
        <v>173</v>
      </c>
      <c r="V29" s="133">
        <v>0.01</v>
      </c>
      <c r="W29" s="132" t="s">
        <v>174</v>
      </c>
      <c r="X29" s="133">
        <v>0.01</v>
      </c>
      <c r="Y29" s="133">
        <v>5.0000000000000001E-3</v>
      </c>
      <c r="Z29" s="133">
        <v>0.01</v>
      </c>
      <c r="AA29" s="133">
        <v>0.15</v>
      </c>
      <c r="AB29" s="133">
        <v>0.2</v>
      </c>
      <c r="AC29" s="134">
        <v>0</v>
      </c>
      <c r="AD29" s="134">
        <v>0</v>
      </c>
      <c r="AE29" s="134">
        <v>0.5</v>
      </c>
      <c r="AF29" s="134">
        <v>0</v>
      </c>
      <c r="AG29" s="134">
        <v>0.1</v>
      </c>
      <c r="AH29" s="134">
        <v>0</v>
      </c>
      <c r="AI29" s="134">
        <v>0</v>
      </c>
      <c r="AJ29" s="134">
        <v>0</v>
      </c>
      <c r="AK29" s="134" t="s">
        <v>175</v>
      </c>
      <c r="AL29" s="122" t="s">
        <v>175</v>
      </c>
      <c r="AM29" s="122">
        <v>-1.38</v>
      </c>
      <c r="AN29" s="134" t="s">
        <v>176</v>
      </c>
      <c r="AO29" s="122" t="s">
        <v>177</v>
      </c>
      <c r="AP29" s="135">
        <f t="shared" si="1"/>
        <v>0.56800088028100804</v>
      </c>
      <c r="AQ29" s="135">
        <f t="shared" si="2"/>
        <v>0.56800088028100804</v>
      </c>
      <c r="AR29" s="117">
        <v>-1.3695372690000001</v>
      </c>
      <c r="AS29" s="117">
        <v>0</v>
      </c>
      <c r="AT29" s="117">
        <v>0</v>
      </c>
      <c r="AU29" s="117">
        <v>-0.75591259899999996</v>
      </c>
      <c r="AV29" s="117">
        <v>-0.55250643200000005</v>
      </c>
      <c r="AW29" s="117">
        <v>2.6478149999999999E-2</v>
      </c>
      <c r="AX29" s="117">
        <v>0.57705656400000005</v>
      </c>
      <c r="AY29" s="117">
        <v>0.83727506600000001</v>
      </c>
      <c r="AZ29" s="117">
        <v>0</v>
      </c>
      <c r="BA29" s="117">
        <v>0</v>
      </c>
      <c r="BB29" s="117">
        <v>1.3440874009999999</v>
      </c>
      <c r="BC29" s="136" t="str">
        <f t="shared" si="3"/>
        <v xml:space="preserve">-1 </v>
      </c>
      <c r="BD29" s="136" t="s">
        <v>178</v>
      </c>
      <c r="BE29" s="136" t="s">
        <v>689</v>
      </c>
      <c r="BF29" s="136" t="s">
        <v>263</v>
      </c>
      <c r="BG29" s="120" t="s">
        <v>665</v>
      </c>
      <c r="BH29" s="136" t="str">
        <f t="shared" si="12"/>
        <v>&lt;HAT</v>
      </c>
      <c r="BI29" s="136">
        <f t="shared" si="13"/>
        <v>1.3440874009999999</v>
      </c>
      <c r="BJ29" s="136" t="str">
        <f t="shared" si="21"/>
        <v>Nil</v>
      </c>
      <c r="BK29" s="136">
        <f t="shared" si="22"/>
        <v>0.18</v>
      </c>
      <c r="BL29" s="136" t="s">
        <v>736</v>
      </c>
      <c r="BM29" s="136" t="s">
        <v>175</v>
      </c>
      <c r="BN29" s="136" t="s">
        <v>175</v>
      </c>
      <c r="BO29" s="136" t="s">
        <v>736</v>
      </c>
      <c r="BP29" s="137" t="s">
        <v>175</v>
      </c>
      <c r="BQ29" s="137" t="s">
        <v>175</v>
      </c>
      <c r="BR29" s="137" t="s">
        <v>175</v>
      </c>
      <c r="BS29" s="137" t="s">
        <v>175</v>
      </c>
      <c r="BT29" s="138">
        <f t="shared" si="8"/>
        <v>-2.7240874009999998</v>
      </c>
      <c r="BU29" s="138">
        <f t="shared" si="9"/>
        <v>0.5958397435552617</v>
      </c>
      <c r="BV29" s="138">
        <f t="shared" si="10"/>
        <v>0.5958397435552617</v>
      </c>
      <c r="BW29" s="53" t="s">
        <v>175</v>
      </c>
      <c r="BX29" s="53" t="s">
        <v>175</v>
      </c>
      <c r="BY29" s="53" t="s">
        <v>175</v>
      </c>
      <c r="BZ29" s="53" t="s">
        <v>175</v>
      </c>
      <c r="CA29" s="147">
        <v>2</v>
      </c>
      <c r="CB29" s="54">
        <v>0</v>
      </c>
      <c r="CI29" s="116"/>
    </row>
    <row r="30" spans="1:87">
      <c r="A30" s="123" t="s">
        <v>187</v>
      </c>
      <c r="B30" s="124" t="s">
        <v>188</v>
      </c>
      <c r="C30" s="148" t="s">
        <v>674</v>
      </c>
      <c r="D30" s="125" t="s">
        <v>167</v>
      </c>
      <c r="E30" s="150">
        <v>22.216999999999999</v>
      </c>
      <c r="F30" s="150">
        <v>114.202</v>
      </c>
      <c r="G30" s="128" t="s">
        <v>168</v>
      </c>
      <c r="H30" s="151">
        <v>5388.9526305170139</v>
      </c>
      <c r="I30" s="151">
        <v>111.37113931289798</v>
      </c>
      <c r="J30" s="151">
        <v>6161</v>
      </c>
      <c r="K30" s="151">
        <v>232</v>
      </c>
      <c r="L30" s="151">
        <v>231</v>
      </c>
      <c r="M30" s="130" t="s">
        <v>189</v>
      </c>
      <c r="N30" s="130" t="s">
        <v>183</v>
      </c>
      <c r="O30" s="130" t="s">
        <v>190</v>
      </c>
      <c r="P30" s="130" t="s">
        <v>191</v>
      </c>
      <c r="Q30" s="130" t="s">
        <v>172</v>
      </c>
      <c r="R30" s="131">
        <v>0.46</v>
      </c>
      <c r="S30" s="112" t="s">
        <v>175</v>
      </c>
      <c r="T30" s="130">
        <v>1</v>
      </c>
      <c r="U30" s="132" t="s">
        <v>192</v>
      </c>
      <c r="V30" s="133">
        <v>0.1</v>
      </c>
      <c r="W30" s="132" t="s">
        <v>174</v>
      </c>
      <c r="X30" s="133">
        <v>0.1</v>
      </c>
      <c r="Y30" s="133">
        <v>0.05</v>
      </c>
      <c r="Z30" s="133">
        <v>0.01</v>
      </c>
      <c r="AA30" s="133">
        <v>0.15</v>
      </c>
      <c r="AB30" s="133">
        <f>0.02*R30</f>
        <v>9.1999999999999998E-3</v>
      </c>
      <c r="AC30" s="134">
        <v>0</v>
      </c>
      <c r="AD30" s="134">
        <v>0</v>
      </c>
      <c r="AE30" s="134">
        <v>0.5</v>
      </c>
      <c r="AF30" s="134">
        <v>0</v>
      </c>
      <c r="AG30" s="134">
        <v>0.1</v>
      </c>
      <c r="AH30" s="134">
        <v>0</v>
      </c>
      <c r="AI30" s="134">
        <v>0</v>
      </c>
      <c r="AJ30" s="134">
        <v>0</v>
      </c>
      <c r="AK30" s="134" t="s">
        <v>175</v>
      </c>
      <c r="AL30" s="122" t="s">
        <v>175</v>
      </c>
      <c r="AM30" s="122">
        <v>0.31999999999999995</v>
      </c>
      <c r="AN30" s="134" t="s">
        <v>176</v>
      </c>
      <c r="AO30" s="122" t="s">
        <v>177</v>
      </c>
      <c r="AP30" s="135">
        <f t="shared" si="1"/>
        <v>0.5340268158060979</v>
      </c>
      <c r="AQ30" s="135">
        <f t="shared" si="2"/>
        <v>0.5340268158060979</v>
      </c>
      <c r="AR30" s="117">
        <v>-1.256943272</v>
      </c>
      <c r="AS30" s="117">
        <v>0</v>
      </c>
      <c r="AT30" s="117">
        <v>0</v>
      </c>
      <c r="AU30" s="117">
        <v>-0.69700298599999999</v>
      </c>
      <c r="AV30" s="117">
        <v>-0.46198805700000001</v>
      </c>
      <c r="AW30" s="117">
        <v>3.1743281999999998E-2</v>
      </c>
      <c r="AX30" s="117">
        <v>0.48296715800000001</v>
      </c>
      <c r="AY30" s="117">
        <v>0.80299701400000001</v>
      </c>
      <c r="AZ30" s="117">
        <v>0</v>
      </c>
      <c r="BA30" s="117">
        <v>0</v>
      </c>
      <c r="BB30" s="117">
        <v>1.302997014</v>
      </c>
      <c r="BC30" s="136" t="str">
        <f t="shared" si="3"/>
        <v xml:space="preserve">1 </v>
      </c>
      <c r="BD30" s="136" t="s">
        <v>178</v>
      </c>
      <c r="BE30" s="136" t="s">
        <v>713</v>
      </c>
      <c r="BF30" s="115" t="s">
        <v>186</v>
      </c>
      <c r="BG30" s="120" t="s">
        <v>658</v>
      </c>
      <c r="BH30" s="136" t="str">
        <f t="shared" si="12"/>
        <v>&gt;MTL</v>
      </c>
      <c r="BI30" s="136">
        <f t="shared" si="13"/>
        <v>3.1743281999999998E-2</v>
      </c>
      <c r="BJ30" s="136" t="str">
        <f t="shared" si="21"/>
        <v>Nil</v>
      </c>
      <c r="BK30" s="136">
        <f t="shared" si="22"/>
        <v>0.05</v>
      </c>
      <c r="BL30" s="136" t="s">
        <v>736</v>
      </c>
      <c r="BM30" s="136" t="s">
        <v>175</v>
      </c>
      <c r="BN30" s="136" t="s">
        <v>175</v>
      </c>
      <c r="BO30" s="136" t="s">
        <v>736</v>
      </c>
      <c r="BP30" s="137" t="s">
        <v>175</v>
      </c>
      <c r="BQ30" s="137" t="s">
        <v>175</v>
      </c>
      <c r="BR30" s="137" t="s">
        <v>175</v>
      </c>
      <c r="BS30" s="137" t="s">
        <v>175</v>
      </c>
      <c r="BT30" s="138">
        <f t="shared" si="8"/>
        <v>0.28825671799999997</v>
      </c>
      <c r="BU30" s="138">
        <f t="shared" si="9"/>
        <v>0.53636241479059654</v>
      </c>
      <c r="BV30" s="138">
        <f t="shared" si="10"/>
        <v>0.53636241479059654</v>
      </c>
      <c r="BW30" s="53" t="s">
        <v>175</v>
      </c>
      <c r="BX30" s="53" t="s">
        <v>175</v>
      </c>
      <c r="BY30" s="53" t="s">
        <v>175</v>
      </c>
      <c r="BZ30" s="53" t="s">
        <v>175</v>
      </c>
      <c r="CA30" s="147">
        <v>2</v>
      </c>
      <c r="CB30" s="54">
        <v>0</v>
      </c>
      <c r="CG30" s="116"/>
      <c r="CI30" s="116"/>
    </row>
    <row r="31" spans="1:87">
      <c r="A31" s="123" t="s">
        <v>311</v>
      </c>
      <c r="B31" s="124" t="s">
        <v>285</v>
      </c>
      <c r="C31" s="148" t="s">
        <v>674</v>
      </c>
      <c r="D31" s="148" t="s">
        <v>167</v>
      </c>
      <c r="E31" s="150">
        <v>22.319334999999999</v>
      </c>
      <c r="F31" s="150">
        <v>114.169303</v>
      </c>
      <c r="G31" s="128" t="s">
        <v>168</v>
      </c>
      <c r="H31" s="129">
        <v>7411</v>
      </c>
      <c r="I31" s="129">
        <v>467.13545749959275</v>
      </c>
      <c r="J31" s="129">
        <v>7727</v>
      </c>
      <c r="K31" s="129">
        <v>1059</v>
      </c>
      <c r="L31" s="129">
        <v>1042</v>
      </c>
      <c r="M31" s="130" t="s">
        <v>312</v>
      </c>
      <c r="N31" s="130" t="s">
        <v>339</v>
      </c>
      <c r="O31" s="130" t="s">
        <v>175</v>
      </c>
      <c r="P31" s="130" t="s">
        <v>175</v>
      </c>
      <c r="Q31" s="130" t="s">
        <v>175</v>
      </c>
      <c r="R31" s="131" t="s">
        <v>175</v>
      </c>
      <c r="S31" s="131" t="s">
        <v>175</v>
      </c>
      <c r="T31" s="130">
        <v>1</v>
      </c>
      <c r="U31" s="132" t="s">
        <v>192</v>
      </c>
      <c r="V31" s="133">
        <v>0.01</v>
      </c>
      <c r="W31" s="132" t="s">
        <v>174</v>
      </c>
      <c r="X31" s="133">
        <v>0.01</v>
      </c>
      <c r="Y31" s="133">
        <v>5.0000000000000001E-3</v>
      </c>
      <c r="Z31" s="133">
        <v>0.01</v>
      </c>
      <c r="AA31" s="133">
        <v>0.15</v>
      </c>
      <c r="AB31" s="133">
        <v>0.2</v>
      </c>
      <c r="AC31" s="134">
        <v>0</v>
      </c>
      <c r="AD31" s="134">
        <v>0</v>
      </c>
      <c r="AE31" s="134">
        <v>0.5</v>
      </c>
      <c r="AF31" s="134">
        <v>0</v>
      </c>
      <c r="AG31" s="134">
        <v>0.1</v>
      </c>
      <c r="AH31" s="134">
        <v>0</v>
      </c>
      <c r="AI31" s="134">
        <v>0</v>
      </c>
      <c r="AJ31" s="134">
        <v>0</v>
      </c>
      <c r="AK31" s="134" t="s">
        <v>175</v>
      </c>
      <c r="AL31" s="122" t="s">
        <v>175</v>
      </c>
      <c r="AM31" s="122">
        <v>-11.88</v>
      </c>
      <c r="AN31" s="134" t="s">
        <v>176</v>
      </c>
      <c r="AO31" s="122" t="s">
        <v>177</v>
      </c>
      <c r="AP31" s="135">
        <f t="shared" si="1"/>
        <v>0.56800088028100804</v>
      </c>
      <c r="AQ31" s="135">
        <f t="shared" si="2"/>
        <v>0.56800088028100804</v>
      </c>
      <c r="AR31" s="117">
        <v>-1.394052793</v>
      </c>
      <c r="AS31" s="117">
        <v>0</v>
      </c>
      <c r="AT31" s="117">
        <v>0</v>
      </c>
      <c r="AU31" s="117">
        <v>-0.694052793</v>
      </c>
      <c r="AV31" s="117">
        <v>-0.50215838000000002</v>
      </c>
      <c r="AW31" s="117">
        <v>4.0407612000000002E-2</v>
      </c>
      <c r="AX31" s="117">
        <v>0.55189441299999997</v>
      </c>
      <c r="AY31" s="117">
        <v>0.805947207</v>
      </c>
      <c r="AZ31" s="117">
        <v>0</v>
      </c>
      <c r="BA31" s="117">
        <v>0</v>
      </c>
      <c r="BB31" s="117">
        <v>1.3221583800000001</v>
      </c>
      <c r="BC31" s="136" t="str">
        <f t="shared" si="3"/>
        <v>-1</v>
      </c>
      <c r="BD31" s="136" t="s">
        <v>178</v>
      </c>
      <c r="BE31" s="136" t="s">
        <v>702</v>
      </c>
      <c r="BF31" s="136" t="s">
        <v>301</v>
      </c>
      <c r="BG31" s="120" t="s">
        <v>678</v>
      </c>
      <c r="BH31" s="136" t="str">
        <f t="shared" si="12"/>
        <v>&lt;MTL</v>
      </c>
      <c r="BI31" s="136">
        <f t="shared" si="13"/>
        <v>4.0407612000000002E-2</v>
      </c>
      <c r="BJ31" s="136" t="str">
        <f t="shared" si="21"/>
        <v>Nil</v>
      </c>
      <c r="BK31" s="136">
        <f t="shared" si="22"/>
        <v>0.05</v>
      </c>
      <c r="BL31" s="136" t="s">
        <v>736</v>
      </c>
      <c r="BM31" s="136" t="s">
        <v>175</v>
      </c>
      <c r="BN31" s="136" t="s">
        <v>175</v>
      </c>
      <c r="BO31" s="136" t="s">
        <v>736</v>
      </c>
      <c r="BP31" s="137" t="s">
        <v>175</v>
      </c>
      <c r="BQ31" s="137" t="s">
        <v>175</v>
      </c>
      <c r="BR31" s="137" t="s">
        <v>175</v>
      </c>
      <c r="BS31" s="137" t="s">
        <v>175</v>
      </c>
      <c r="BT31" s="138">
        <f t="shared" si="8"/>
        <v>-11.920407612</v>
      </c>
      <c r="BU31" s="138">
        <f t="shared" si="9"/>
        <v>0.57019733426244645</v>
      </c>
      <c r="BV31" s="138">
        <f t="shared" si="10"/>
        <v>0.57019733426244645</v>
      </c>
      <c r="BW31" s="53" t="s">
        <v>175</v>
      </c>
      <c r="BX31" s="53" t="s">
        <v>175</v>
      </c>
      <c r="BY31" s="53" t="s">
        <v>175</v>
      </c>
      <c r="BZ31" s="53" t="s">
        <v>175</v>
      </c>
      <c r="CA31" s="147">
        <v>2</v>
      </c>
      <c r="CB31" s="54">
        <v>0</v>
      </c>
    </row>
    <row r="32" spans="1:87">
      <c r="A32" s="123" t="s">
        <v>302</v>
      </c>
      <c r="B32" s="124" t="s">
        <v>299</v>
      </c>
      <c r="C32" s="148" t="s">
        <v>674</v>
      </c>
      <c r="D32" s="148" t="s">
        <v>167</v>
      </c>
      <c r="E32" s="150">
        <v>22.325066</v>
      </c>
      <c r="F32" s="150">
        <v>114.168454</v>
      </c>
      <c r="G32" s="128" t="s">
        <v>168</v>
      </c>
      <c r="H32" s="129">
        <v>6970.6818647162499</v>
      </c>
      <c r="I32" s="129">
        <v>457.7286703423261</v>
      </c>
      <c r="J32" s="129">
        <v>7257</v>
      </c>
      <c r="K32" s="129">
        <v>959</v>
      </c>
      <c r="L32" s="129">
        <v>989</v>
      </c>
      <c r="M32" s="130" t="s">
        <v>300</v>
      </c>
      <c r="N32" s="130" t="s">
        <v>339</v>
      </c>
      <c r="O32" s="130" t="s">
        <v>175</v>
      </c>
      <c r="P32" s="130" t="s">
        <v>175</v>
      </c>
      <c r="Q32" s="130" t="s">
        <v>175</v>
      </c>
      <c r="R32" s="131" t="s">
        <v>175</v>
      </c>
      <c r="S32" s="131" t="s">
        <v>175</v>
      </c>
      <c r="T32" s="130">
        <v>1</v>
      </c>
      <c r="U32" s="132" t="s">
        <v>192</v>
      </c>
      <c r="V32" s="133">
        <v>0.01</v>
      </c>
      <c r="W32" s="132" t="s">
        <v>174</v>
      </c>
      <c r="X32" s="133">
        <v>0.01</v>
      </c>
      <c r="Y32" s="133">
        <v>5.0000000000000001E-3</v>
      </c>
      <c r="Z32" s="133">
        <v>0.01</v>
      </c>
      <c r="AA32" s="133">
        <v>0.15</v>
      </c>
      <c r="AB32" s="133">
        <v>0.2</v>
      </c>
      <c r="AC32" s="134">
        <v>0</v>
      </c>
      <c r="AD32" s="134">
        <v>0</v>
      </c>
      <c r="AE32" s="134">
        <v>0.5</v>
      </c>
      <c r="AF32" s="134">
        <v>0</v>
      </c>
      <c r="AG32" s="134">
        <v>0.1</v>
      </c>
      <c r="AH32" s="134">
        <v>0</v>
      </c>
      <c r="AI32" s="134">
        <v>0</v>
      </c>
      <c r="AJ32" s="134">
        <v>0</v>
      </c>
      <c r="AK32" s="134" t="s">
        <v>175</v>
      </c>
      <c r="AL32" s="122" t="s">
        <v>175</v>
      </c>
      <c r="AM32" s="122">
        <v>-11.88</v>
      </c>
      <c r="AN32" s="134" t="s">
        <v>176</v>
      </c>
      <c r="AO32" s="122" t="s">
        <v>177</v>
      </c>
      <c r="AP32" s="135">
        <f t="shared" si="1"/>
        <v>0.56800088028100804</v>
      </c>
      <c r="AQ32" s="135">
        <f t="shared" si="2"/>
        <v>0.56800088028100804</v>
      </c>
      <c r="AR32" s="117">
        <v>-1.4008427990000001</v>
      </c>
      <c r="AS32" s="117">
        <v>0</v>
      </c>
      <c r="AT32" s="117">
        <v>0</v>
      </c>
      <c r="AU32" s="117">
        <v>-0.70084279900000002</v>
      </c>
      <c r="AV32" s="117">
        <v>-0.514396297</v>
      </c>
      <c r="AW32" s="117">
        <v>3.1574639000000002E-2</v>
      </c>
      <c r="AX32" s="117">
        <v>0.54238045199999996</v>
      </c>
      <c r="AY32" s="117">
        <v>0.79915720099999998</v>
      </c>
      <c r="AZ32" s="117">
        <v>0</v>
      </c>
      <c r="BA32" s="117">
        <v>0</v>
      </c>
      <c r="BB32" s="117">
        <v>1.3262641980000001</v>
      </c>
      <c r="BC32" s="136" t="str">
        <f t="shared" si="3"/>
        <v xml:space="preserve">-1 </v>
      </c>
      <c r="BD32" s="136" t="s">
        <v>178</v>
      </c>
      <c r="BE32" s="136" t="s">
        <v>689</v>
      </c>
      <c r="BF32" s="136" t="s">
        <v>301</v>
      </c>
      <c r="BG32" s="120" t="s">
        <v>665</v>
      </c>
      <c r="BH32" s="136" t="str">
        <f t="shared" si="12"/>
        <v>&lt;HAT</v>
      </c>
      <c r="BI32" s="136">
        <f t="shared" si="13"/>
        <v>1.3262641980000001</v>
      </c>
      <c r="BJ32" s="136" t="str">
        <f t="shared" si="21"/>
        <v>Nil</v>
      </c>
      <c r="BK32" s="136">
        <f t="shared" si="22"/>
        <v>0.18</v>
      </c>
      <c r="BL32" s="136" t="s">
        <v>736</v>
      </c>
      <c r="BM32" s="136" t="s">
        <v>175</v>
      </c>
      <c r="BN32" s="136" t="s">
        <v>175</v>
      </c>
      <c r="BO32" s="136" t="s">
        <v>736</v>
      </c>
      <c r="BP32" s="137" t="s">
        <v>175</v>
      </c>
      <c r="BQ32" s="137" t="s">
        <v>175</v>
      </c>
      <c r="BR32" s="137" t="s">
        <v>175</v>
      </c>
      <c r="BS32" s="137" t="s">
        <v>175</v>
      </c>
      <c r="BT32" s="138">
        <f t="shared" si="8"/>
        <v>-13.206264198000001</v>
      </c>
      <c r="BU32" s="138">
        <f t="shared" si="9"/>
        <v>0.5958397435552617</v>
      </c>
      <c r="BV32" s="138">
        <f t="shared" si="10"/>
        <v>0.5958397435552617</v>
      </c>
      <c r="BW32" s="53" t="s">
        <v>175</v>
      </c>
      <c r="BX32" s="53" t="s">
        <v>175</v>
      </c>
      <c r="BY32" s="53" t="s">
        <v>175</v>
      </c>
      <c r="BZ32" s="53" t="s">
        <v>175</v>
      </c>
      <c r="CA32" s="147">
        <v>2</v>
      </c>
      <c r="CB32" s="54">
        <v>0</v>
      </c>
    </row>
    <row r="33" spans="1:87">
      <c r="A33" s="123" t="s">
        <v>239</v>
      </c>
      <c r="B33" s="124" t="s">
        <v>749</v>
      </c>
      <c r="C33" s="148" t="s">
        <v>674</v>
      </c>
      <c r="D33" s="125" t="s">
        <v>167</v>
      </c>
      <c r="E33" s="150">
        <v>22.162769531999999</v>
      </c>
      <c r="F33" s="150">
        <v>114.164790904</v>
      </c>
      <c r="G33" s="128" t="s">
        <v>168</v>
      </c>
      <c r="H33" s="151">
        <v>825</v>
      </c>
      <c r="I33" s="151">
        <v>65</v>
      </c>
      <c r="J33" s="151">
        <v>296</v>
      </c>
      <c r="K33" s="151">
        <v>201</v>
      </c>
      <c r="L33" s="151">
        <v>239</v>
      </c>
      <c r="M33" s="157" t="s">
        <v>240</v>
      </c>
      <c r="N33" s="130" t="s">
        <v>339</v>
      </c>
      <c r="O33" s="130" t="s">
        <v>175</v>
      </c>
      <c r="P33" s="153" t="s">
        <v>241</v>
      </c>
      <c r="Q33" s="153" t="s">
        <v>172</v>
      </c>
      <c r="R33" s="131">
        <v>0</v>
      </c>
      <c r="S33" s="112" t="s">
        <v>242</v>
      </c>
      <c r="T33" s="130">
        <v>1</v>
      </c>
      <c r="U33" s="132" t="s">
        <v>173</v>
      </c>
      <c r="V33" s="133">
        <v>0.01</v>
      </c>
      <c r="W33" s="132" t="s">
        <v>174</v>
      </c>
      <c r="X33" s="133">
        <v>0.01</v>
      </c>
      <c r="Y33" s="133">
        <v>5.0000000000000001E-3</v>
      </c>
      <c r="Z33" s="133">
        <v>0.01</v>
      </c>
      <c r="AA33" s="133">
        <v>0.15</v>
      </c>
      <c r="AB33" s="133">
        <f>0.02*R33</f>
        <v>0</v>
      </c>
      <c r="AC33" s="134">
        <v>0</v>
      </c>
      <c r="AD33" s="134">
        <v>0</v>
      </c>
      <c r="AE33" s="134">
        <v>0.5</v>
      </c>
      <c r="AF33" s="134">
        <v>0</v>
      </c>
      <c r="AG33" s="134">
        <v>0.1</v>
      </c>
      <c r="AH33" s="134">
        <v>0</v>
      </c>
      <c r="AI33" s="134">
        <v>0</v>
      </c>
      <c r="AJ33" s="134">
        <v>0</v>
      </c>
      <c r="AK33" s="134" t="s">
        <v>175</v>
      </c>
      <c r="AL33" s="122" t="s">
        <v>175</v>
      </c>
      <c r="AM33" s="122">
        <v>-23.68</v>
      </c>
      <c r="AN33" s="134" t="s">
        <v>176</v>
      </c>
      <c r="AO33" s="122" t="s">
        <v>177</v>
      </c>
      <c r="AP33" s="135">
        <f t="shared" si="1"/>
        <v>0.53162486774040207</v>
      </c>
      <c r="AQ33" s="135">
        <f t="shared" si="2"/>
        <v>0.53162486774040207</v>
      </c>
      <c r="AR33" s="117">
        <v>-1.2</v>
      </c>
      <c r="AS33" s="117">
        <v>0</v>
      </c>
      <c r="AT33" s="117">
        <v>0</v>
      </c>
      <c r="AU33" s="117">
        <v>-0.7</v>
      </c>
      <c r="AV33" s="117">
        <v>-0.42619275099999998</v>
      </c>
      <c r="AW33" s="117">
        <v>1.1927509999999999E-3</v>
      </c>
      <c r="AX33" s="117">
        <v>0.378578252</v>
      </c>
      <c r="AY33" s="117">
        <v>0.75238550100000001</v>
      </c>
      <c r="AZ33" s="117">
        <v>0</v>
      </c>
      <c r="BA33" s="117">
        <v>0</v>
      </c>
      <c r="BB33" s="117">
        <v>1.252385501</v>
      </c>
      <c r="BC33" s="136" t="str">
        <f t="shared" si="3"/>
        <v>-1</v>
      </c>
      <c r="BD33" s="136" t="s">
        <v>178</v>
      </c>
      <c r="BE33" s="152" t="s">
        <v>702</v>
      </c>
      <c r="BF33" s="152" t="s">
        <v>232</v>
      </c>
      <c r="BG33" s="120" t="s">
        <v>678</v>
      </c>
      <c r="BH33" s="136" t="str">
        <f t="shared" si="12"/>
        <v>&lt;MTL</v>
      </c>
      <c r="BI33" s="136">
        <f t="shared" si="13"/>
        <v>1.1927509999999999E-3</v>
      </c>
      <c r="BJ33" s="136" t="str">
        <f t="shared" si="21"/>
        <v>Nil</v>
      </c>
      <c r="BK33" s="136">
        <f t="shared" si="22"/>
        <v>0.05</v>
      </c>
      <c r="BL33" s="136" t="s">
        <v>736</v>
      </c>
      <c r="BM33" s="136" t="s">
        <v>175</v>
      </c>
      <c r="BN33" s="136" t="s">
        <v>175</v>
      </c>
      <c r="BO33" s="136" t="s">
        <v>736</v>
      </c>
      <c r="BP33" s="137" t="s">
        <v>175</v>
      </c>
      <c r="BQ33" s="137" t="s">
        <v>175</v>
      </c>
      <c r="BR33" s="137" t="s">
        <v>175</v>
      </c>
      <c r="BS33" s="137" t="s">
        <v>175</v>
      </c>
      <c r="BT33" s="138">
        <f t="shared" si="8"/>
        <v>-23.681192751000001</v>
      </c>
      <c r="BU33" s="138">
        <f t="shared" si="9"/>
        <v>0.5339709729938511</v>
      </c>
      <c r="BV33" s="138">
        <f t="shared" si="10"/>
        <v>0.5339709729938511</v>
      </c>
      <c r="BW33" s="53" t="s">
        <v>175</v>
      </c>
      <c r="BX33" s="53" t="s">
        <v>175</v>
      </c>
      <c r="BY33" s="53" t="s">
        <v>175</v>
      </c>
      <c r="BZ33" s="53" t="s">
        <v>175</v>
      </c>
      <c r="CA33" s="147">
        <v>1</v>
      </c>
      <c r="CB33" s="54">
        <v>0</v>
      </c>
    </row>
    <row r="34" spans="1:87">
      <c r="A34" s="123" t="s">
        <v>243</v>
      </c>
      <c r="B34" s="124" t="s">
        <v>749</v>
      </c>
      <c r="C34" s="148" t="s">
        <v>674</v>
      </c>
      <c r="D34" s="125" t="s">
        <v>167</v>
      </c>
      <c r="E34" s="150">
        <v>22.162769531999999</v>
      </c>
      <c r="F34" s="150">
        <v>114.164790904</v>
      </c>
      <c r="G34" s="128" t="s">
        <v>168</v>
      </c>
      <c r="H34" s="151">
        <v>3935</v>
      </c>
      <c r="I34" s="151">
        <v>65</v>
      </c>
      <c r="J34" s="151">
        <v>3760</v>
      </c>
      <c r="K34" s="151">
        <v>295</v>
      </c>
      <c r="L34" s="151">
        <v>284</v>
      </c>
      <c r="M34" s="157" t="s">
        <v>240</v>
      </c>
      <c r="N34" s="130" t="s">
        <v>339</v>
      </c>
      <c r="O34" s="130" t="s">
        <v>175</v>
      </c>
      <c r="P34" s="153" t="s">
        <v>241</v>
      </c>
      <c r="Q34" s="153" t="s">
        <v>172</v>
      </c>
      <c r="R34" s="131">
        <v>2.7</v>
      </c>
      <c r="S34" s="112" t="s">
        <v>244</v>
      </c>
      <c r="T34" s="130">
        <v>1</v>
      </c>
      <c r="U34" s="132" t="s">
        <v>173</v>
      </c>
      <c r="V34" s="133">
        <v>0.01</v>
      </c>
      <c r="W34" s="132" t="s">
        <v>174</v>
      </c>
      <c r="X34" s="133">
        <v>0.01</v>
      </c>
      <c r="Y34" s="133">
        <v>5.0000000000000001E-3</v>
      </c>
      <c r="Z34" s="133">
        <v>0.01</v>
      </c>
      <c r="AA34" s="133">
        <v>0.15</v>
      </c>
      <c r="AB34" s="133">
        <f>0.02*R34</f>
        <v>5.4000000000000006E-2</v>
      </c>
      <c r="AC34" s="134">
        <v>0</v>
      </c>
      <c r="AD34" s="134">
        <v>0</v>
      </c>
      <c r="AE34" s="134">
        <v>0.5</v>
      </c>
      <c r="AF34" s="134">
        <v>0</v>
      </c>
      <c r="AG34" s="134">
        <v>0.1</v>
      </c>
      <c r="AH34" s="134">
        <v>0</v>
      </c>
      <c r="AI34" s="134">
        <v>0</v>
      </c>
      <c r="AJ34" s="134">
        <v>0</v>
      </c>
      <c r="AK34" s="134" t="s">
        <v>175</v>
      </c>
      <c r="AL34" s="122" t="s">
        <v>175</v>
      </c>
      <c r="AM34" s="122">
        <v>-26.38</v>
      </c>
      <c r="AN34" s="134" t="s">
        <v>176</v>
      </c>
      <c r="AO34" s="122" t="s">
        <v>177</v>
      </c>
      <c r="AP34" s="135">
        <f t="shared" si="1"/>
        <v>0.53436036529667874</v>
      </c>
      <c r="AQ34" s="135">
        <f t="shared" si="2"/>
        <v>0.53436036529667874</v>
      </c>
      <c r="AR34" s="117">
        <v>-1.2</v>
      </c>
      <c r="AS34" s="117">
        <v>0</v>
      </c>
      <c r="AT34" s="117">
        <v>0</v>
      </c>
      <c r="AU34" s="117">
        <v>-0.7</v>
      </c>
      <c r="AV34" s="117">
        <v>-0.42619275099999998</v>
      </c>
      <c r="AW34" s="117">
        <v>1.1927509999999999E-3</v>
      </c>
      <c r="AX34" s="117">
        <v>0.378578252</v>
      </c>
      <c r="AY34" s="117">
        <v>0.75238550100000001</v>
      </c>
      <c r="AZ34" s="117">
        <v>0</v>
      </c>
      <c r="BA34" s="117">
        <v>0</v>
      </c>
      <c r="BB34" s="117">
        <v>1.252385501</v>
      </c>
      <c r="BC34" s="136" t="str">
        <f t="shared" si="3"/>
        <v>-1</v>
      </c>
      <c r="BD34" s="136" t="s">
        <v>178</v>
      </c>
      <c r="BE34" s="152" t="s">
        <v>702</v>
      </c>
      <c r="BF34" s="152" t="s">
        <v>232</v>
      </c>
      <c r="BG34" s="120" t="s">
        <v>678</v>
      </c>
      <c r="BH34" s="136" t="str">
        <f t="shared" si="12"/>
        <v>&lt;MTL</v>
      </c>
      <c r="BI34" s="136">
        <f t="shared" si="13"/>
        <v>1.1927509999999999E-3</v>
      </c>
      <c r="BJ34" s="136" t="str">
        <f t="shared" si="21"/>
        <v>Nil</v>
      </c>
      <c r="BK34" s="136">
        <f t="shared" si="22"/>
        <v>0.05</v>
      </c>
      <c r="BL34" s="136" t="s">
        <v>736</v>
      </c>
      <c r="BM34" s="136" t="s">
        <v>175</v>
      </c>
      <c r="BN34" s="136" t="s">
        <v>175</v>
      </c>
      <c r="BO34" s="136" t="s">
        <v>736</v>
      </c>
      <c r="BP34" s="137" t="s">
        <v>175</v>
      </c>
      <c r="BQ34" s="137" t="s">
        <v>175</v>
      </c>
      <c r="BR34" s="137" t="s">
        <v>175</v>
      </c>
      <c r="BS34" s="137" t="s">
        <v>175</v>
      </c>
      <c r="BT34" s="138">
        <f t="shared" si="8"/>
        <v>-26.381192751</v>
      </c>
      <c r="BU34" s="138">
        <f t="shared" si="9"/>
        <v>0.53669451273513125</v>
      </c>
      <c r="BV34" s="138">
        <f t="shared" si="10"/>
        <v>0.53669451273513125</v>
      </c>
      <c r="BW34" s="53" t="s">
        <v>175</v>
      </c>
      <c r="BX34" s="53" t="s">
        <v>175</v>
      </c>
      <c r="BY34" s="53" t="s">
        <v>175</v>
      </c>
      <c r="BZ34" s="53" t="s">
        <v>175</v>
      </c>
      <c r="CA34" s="147">
        <v>1</v>
      </c>
      <c r="CB34" s="54">
        <v>0</v>
      </c>
      <c r="CG34" s="14"/>
    </row>
    <row r="35" spans="1:87">
      <c r="A35" s="123" t="s">
        <v>245</v>
      </c>
      <c r="B35" s="124" t="s">
        <v>749</v>
      </c>
      <c r="C35" s="148" t="s">
        <v>674</v>
      </c>
      <c r="D35" s="125" t="s">
        <v>167</v>
      </c>
      <c r="E35" s="150">
        <v>22.162769531999999</v>
      </c>
      <c r="F35" s="150">
        <v>114.164790904</v>
      </c>
      <c r="G35" s="128" t="s">
        <v>168</v>
      </c>
      <c r="H35" s="151">
        <v>5425</v>
      </c>
      <c r="I35" s="151">
        <v>85</v>
      </c>
      <c r="J35" s="151">
        <v>5621</v>
      </c>
      <c r="K35" s="151">
        <v>270</v>
      </c>
      <c r="L35" s="151">
        <v>280</v>
      </c>
      <c r="M35" s="157" t="s">
        <v>240</v>
      </c>
      <c r="N35" s="130" t="s">
        <v>339</v>
      </c>
      <c r="O35" s="130" t="s">
        <v>175</v>
      </c>
      <c r="P35" s="153" t="s">
        <v>241</v>
      </c>
      <c r="Q35" s="153" t="s">
        <v>172</v>
      </c>
      <c r="R35" s="131">
        <v>4.2</v>
      </c>
      <c r="S35" s="112" t="s">
        <v>246</v>
      </c>
      <c r="T35" s="130">
        <v>1</v>
      </c>
      <c r="U35" s="132" t="s">
        <v>173</v>
      </c>
      <c r="V35" s="133">
        <v>0.01</v>
      </c>
      <c r="W35" s="132" t="s">
        <v>174</v>
      </c>
      <c r="X35" s="133">
        <v>0.01</v>
      </c>
      <c r="Y35" s="133">
        <v>5.0000000000000001E-3</v>
      </c>
      <c r="Z35" s="133">
        <v>0.01</v>
      </c>
      <c r="AA35" s="133">
        <v>0.15</v>
      </c>
      <c r="AB35" s="133">
        <f>0.02*R35</f>
        <v>8.4000000000000005E-2</v>
      </c>
      <c r="AC35" s="134">
        <v>0</v>
      </c>
      <c r="AD35" s="134">
        <v>0</v>
      </c>
      <c r="AE35" s="134">
        <v>0.5</v>
      </c>
      <c r="AF35" s="134">
        <v>0</v>
      </c>
      <c r="AG35" s="134">
        <v>0.1</v>
      </c>
      <c r="AH35" s="134">
        <v>0</v>
      </c>
      <c r="AI35" s="134">
        <v>0</v>
      </c>
      <c r="AJ35" s="134">
        <v>0</v>
      </c>
      <c r="AK35" s="134" t="s">
        <v>175</v>
      </c>
      <c r="AL35" s="122" t="s">
        <v>175</v>
      </c>
      <c r="AM35" s="122">
        <v>-27.88</v>
      </c>
      <c r="AN35" s="134" t="s">
        <v>176</v>
      </c>
      <c r="AO35" s="122" t="s">
        <v>177</v>
      </c>
      <c r="AP35" s="135">
        <f t="shared" si="1"/>
        <v>0.53822021515361163</v>
      </c>
      <c r="AQ35" s="135">
        <f t="shared" si="2"/>
        <v>0.53822021515361163</v>
      </c>
      <c r="AR35" s="117">
        <v>-1.2</v>
      </c>
      <c r="AS35" s="117">
        <v>0</v>
      </c>
      <c r="AT35" s="117">
        <v>0</v>
      </c>
      <c r="AU35" s="117">
        <v>-0.7</v>
      </c>
      <c r="AV35" s="117">
        <v>-0.42619275099999998</v>
      </c>
      <c r="AW35" s="117">
        <v>1.1927509999999999E-3</v>
      </c>
      <c r="AX35" s="117">
        <v>0.378578252</v>
      </c>
      <c r="AY35" s="117">
        <v>0.75238550100000001</v>
      </c>
      <c r="AZ35" s="117">
        <v>0</v>
      </c>
      <c r="BA35" s="117">
        <v>0</v>
      </c>
      <c r="BB35" s="117">
        <v>1.252385501</v>
      </c>
      <c r="BC35" s="136" t="str">
        <f t="shared" si="3"/>
        <v>-1</v>
      </c>
      <c r="BD35" s="136" t="s">
        <v>178</v>
      </c>
      <c r="BE35" s="152" t="s">
        <v>702</v>
      </c>
      <c r="BF35" s="152" t="s">
        <v>232</v>
      </c>
      <c r="BG35" s="120" t="s">
        <v>678</v>
      </c>
      <c r="BH35" s="136" t="str">
        <f t="shared" si="12"/>
        <v>&lt;MTL</v>
      </c>
      <c r="BI35" s="136">
        <f t="shared" si="13"/>
        <v>1.1927509999999999E-3</v>
      </c>
      <c r="BJ35" s="136" t="str">
        <f t="shared" si="21"/>
        <v>Nil</v>
      </c>
      <c r="BK35" s="136">
        <f t="shared" si="22"/>
        <v>0.05</v>
      </c>
      <c r="BL35" s="136" t="s">
        <v>736</v>
      </c>
      <c r="BM35" s="136" t="s">
        <v>175</v>
      </c>
      <c r="BN35" s="136" t="s">
        <v>175</v>
      </c>
      <c r="BO35" s="136" t="s">
        <v>736</v>
      </c>
      <c r="BP35" s="137" t="s">
        <v>175</v>
      </c>
      <c r="BQ35" s="137" t="s">
        <v>175</v>
      </c>
      <c r="BR35" s="137" t="s">
        <v>175</v>
      </c>
      <c r="BS35" s="137" t="s">
        <v>175</v>
      </c>
      <c r="BT35" s="138">
        <f t="shared" si="8"/>
        <v>-27.881192751</v>
      </c>
      <c r="BU35" s="138">
        <f t="shared" si="9"/>
        <v>0.54053769526278184</v>
      </c>
      <c r="BV35" s="138">
        <f t="shared" si="10"/>
        <v>0.54053769526278184</v>
      </c>
      <c r="BW35" s="53" t="s">
        <v>175</v>
      </c>
      <c r="BX35" s="53" t="s">
        <v>175</v>
      </c>
      <c r="BY35" s="53" t="s">
        <v>175</v>
      </c>
      <c r="BZ35" s="53" t="s">
        <v>175</v>
      </c>
      <c r="CA35" s="147">
        <v>1</v>
      </c>
      <c r="CB35" s="54">
        <v>0</v>
      </c>
    </row>
    <row r="36" spans="1:87">
      <c r="A36" s="123" t="s">
        <v>247</v>
      </c>
      <c r="B36" s="124" t="s">
        <v>749</v>
      </c>
      <c r="C36" s="148" t="s">
        <v>674</v>
      </c>
      <c r="D36" s="148" t="s">
        <v>167</v>
      </c>
      <c r="E36" s="150">
        <v>22.162769531999999</v>
      </c>
      <c r="F36" s="150">
        <v>114.164790904</v>
      </c>
      <c r="G36" s="128" t="s">
        <v>168</v>
      </c>
      <c r="H36" s="151">
        <v>8920</v>
      </c>
      <c r="I36" s="151">
        <v>90</v>
      </c>
      <c r="J36" s="151">
        <v>9438</v>
      </c>
      <c r="K36" s="151">
        <v>331</v>
      </c>
      <c r="L36" s="151">
        <v>327</v>
      </c>
      <c r="M36" s="130" t="s">
        <v>248</v>
      </c>
      <c r="N36" s="130" t="s">
        <v>339</v>
      </c>
      <c r="O36" s="130" t="s">
        <v>240</v>
      </c>
      <c r="P36" s="157" t="s">
        <v>249</v>
      </c>
      <c r="Q36" s="153" t="s">
        <v>172</v>
      </c>
      <c r="R36" s="131">
        <v>7.2</v>
      </c>
      <c r="S36" s="112" t="s">
        <v>250</v>
      </c>
      <c r="T36" s="130">
        <v>1</v>
      </c>
      <c r="U36" s="132" t="s">
        <v>173</v>
      </c>
      <c r="V36" s="133">
        <v>0.01</v>
      </c>
      <c r="W36" s="132" t="s">
        <v>174</v>
      </c>
      <c r="X36" s="133">
        <v>0.01</v>
      </c>
      <c r="Y36" s="133">
        <v>5.0000000000000001E-3</v>
      </c>
      <c r="Z36" s="133">
        <v>0.01</v>
      </c>
      <c r="AA36" s="133">
        <v>0.15</v>
      </c>
      <c r="AB36" s="133">
        <f>0.02*R36</f>
        <v>0.14400000000000002</v>
      </c>
      <c r="AC36" s="134">
        <v>0</v>
      </c>
      <c r="AD36" s="134">
        <v>0</v>
      </c>
      <c r="AE36" s="134">
        <v>0.5</v>
      </c>
      <c r="AF36" s="134">
        <v>0</v>
      </c>
      <c r="AG36" s="134">
        <v>0.1</v>
      </c>
      <c r="AH36" s="134">
        <v>0</v>
      </c>
      <c r="AI36" s="134">
        <v>0</v>
      </c>
      <c r="AJ36" s="134">
        <v>0</v>
      </c>
      <c r="AK36" s="134" t="s">
        <v>175</v>
      </c>
      <c r="AL36" s="122" t="s">
        <v>175</v>
      </c>
      <c r="AM36" s="122">
        <v>-30.88</v>
      </c>
      <c r="AN36" s="134" t="s">
        <v>176</v>
      </c>
      <c r="AO36" s="122" t="s">
        <v>177</v>
      </c>
      <c r="AP36" s="135">
        <f t="shared" si="1"/>
        <v>0.55078217109852057</v>
      </c>
      <c r="AQ36" s="135">
        <f t="shared" si="2"/>
        <v>0.55078217109852057</v>
      </c>
      <c r="AR36" s="117">
        <v>-1.2</v>
      </c>
      <c r="AS36" s="117">
        <v>0</v>
      </c>
      <c r="AT36" s="117">
        <v>0</v>
      </c>
      <c r="AU36" s="117">
        <v>-0.7</v>
      </c>
      <c r="AV36" s="117">
        <v>-0.42619275099999998</v>
      </c>
      <c r="AW36" s="117">
        <v>1.1927509999999999E-3</v>
      </c>
      <c r="AX36" s="117">
        <v>0.378578252</v>
      </c>
      <c r="AY36" s="117">
        <v>0.75238550100000001</v>
      </c>
      <c r="AZ36" s="117">
        <v>0</v>
      </c>
      <c r="BA36" s="117">
        <v>0</v>
      </c>
      <c r="BB36" s="117">
        <v>1.252385501</v>
      </c>
      <c r="BC36" s="136" t="str">
        <f t="shared" si="3"/>
        <v>-1</v>
      </c>
      <c r="BD36" s="136" t="s">
        <v>178</v>
      </c>
      <c r="BE36" s="152" t="s">
        <v>702</v>
      </c>
      <c r="BF36" s="152" t="s">
        <v>232</v>
      </c>
      <c r="BG36" s="120" t="s">
        <v>678</v>
      </c>
      <c r="BH36" s="136" t="str">
        <f t="shared" si="12"/>
        <v>&lt;MTL</v>
      </c>
      <c r="BI36" s="136">
        <f t="shared" si="13"/>
        <v>1.1927509999999999E-3</v>
      </c>
      <c r="BJ36" s="136" t="str">
        <f t="shared" si="21"/>
        <v>Nil</v>
      </c>
      <c r="BK36" s="136">
        <f t="shared" si="22"/>
        <v>0.05</v>
      </c>
      <c r="BL36" s="136" t="s">
        <v>736</v>
      </c>
      <c r="BM36" s="136" t="s">
        <v>175</v>
      </c>
      <c r="BN36" s="136" t="s">
        <v>175</v>
      </c>
      <c r="BO36" s="136" t="s">
        <v>736</v>
      </c>
      <c r="BP36" s="137" t="s">
        <v>175</v>
      </c>
      <c r="BQ36" s="137" t="s">
        <v>175</v>
      </c>
      <c r="BR36" s="137" t="s">
        <v>175</v>
      </c>
      <c r="BS36" s="137" t="s">
        <v>175</v>
      </c>
      <c r="BT36" s="138">
        <f t="shared" si="8"/>
        <v>-30.881192751</v>
      </c>
      <c r="BU36" s="138">
        <f t="shared" si="9"/>
        <v>0.55304701427636327</v>
      </c>
      <c r="BV36" s="138">
        <f t="shared" si="10"/>
        <v>0.55304701427636327</v>
      </c>
      <c r="BW36" s="53" t="s">
        <v>175</v>
      </c>
      <c r="BX36" s="53" t="s">
        <v>175</v>
      </c>
      <c r="BY36" s="53" t="s">
        <v>175</v>
      </c>
      <c r="BZ36" s="53" t="s">
        <v>175</v>
      </c>
      <c r="CA36" s="147">
        <v>1</v>
      </c>
      <c r="CB36" s="54">
        <v>0</v>
      </c>
    </row>
    <row r="37" spans="1:87">
      <c r="A37" s="123" t="s">
        <v>251</v>
      </c>
      <c r="B37" s="124" t="s">
        <v>749</v>
      </c>
      <c r="C37" s="148" t="s">
        <v>674</v>
      </c>
      <c r="D37" s="148" t="s">
        <v>167</v>
      </c>
      <c r="E37" s="150">
        <v>22.162769531999999</v>
      </c>
      <c r="F37" s="150">
        <v>114.164790904</v>
      </c>
      <c r="G37" s="128" t="s">
        <v>168</v>
      </c>
      <c r="H37" s="151">
        <v>9310</v>
      </c>
      <c r="I37" s="151">
        <v>80</v>
      </c>
      <c r="J37" s="151">
        <v>9941</v>
      </c>
      <c r="K37" s="151">
        <v>286</v>
      </c>
      <c r="L37" s="151">
        <v>351</v>
      </c>
      <c r="M37" s="157" t="s">
        <v>249</v>
      </c>
      <c r="N37" s="130" t="s">
        <v>339</v>
      </c>
      <c r="O37" s="130" t="s">
        <v>248</v>
      </c>
      <c r="P37" s="130" t="s">
        <v>990</v>
      </c>
      <c r="Q37" s="130" t="s">
        <v>172</v>
      </c>
      <c r="R37" s="131">
        <v>11.2</v>
      </c>
      <c r="S37" s="112" t="s">
        <v>252</v>
      </c>
      <c r="T37" s="130">
        <v>1</v>
      </c>
      <c r="U37" s="132" t="s">
        <v>173</v>
      </c>
      <c r="V37" s="133">
        <v>0.01</v>
      </c>
      <c r="W37" s="132" t="s">
        <v>174</v>
      </c>
      <c r="X37" s="133">
        <v>0.01</v>
      </c>
      <c r="Y37" s="133">
        <v>5.0000000000000001E-3</v>
      </c>
      <c r="Z37" s="133">
        <v>0.01</v>
      </c>
      <c r="AA37" s="133">
        <v>0.15</v>
      </c>
      <c r="AB37" s="133">
        <f>0.02*R37</f>
        <v>0.22399999999999998</v>
      </c>
      <c r="AC37" s="134">
        <v>0</v>
      </c>
      <c r="AD37" s="134">
        <v>0</v>
      </c>
      <c r="AE37" s="134">
        <v>0.5</v>
      </c>
      <c r="AF37" s="134">
        <v>0</v>
      </c>
      <c r="AG37" s="134">
        <v>0.1</v>
      </c>
      <c r="AH37" s="134">
        <v>0</v>
      </c>
      <c r="AI37" s="134">
        <v>0</v>
      </c>
      <c r="AJ37" s="134">
        <v>0</v>
      </c>
      <c r="AK37" s="134" t="s">
        <v>175</v>
      </c>
      <c r="AL37" s="122" t="s">
        <v>175</v>
      </c>
      <c r="AM37" s="122">
        <v>-34.880000000000003</v>
      </c>
      <c r="AN37" s="134" t="s">
        <v>176</v>
      </c>
      <c r="AO37" s="122" t="s">
        <v>177</v>
      </c>
      <c r="AP37" s="135">
        <f t="shared" ref="AP37:AP65" si="23">SQRT(SUMSQ(IF(OR(Y37="nd",Y37="nd"),0,Y37),IF(OR(Z37="nd",Z37="nd"),0,Z37),IF(OR(AA37="nd",AA37="nd"),0,AA37),IF(OR(AB37="nd",AB37="nd"),0,AB37),IF(OR(AC37="nd",AC37="nd"),0,AC37),IF(OR(AD37="nd",AD37="nd"),0,AD37),IF(OR(AE37="nd",AE37="nd"),0,AE37),IF(OR(AF37="nd",AF37="nd"),0,AF37),IF(OR(AG37="nd",AG37="nd"),0,AG37),IF(OR(AH37="nd",AH37="nd"),0,AH37),IF(OR(AI37="nd",AI37="nd"),0,AI37),IF(OR(AJ37="nd",AJ37="nd"),0,AJ37)))</f>
        <v>0.57688907079264384</v>
      </c>
      <c r="AQ37" s="135">
        <f t="shared" si="2"/>
        <v>0.57688907079264384</v>
      </c>
      <c r="AR37" s="117">
        <v>-1.2</v>
      </c>
      <c r="AS37" s="117">
        <v>0</v>
      </c>
      <c r="AT37" s="117">
        <v>0</v>
      </c>
      <c r="AU37" s="117">
        <v>-0.7</v>
      </c>
      <c r="AV37" s="117">
        <v>-0.42619275099999998</v>
      </c>
      <c r="AW37" s="117">
        <v>1.1927509999999999E-3</v>
      </c>
      <c r="AX37" s="117">
        <v>0.378578252</v>
      </c>
      <c r="AY37" s="117">
        <v>0.75238550100000001</v>
      </c>
      <c r="AZ37" s="117">
        <v>0</v>
      </c>
      <c r="BA37" s="117">
        <v>0</v>
      </c>
      <c r="BB37" s="117">
        <v>1.252385501</v>
      </c>
      <c r="BC37" s="136" t="str">
        <f t="shared" si="3"/>
        <v>0</v>
      </c>
      <c r="BD37" s="136" t="s">
        <v>178</v>
      </c>
      <c r="BE37" s="136" t="s">
        <v>700</v>
      </c>
      <c r="BF37" s="152" t="s">
        <v>706</v>
      </c>
      <c r="BG37" s="120" t="s">
        <v>657</v>
      </c>
      <c r="BH37" s="136" t="str">
        <f t="shared" si="12"/>
        <v>HAT-LAT</v>
      </c>
      <c r="BI37" s="136">
        <f t="shared" si="13"/>
        <v>2.6192750500000028E-2</v>
      </c>
      <c r="BJ37" s="136">
        <f t="shared" si="21"/>
        <v>1.2261927505000001</v>
      </c>
      <c r="BK37" s="136">
        <f t="shared" si="22"/>
        <v>0.27</v>
      </c>
      <c r="BL37" s="136">
        <v>0.14493021706820564</v>
      </c>
      <c r="BM37" s="136" t="s">
        <v>175</v>
      </c>
      <c r="BN37" s="136" t="s">
        <v>175</v>
      </c>
      <c r="BO37" s="136">
        <v>7.3666778210405237E-2</v>
      </c>
      <c r="BP37" s="137" t="s">
        <v>175</v>
      </c>
      <c r="BQ37" s="137" t="s">
        <v>175</v>
      </c>
      <c r="BR37" s="137" t="s">
        <v>175</v>
      </c>
      <c r="BS37" s="137" t="s">
        <v>175</v>
      </c>
      <c r="BT37" s="138">
        <f t="shared" si="8"/>
        <v>-34.906192750500004</v>
      </c>
      <c r="BU37" s="138">
        <f t="shared" si="9"/>
        <v>1.3912876134754071</v>
      </c>
      <c r="BV37" s="138">
        <f t="shared" si="10"/>
        <v>1.3912876134754071</v>
      </c>
      <c r="BW37" s="53" t="s">
        <v>175</v>
      </c>
      <c r="BX37" s="53" t="s">
        <v>175</v>
      </c>
      <c r="BY37" s="53" t="s">
        <v>175</v>
      </c>
      <c r="BZ37" s="53" t="s">
        <v>175</v>
      </c>
      <c r="CA37" s="147">
        <v>1</v>
      </c>
      <c r="CB37" s="54">
        <v>0</v>
      </c>
    </row>
    <row r="38" spans="1:87">
      <c r="A38" s="123" t="s">
        <v>298</v>
      </c>
      <c r="B38" s="124" t="s">
        <v>299</v>
      </c>
      <c r="C38" s="148" t="s">
        <v>674</v>
      </c>
      <c r="D38" s="148" t="s">
        <v>167</v>
      </c>
      <c r="E38" s="150">
        <v>22.279578000000001</v>
      </c>
      <c r="F38" s="150">
        <v>114.164564</v>
      </c>
      <c r="G38" s="128" t="s">
        <v>168</v>
      </c>
      <c r="H38" s="129">
        <v>6453.9526305170139</v>
      </c>
      <c r="I38" s="129">
        <v>135.19811637604715</v>
      </c>
      <c r="J38" s="129">
        <v>7355</v>
      </c>
      <c r="K38" s="129">
        <v>227</v>
      </c>
      <c r="L38" s="129">
        <v>336</v>
      </c>
      <c r="M38" s="130" t="s">
        <v>300</v>
      </c>
      <c r="N38" s="130" t="s">
        <v>268</v>
      </c>
      <c r="O38" s="130" t="s">
        <v>175</v>
      </c>
      <c r="P38" s="130" t="s">
        <v>175</v>
      </c>
      <c r="Q38" s="130" t="s">
        <v>175</v>
      </c>
      <c r="R38" s="131" t="s">
        <v>175</v>
      </c>
      <c r="S38" s="131" t="s">
        <v>175</v>
      </c>
      <c r="T38" s="130">
        <v>1</v>
      </c>
      <c r="U38" s="132" t="s">
        <v>192</v>
      </c>
      <c r="V38" s="133">
        <v>0.1</v>
      </c>
      <c r="W38" s="132" t="s">
        <v>174</v>
      </c>
      <c r="X38" s="133">
        <v>0.1</v>
      </c>
      <c r="Y38" s="133">
        <v>0.05</v>
      </c>
      <c r="Z38" s="133">
        <v>0.01</v>
      </c>
      <c r="AA38" s="133">
        <v>0.15</v>
      </c>
      <c r="AB38" s="133">
        <v>0.2</v>
      </c>
      <c r="AC38" s="134">
        <v>0</v>
      </c>
      <c r="AD38" s="134">
        <v>0</v>
      </c>
      <c r="AE38" s="134">
        <v>0.5</v>
      </c>
      <c r="AF38" s="134">
        <v>0</v>
      </c>
      <c r="AG38" s="134">
        <v>0.1</v>
      </c>
      <c r="AH38" s="134">
        <v>0</v>
      </c>
      <c r="AI38" s="134">
        <v>0</v>
      </c>
      <c r="AJ38" s="134">
        <v>0</v>
      </c>
      <c r="AK38" s="134" t="s">
        <v>175</v>
      </c>
      <c r="AL38" s="122" t="s">
        <v>175</v>
      </c>
      <c r="AM38" s="122">
        <v>-8.18</v>
      </c>
      <c r="AN38" s="134" t="s">
        <v>176</v>
      </c>
      <c r="AO38" s="122" t="s">
        <v>177</v>
      </c>
      <c r="AP38" s="135">
        <f t="shared" si="23"/>
        <v>0.57017541160593732</v>
      </c>
      <c r="AQ38" s="135">
        <f t="shared" si="2"/>
        <v>0.57017541160593732</v>
      </c>
      <c r="AR38" s="117">
        <v>-1.3358763360000001</v>
      </c>
      <c r="AS38" s="117">
        <v>0</v>
      </c>
      <c r="AT38" s="117">
        <v>0</v>
      </c>
      <c r="AU38" s="117">
        <v>-0.69284861399999997</v>
      </c>
      <c r="AV38" s="117">
        <v>-0.47860554399999999</v>
      </c>
      <c r="AW38" s="117">
        <v>4.1090619000000002E-2</v>
      </c>
      <c r="AX38" s="117">
        <v>0.52866524699999995</v>
      </c>
      <c r="AY38" s="117">
        <v>0.80715138600000003</v>
      </c>
      <c r="AZ38" s="117">
        <v>0</v>
      </c>
      <c r="BA38" s="117">
        <v>0</v>
      </c>
      <c r="BB38" s="117">
        <v>1.3071513859999999</v>
      </c>
      <c r="BC38" s="136" t="str">
        <f t="shared" si="3"/>
        <v xml:space="preserve">-1 </v>
      </c>
      <c r="BD38" s="136" t="s">
        <v>178</v>
      </c>
      <c r="BE38" s="136" t="s">
        <v>700</v>
      </c>
      <c r="BF38" s="136" t="s">
        <v>707</v>
      </c>
      <c r="BG38" s="120" t="s">
        <v>665</v>
      </c>
      <c r="BH38" s="136" t="str">
        <f t="shared" si="12"/>
        <v>&lt;HAT</v>
      </c>
      <c r="BI38" s="136">
        <f t="shared" si="13"/>
        <v>1.3071513859999999</v>
      </c>
      <c r="BJ38" s="136" t="str">
        <f t="shared" si="21"/>
        <v>Nil</v>
      </c>
      <c r="BK38" s="136">
        <f t="shared" si="22"/>
        <v>0.18</v>
      </c>
      <c r="BL38" s="136" t="s">
        <v>736</v>
      </c>
      <c r="BM38" s="136" t="s">
        <v>175</v>
      </c>
      <c r="BN38" s="136" t="s">
        <v>175</v>
      </c>
      <c r="BO38" s="136" t="s">
        <v>736</v>
      </c>
      <c r="BP38" s="137" t="s">
        <v>175</v>
      </c>
      <c r="BQ38" s="137" t="s">
        <v>175</v>
      </c>
      <c r="BR38" s="137" t="s">
        <v>175</v>
      </c>
      <c r="BS38" s="137" t="s">
        <v>175</v>
      </c>
      <c r="BT38" s="138">
        <f t="shared" si="8"/>
        <v>-9.487151385999999</v>
      </c>
      <c r="BU38" s="138">
        <f t="shared" si="9"/>
        <v>0.59791303715506994</v>
      </c>
      <c r="BV38" s="138">
        <f t="shared" si="10"/>
        <v>0.59791303715506994</v>
      </c>
      <c r="BW38" s="53" t="s">
        <v>175</v>
      </c>
      <c r="BX38" s="53" t="s">
        <v>175</v>
      </c>
      <c r="BY38" s="53" t="s">
        <v>175</v>
      </c>
      <c r="BZ38" s="53" t="s">
        <v>175</v>
      </c>
      <c r="CA38" s="147">
        <v>2</v>
      </c>
      <c r="CB38" s="54">
        <v>0</v>
      </c>
    </row>
    <row r="39" spans="1:87">
      <c r="A39" s="123" t="s">
        <v>204</v>
      </c>
      <c r="B39" s="124" t="s">
        <v>205</v>
      </c>
      <c r="C39" s="148" t="s">
        <v>674</v>
      </c>
      <c r="D39" s="158" t="s">
        <v>167</v>
      </c>
      <c r="E39" s="150">
        <v>22.286016</v>
      </c>
      <c r="F39" s="150">
        <v>114.151139</v>
      </c>
      <c r="G39" s="128" t="s">
        <v>168</v>
      </c>
      <c r="H39" s="151">
        <v>8465.5305380546779</v>
      </c>
      <c r="I39" s="151">
        <v>288.21033025871924</v>
      </c>
      <c r="J39" s="151">
        <v>9452</v>
      </c>
      <c r="K39" s="151">
        <v>747</v>
      </c>
      <c r="L39" s="151">
        <v>800</v>
      </c>
      <c r="M39" s="130" t="s">
        <v>206</v>
      </c>
      <c r="N39" s="146" t="s">
        <v>569</v>
      </c>
      <c r="O39" s="130" t="s">
        <v>207</v>
      </c>
      <c r="P39" s="130" t="s">
        <v>208</v>
      </c>
      <c r="Q39" s="130" t="s">
        <v>172</v>
      </c>
      <c r="R39" s="131">
        <v>18.5</v>
      </c>
      <c r="S39" s="112">
        <v>0</v>
      </c>
      <c r="T39" s="130">
        <v>0</v>
      </c>
      <c r="U39" s="132" t="s">
        <v>192</v>
      </c>
      <c r="V39" s="133">
        <v>0.1</v>
      </c>
      <c r="W39" s="132" t="s">
        <v>174</v>
      </c>
      <c r="X39" s="133">
        <v>0.1</v>
      </c>
      <c r="Y39" s="133">
        <v>0.05</v>
      </c>
      <c r="Z39" s="133">
        <v>0.01</v>
      </c>
      <c r="AA39" s="133">
        <v>0.15</v>
      </c>
      <c r="AB39" s="133">
        <f>0.02*R39</f>
        <v>0.37</v>
      </c>
      <c r="AC39" s="134">
        <v>0</v>
      </c>
      <c r="AD39" s="134">
        <v>0</v>
      </c>
      <c r="AE39" s="134">
        <v>0.5</v>
      </c>
      <c r="AF39" s="134">
        <v>0</v>
      </c>
      <c r="AG39" s="134">
        <v>0.1</v>
      </c>
      <c r="AH39" s="134">
        <v>0</v>
      </c>
      <c r="AI39" s="134">
        <v>0</v>
      </c>
      <c r="AJ39" s="134">
        <v>0</v>
      </c>
      <c r="AK39" s="134" t="s">
        <v>175</v>
      </c>
      <c r="AL39" s="122" t="s">
        <v>175</v>
      </c>
      <c r="AM39" s="122">
        <v>-17.38</v>
      </c>
      <c r="AN39" s="134" t="s">
        <v>176</v>
      </c>
      <c r="AO39" s="122" t="s">
        <v>177</v>
      </c>
      <c r="AP39" s="135">
        <f t="shared" si="23"/>
        <v>0.64961527075646863</v>
      </c>
      <c r="AQ39" s="135">
        <f t="shared" si="2"/>
        <v>0.64961527075646863</v>
      </c>
      <c r="AR39" s="117">
        <v>-1.3450804679999999</v>
      </c>
      <c r="AS39" s="117">
        <v>0</v>
      </c>
      <c r="AT39" s="117">
        <v>0</v>
      </c>
      <c r="AU39" s="117">
        <v>-0.69236418600000005</v>
      </c>
      <c r="AV39" s="117">
        <v>-0.48054325599999997</v>
      </c>
      <c r="AW39" s="117">
        <v>4.2180582000000001E-2</v>
      </c>
      <c r="AX39" s="117">
        <v>0.53399395500000002</v>
      </c>
      <c r="AY39" s="117">
        <v>0.80763581399999995</v>
      </c>
      <c r="AZ39" s="117">
        <v>0</v>
      </c>
      <c r="BA39" s="117">
        <v>0</v>
      </c>
      <c r="BB39" s="117">
        <v>1.307635814</v>
      </c>
      <c r="BC39" s="136" t="str">
        <f t="shared" si="3"/>
        <v xml:space="preserve">1 </v>
      </c>
      <c r="BD39" s="136" t="s">
        <v>178</v>
      </c>
      <c r="BE39" s="136" t="s">
        <v>704</v>
      </c>
      <c r="BF39" s="152" t="s">
        <v>706</v>
      </c>
      <c r="BG39" s="120" t="s">
        <v>658</v>
      </c>
      <c r="BH39" s="136" t="str">
        <f t="shared" si="12"/>
        <v>&gt;MTL</v>
      </c>
      <c r="BI39" s="136">
        <f t="shared" si="13"/>
        <v>4.2180582000000001E-2</v>
      </c>
      <c r="BJ39" s="136" t="str">
        <f t="shared" si="21"/>
        <v>Nil</v>
      </c>
      <c r="BK39" s="136">
        <f t="shared" si="22"/>
        <v>0.05</v>
      </c>
      <c r="BL39" s="136" t="s">
        <v>736</v>
      </c>
      <c r="BM39" s="136" t="s">
        <v>175</v>
      </c>
      <c r="BN39" s="136" t="s">
        <v>175</v>
      </c>
      <c r="BO39" s="136" t="s">
        <v>736</v>
      </c>
      <c r="BP39" s="137" t="s">
        <v>175</v>
      </c>
      <c r="BQ39" s="137" t="s">
        <v>175</v>
      </c>
      <c r="BR39" s="137" t="s">
        <v>175</v>
      </c>
      <c r="BS39" s="137" t="s">
        <v>175</v>
      </c>
      <c r="BT39" s="138">
        <f t="shared" si="8"/>
        <v>-17.422180581999999</v>
      </c>
      <c r="BU39" s="138">
        <f t="shared" si="9"/>
        <v>0.65153664517047705</v>
      </c>
      <c r="BV39" s="138">
        <f t="shared" si="10"/>
        <v>0.65153664517047705</v>
      </c>
      <c r="BW39" s="53" t="s">
        <v>175</v>
      </c>
      <c r="BX39" s="53" t="s">
        <v>175</v>
      </c>
      <c r="BY39" s="53" t="s">
        <v>175</v>
      </c>
      <c r="BZ39" s="53" t="s">
        <v>175</v>
      </c>
      <c r="CA39" s="147" t="str">
        <f>IF(CB39=1, "3", "")</f>
        <v>3</v>
      </c>
      <c r="CB39" s="54">
        <v>1</v>
      </c>
      <c r="CC39" s="54" t="s">
        <v>715</v>
      </c>
      <c r="CG39" s="116"/>
    </row>
    <row r="40" spans="1:87">
      <c r="A40" s="123" t="s">
        <v>210</v>
      </c>
      <c r="B40" s="124" t="s">
        <v>205</v>
      </c>
      <c r="C40" s="148" t="s">
        <v>674</v>
      </c>
      <c r="D40" s="125" t="s">
        <v>167</v>
      </c>
      <c r="E40" s="150">
        <v>22.286016</v>
      </c>
      <c r="F40" s="150">
        <v>114.151139</v>
      </c>
      <c r="G40" s="128" t="s">
        <v>168</v>
      </c>
      <c r="H40" s="151">
        <v>8533.9526305170111</v>
      </c>
      <c r="I40" s="151">
        <v>270.3057425728133</v>
      </c>
      <c r="J40" s="151">
        <v>9550</v>
      </c>
      <c r="K40" s="151">
        <v>690</v>
      </c>
      <c r="L40" s="151">
        <v>770</v>
      </c>
      <c r="M40" s="130" t="s">
        <v>206</v>
      </c>
      <c r="N40" s="130" t="s">
        <v>183</v>
      </c>
      <c r="O40" s="130" t="s">
        <v>207</v>
      </c>
      <c r="P40" s="130" t="s">
        <v>208</v>
      </c>
      <c r="Q40" s="130" t="s">
        <v>172</v>
      </c>
      <c r="R40" s="131">
        <v>18.5</v>
      </c>
      <c r="S40" s="112">
        <v>0</v>
      </c>
      <c r="T40" s="130">
        <v>0</v>
      </c>
      <c r="U40" s="132" t="s">
        <v>192</v>
      </c>
      <c r="V40" s="133">
        <v>0.1</v>
      </c>
      <c r="W40" s="132" t="s">
        <v>174</v>
      </c>
      <c r="X40" s="133">
        <v>0.1</v>
      </c>
      <c r="Y40" s="133">
        <v>0.05</v>
      </c>
      <c r="Z40" s="133">
        <v>0.01</v>
      </c>
      <c r="AA40" s="133">
        <v>0.15</v>
      </c>
      <c r="AB40" s="133">
        <f>0.02*R40</f>
        <v>0.37</v>
      </c>
      <c r="AC40" s="134">
        <v>0</v>
      </c>
      <c r="AD40" s="134">
        <v>0</v>
      </c>
      <c r="AE40" s="134">
        <v>0.5</v>
      </c>
      <c r="AF40" s="134">
        <v>0</v>
      </c>
      <c r="AG40" s="134">
        <v>0.1</v>
      </c>
      <c r="AH40" s="134">
        <v>0</v>
      </c>
      <c r="AI40" s="134">
        <v>0</v>
      </c>
      <c r="AJ40" s="134">
        <v>0</v>
      </c>
      <c r="AK40" s="134" t="s">
        <v>175</v>
      </c>
      <c r="AL40" s="122" t="s">
        <v>175</v>
      </c>
      <c r="AM40" s="122">
        <v>-17.38</v>
      </c>
      <c r="AN40" s="134" t="s">
        <v>176</v>
      </c>
      <c r="AO40" s="122" t="s">
        <v>177</v>
      </c>
      <c r="AP40" s="135">
        <f t="shared" si="23"/>
        <v>0.64961527075646863</v>
      </c>
      <c r="AQ40" s="135">
        <f t="shared" si="2"/>
        <v>0.64961527075646863</v>
      </c>
      <c r="AR40" s="117">
        <v>-1.3450804679999999</v>
      </c>
      <c r="AS40" s="117">
        <v>0</v>
      </c>
      <c r="AT40" s="117">
        <v>0</v>
      </c>
      <c r="AU40" s="117">
        <v>-0.69236418600000005</v>
      </c>
      <c r="AV40" s="117">
        <v>-0.48054325599999997</v>
      </c>
      <c r="AW40" s="117">
        <v>4.2180582000000001E-2</v>
      </c>
      <c r="AX40" s="117">
        <v>0.53399395500000002</v>
      </c>
      <c r="AY40" s="117">
        <v>0.80763581399999995</v>
      </c>
      <c r="AZ40" s="117">
        <v>0</v>
      </c>
      <c r="BA40" s="117">
        <v>0</v>
      </c>
      <c r="BB40" s="117">
        <v>1.307635814</v>
      </c>
      <c r="BC40" s="136" t="str">
        <f t="shared" si="3"/>
        <v xml:space="preserve">1 </v>
      </c>
      <c r="BD40" s="136" t="s">
        <v>178</v>
      </c>
      <c r="BE40" s="136" t="s">
        <v>704</v>
      </c>
      <c r="BF40" s="152" t="s">
        <v>706</v>
      </c>
      <c r="BG40" s="120" t="s">
        <v>658</v>
      </c>
      <c r="BH40" s="136" t="str">
        <f t="shared" si="12"/>
        <v>&gt;MTL</v>
      </c>
      <c r="BI40" s="136">
        <f t="shared" si="13"/>
        <v>4.2180582000000001E-2</v>
      </c>
      <c r="BJ40" s="136" t="str">
        <f t="shared" si="21"/>
        <v>Nil</v>
      </c>
      <c r="BK40" s="136">
        <f t="shared" si="22"/>
        <v>0.05</v>
      </c>
      <c r="BL40" s="136" t="s">
        <v>736</v>
      </c>
      <c r="BM40" s="136" t="s">
        <v>175</v>
      </c>
      <c r="BN40" s="136" t="s">
        <v>175</v>
      </c>
      <c r="BO40" s="136" t="s">
        <v>736</v>
      </c>
      <c r="BP40" s="137" t="s">
        <v>175</v>
      </c>
      <c r="BQ40" s="137" t="s">
        <v>175</v>
      </c>
      <c r="BR40" s="137" t="s">
        <v>175</v>
      </c>
      <c r="BS40" s="137" t="s">
        <v>175</v>
      </c>
      <c r="BT40" s="138">
        <f t="shared" si="8"/>
        <v>-17.422180581999999</v>
      </c>
      <c r="BU40" s="138">
        <f t="shared" si="9"/>
        <v>0.65153664517047705</v>
      </c>
      <c r="BV40" s="138">
        <f t="shared" si="10"/>
        <v>0.65153664517047705</v>
      </c>
      <c r="BW40" s="53" t="s">
        <v>175</v>
      </c>
      <c r="BX40" s="53" t="s">
        <v>175</v>
      </c>
      <c r="BY40" s="53" t="s">
        <v>175</v>
      </c>
      <c r="BZ40" s="53" t="s">
        <v>175</v>
      </c>
      <c r="CA40" s="147" t="str">
        <f>IF(CB40=1, "3", "")</f>
        <v>3</v>
      </c>
      <c r="CB40" s="54">
        <v>1</v>
      </c>
      <c r="CC40" s="54" t="s">
        <v>715</v>
      </c>
      <c r="CG40" s="116"/>
    </row>
    <row r="41" spans="1:87">
      <c r="A41" s="123" t="s">
        <v>180</v>
      </c>
      <c r="B41" s="124" t="s">
        <v>181</v>
      </c>
      <c r="C41" s="148" t="s">
        <v>674</v>
      </c>
      <c r="D41" s="125" t="s">
        <v>167</v>
      </c>
      <c r="E41" s="150">
        <v>22.337</v>
      </c>
      <c r="F41" s="150">
        <v>114.14700000000001</v>
      </c>
      <c r="G41" s="128" t="s">
        <v>168</v>
      </c>
      <c r="H41" s="151">
        <v>8718.9526305170129</v>
      </c>
      <c r="I41" s="151">
        <v>128.30158609089756</v>
      </c>
      <c r="J41" s="151">
        <v>9766</v>
      </c>
      <c r="K41" s="151">
        <v>401</v>
      </c>
      <c r="L41" s="151">
        <v>238</v>
      </c>
      <c r="M41" s="130" t="s">
        <v>182</v>
      </c>
      <c r="N41" s="130" t="s">
        <v>183</v>
      </c>
      <c r="O41" s="130" t="s">
        <v>184</v>
      </c>
      <c r="P41" s="130" t="s">
        <v>185</v>
      </c>
      <c r="Q41" s="130" t="s">
        <v>172</v>
      </c>
      <c r="R41" s="131">
        <v>15.1</v>
      </c>
      <c r="S41" s="112">
        <v>1.1000000000000001</v>
      </c>
      <c r="T41" s="130">
        <v>1</v>
      </c>
      <c r="U41" s="132" t="s">
        <v>173</v>
      </c>
      <c r="V41" s="133">
        <v>0.1</v>
      </c>
      <c r="W41" s="132" t="s">
        <v>174</v>
      </c>
      <c r="X41" s="133">
        <v>0.1</v>
      </c>
      <c r="Y41" s="133">
        <v>0.05</v>
      </c>
      <c r="Z41" s="133">
        <v>0.01</v>
      </c>
      <c r="AA41" s="133">
        <v>0.15</v>
      </c>
      <c r="AB41" s="133">
        <f>0.02*R41</f>
        <v>0.30199999999999999</v>
      </c>
      <c r="AC41" s="134">
        <v>0</v>
      </c>
      <c r="AD41" s="134">
        <v>0</v>
      </c>
      <c r="AE41" s="134">
        <v>0.5</v>
      </c>
      <c r="AF41" s="134">
        <v>0</v>
      </c>
      <c r="AG41" s="114">
        <v>0.1</v>
      </c>
      <c r="AH41" s="134">
        <v>0</v>
      </c>
      <c r="AI41" s="134">
        <v>0</v>
      </c>
      <c r="AJ41" s="134">
        <v>0</v>
      </c>
      <c r="AK41" s="134" t="s">
        <v>175</v>
      </c>
      <c r="AL41" s="122" t="s">
        <v>175</v>
      </c>
      <c r="AM41" s="122">
        <v>-14.98</v>
      </c>
      <c r="AN41" s="134" t="s">
        <v>176</v>
      </c>
      <c r="AO41" s="122" t="s">
        <v>177</v>
      </c>
      <c r="AP41" s="135">
        <f t="shared" si="23"/>
        <v>0.61343622325389291</v>
      </c>
      <c r="AQ41" s="135">
        <f t="shared" si="2"/>
        <v>0.61343622325389291</v>
      </c>
      <c r="AR41" s="117">
        <v>-1.4303902239999999</v>
      </c>
      <c r="AS41" s="117">
        <v>0</v>
      </c>
      <c r="AT41" s="117">
        <v>0</v>
      </c>
      <c r="AU41" s="117">
        <v>-0.73039022399999998</v>
      </c>
      <c r="AV41" s="117">
        <v>-0.58087800300000003</v>
      </c>
      <c r="AW41" s="117">
        <v>-1.1823141000000001E-2</v>
      </c>
      <c r="AX41" s="117">
        <v>0.494365887</v>
      </c>
      <c r="AY41" s="117">
        <v>0.76960977600000002</v>
      </c>
      <c r="AZ41" s="117">
        <v>0</v>
      </c>
      <c r="BA41" s="117">
        <v>0</v>
      </c>
      <c r="BB41" s="117">
        <v>1.370585336</v>
      </c>
      <c r="BC41" s="136" t="str">
        <f t="shared" si="3"/>
        <v xml:space="preserve">1 </v>
      </c>
      <c r="BD41" s="136" t="s">
        <v>178</v>
      </c>
      <c r="BE41" s="136" t="s">
        <v>713</v>
      </c>
      <c r="BF41" s="136" t="s">
        <v>186</v>
      </c>
      <c r="BG41" s="120" t="s">
        <v>658</v>
      </c>
      <c r="BH41" s="136" t="str">
        <f t="shared" si="12"/>
        <v>&gt;MTL</v>
      </c>
      <c r="BI41" s="136">
        <f t="shared" si="13"/>
        <v>-1.1823141000000001E-2</v>
      </c>
      <c r="BJ41" s="136" t="str">
        <f t="shared" si="21"/>
        <v>Nil</v>
      </c>
      <c r="BK41" s="136">
        <f t="shared" si="22"/>
        <v>0.05</v>
      </c>
      <c r="BL41" s="136" t="s">
        <v>736</v>
      </c>
      <c r="BM41" s="136" t="s">
        <v>175</v>
      </c>
      <c r="BN41" s="136" t="s">
        <v>175</v>
      </c>
      <c r="BO41" s="136" t="s">
        <v>736</v>
      </c>
      <c r="BP41" s="137" t="s">
        <v>175</v>
      </c>
      <c r="BQ41" s="137" t="s">
        <v>175</v>
      </c>
      <c r="BR41" s="137" t="s">
        <v>175</v>
      </c>
      <c r="BS41" s="137" t="s">
        <v>175</v>
      </c>
      <c r="BT41" s="138">
        <f t="shared" si="8"/>
        <v>-14.968176859</v>
      </c>
      <c r="BU41" s="138">
        <f t="shared" si="9"/>
        <v>0.61547055169195541</v>
      </c>
      <c r="BV41" s="138">
        <f t="shared" si="10"/>
        <v>0.61547055169195541</v>
      </c>
      <c r="BW41" s="53" t="s">
        <v>175</v>
      </c>
      <c r="BX41" s="53" t="s">
        <v>175</v>
      </c>
      <c r="BY41" s="53" t="s">
        <v>175</v>
      </c>
      <c r="BZ41" s="53" t="s">
        <v>175</v>
      </c>
      <c r="CA41" s="147">
        <v>2</v>
      </c>
      <c r="CB41" s="54">
        <v>0</v>
      </c>
      <c r="CG41" s="116"/>
    </row>
    <row r="42" spans="1:87" ht="17" customHeight="1">
      <c r="A42" s="123" t="s">
        <v>195</v>
      </c>
      <c r="B42" s="124" t="s">
        <v>196</v>
      </c>
      <c r="C42" s="148" t="s">
        <v>674</v>
      </c>
      <c r="D42" s="158" t="s">
        <v>167</v>
      </c>
      <c r="E42" s="150">
        <v>22.337</v>
      </c>
      <c r="F42" s="150">
        <v>114.14700000000001</v>
      </c>
      <c r="G42" s="128" t="s">
        <v>168</v>
      </c>
      <c r="H42" s="151">
        <v>8360.6818647162509</v>
      </c>
      <c r="I42" s="151">
        <v>463.80549334107138</v>
      </c>
      <c r="J42" s="151">
        <v>8781</v>
      </c>
      <c r="K42" s="151">
        <v>1142</v>
      </c>
      <c r="L42" s="151">
        <v>1080</v>
      </c>
      <c r="M42" s="149" t="s">
        <v>197</v>
      </c>
      <c r="N42" s="130" t="s">
        <v>170</v>
      </c>
      <c r="O42" s="130" t="s">
        <v>175</v>
      </c>
      <c r="P42" s="130" t="s">
        <v>175</v>
      </c>
      <c r="Q42" s="130" t="s">
        <v>172</v>
      </c>
      <c r="R42" s="130" t="s">
        <v>175</v>
      </c>
      <c r="S42" s="130" t="s">
        <v>175</v>
      </c>
      <c r="T42" s="130">
        <v>1</v>
      </c>
      <c r="U42" s="132" t="s">
        <v>173</v>
      </c>
      <c r="V42" s="133">
        <v>0.1</v>
      </c>
      <c r="W42" s="132" t="s">
        <v>174</v>
      </c>
      <c r="X42" s="133">
        <v>0.1</v>
      </c>
      <c r="Y42" s="133">
        <v>0.05</v>
      </c>
      <c r="Z42" s="133">
        <v>0.01</v>
      </c>
      <c r="AA42" s="133">
        <v>0.15</v>
      </c>
      <c r="AB42" s="133">
        <v>0.2</v>
      </c>
      <c r="AC42" s="134">
        <v>0</v>
      </c>
      <c r="AD42" s="134">
        <v>0</v>
      </c>
      <c r="AE42" s="134">
        <v>0.5</v>
      </c>
      <c r="AF42" s="134">
        <v>0</v>
      </c>
      <c r="AG42" s="134">
        <v>0.1</v>
      </c>
      <c r="AH42" s="134">
        <v>0</v>
      </c>
      <c r="AI42" s="134">
        <v>0</v>
      </c>
      <c r="AJ42" s="134">
        <v>0</v>
      </c>
      <c r="AK42" s="134" t="s">
        <v>175</v>
      </c>
      <c r="AL42" s="122" t="s">
        <v>175</v>
      </c>
      <c r="AM42" s="122">
        <v>-17.88</v>
      </c>
      <c r="AN42" s="134" t="s">
        <v>176</v>
      </c>
      <c r="AO42" s="122" t="s">
        <v>177</v>
      </c>
      <c r="AP42" s="135">
        <f t="shared" si="23"/>
        <v>0.57017541160593732</v>
      </c>
      <c r="AQ42" s="135">
        <f t="shared" si="2"/>
        <v>0.57017541160593732</v>
      </c>
      <c r="AR42" s="117">
        <v>-1.4303902239999999</v>
      </c>
      <c r="AS42" s="117">
        <v>0</v>
      </c>
      <c r="AT42" s="117">
        <v>0</v>
      </c>
      <c r="AU42" s="117">
        <v>-0.73039022399999998</v>
      </c>
      <c r="AV42" s="117">
        <v>-0.58087800300000003</v>
      </c>
      <c r="AW42" s="117">
        <v>-1.1823141000000001E-2</v>
      </c>
      <c r="AX42" s="117">
        <v>0.494365887</v>
      </c>
      <c r="AY42" s="117">
        <v>0.76960977600000002</v>
      </c>
      <c r="AZ42" s="117">
        <v>0</v>
      </c>
      <c r="BA42" s="117">
        <v>0</v>
      </c>
      <c r="BB42" s="117">
        <v>1.370585336</v>
      </c>
      <c r="BC42" s="136" t="str">
        <f t="shared" si="3"/>
        <v>-1</v>
      </c>
      <c r="BD42" s="136" t="s">
        <v>178</v>
      </c>
      <c r="BE42" s="136" t="s">
        <v>702</v>
      </c>
      <c r="BF42" s="136" t="s">
        <v>186</v>
      </c>
      <c r="BG42" s="120" t="s">
        <v>678</v>
      </c>
      <c r="BH42" s="136" t="str">
        <f t="shared" si="12"/>
        <v>&lt;MTL</v>
      </c>
      <c r="BI42" s="136">
        <f t="shared" si="13"/>
        <v>-1.1823141000000001E-2</v>
      </c>
      <c r="BJ42" s="136" t="str">
        <f t="shared" si="21"/>
        <v>Nil</v>
      </c>
      <c r="BK42" s="136">
        <f t="shared" si="22"/>
        <v>0.05</v>
      </c>
      <c r="BL42" s="136" t="s">
        <v>736</v>
      </c>
      <c r="BM42" s="136" t="s">
        <v>175</v>
      </c>
      <c r="BN42" s="136" t="s">
        <v>175</v>
      </c>
      <c r="BO42" s="136" t="s">
        <v>736</v>
      </c>
      <c r="BP42" s="137" t="s">
        <v>175</v>
      </c>
      <c r="BQ42" s="137" t="s">
        <v>175</v>
      </c>
      <c r="BR42" s="137" t="s">
        <v>175</v>
      </c>
      <c r="BS42" s="137" t="s">
        <v>175</v>
      </c>
      <c r="BT42" s="138">
        <f t="shared" si="8"/>
        <v>-17.868176858999998</v>
      </c>
      <c r="BU42" s="138">
        <f t="shared" si="9"/>
        <v>0.5723635208501674</v>
      </c>
      <c r="BV42" s="138">
        <f t="shared" si="10"/>
        <v>0.5723635208501674</v>
      </c>
      <c r="BW42" s="53" t="s">
        <v>175</v>
      </c>
      <c r="BX42" s="53" t="s">
        <v>175</v>
      </c>
      <c r="BY42" s="53" t="s">
        <v>175</v>
      </c>
      <c r="BZ42" s="53" t="s">
        <v>175</v>
      </c>
      <c r="CA42" s="147">
        <v>2</v>
      </c>
      <c r="CB42" s="54">
        <v>0</v>
      </c>
      <c r="CG42" s="116"/>
    </row>
    <row r="43" spans="1:87">
      <c r="A43" s="123" t="s">
        <v>290</v>
      </c>
      <c r="B43" s="124" t="s">
        <v>291</v>
      </c>
      <c r="C43" s="148" t="s">
        <v>674</v>
      </c>
      <c r="D43" s="148" t="s">
        <v>167</v>
      </c>
      <c r="E43" s="150">
        <v>22.192157999999999</v>
      </c>
      <c r="F43" s="150">
        <v>114.13806200000001</v>
      </c>
      <c r="G43" s="128" t="s">
        <v>168</v>
      </c>
      <c r="H43" s="129">
        <v>5910.681864716249</v>
      </c>
      <c r="I43" s="129">
        <v>452.45500953503989</v>
      </c>
      <c r="J43" s="129">
        <v>6140</v>
      </c>
      <c r="K43" s="129">
        <v>1029</v>
      </c>
      <c r="L43" s="129">
        <v>1026</v>
      </c>
      <c r="M43" s="130" t="s">
        <v>288</v>
      </c>
      <c r="N43" s="130" t="s">
        <v>170</v>
      </c>
      <c r="O43" s="130" t="s">
        <v>286</v>
      </c>
      <c r="P43" s="130" t="s">
        <v>175</v>
      </c>
      <c r="Q43" s="130" t="s">
        <v>172</v>
      </c>
      <c r="R43" s="131">
        <v>4</v>
      </c>
      <c r="S43" s="131" t="s">
        <v>175</v>
      </c>
      <c r="T43" s="130">
        <v>1</v>
      </c>
      <c r="U43" s="132" t="s">
        <v>173</v>
      </c>
      <c r="V43" s="133">
        <v>0.1</v>
      </c>
      <c r="W43" s="132" t="s">
        <v>174</v>
      </c>
      <c r="X43" s="133">
        <v>0.1</v>
      </c>
      <c r="Y43" s="133">
        <v>0.05</v>
      </c>
      <c r="Z43" s="133">
        <v>0.8</v>
      </c>
      <c r="AA43" s="133">
        <v>0.15</v>
      </c>
      <c r="AB43" s="133">
        <f>0.02*R43</f>
        <v>0.08</v>
      </c>
      <c r="AC43" s="134">
        <v>0</v>
      </c>
      <c r="AD43" s="134">
        <v>0</v>
      </c>
      <c r="AE43" s="134">
        <v>0.5</v>
      </c>
      <c r="AF43" s="134">
        <v>0</v>
      </c>
      <c r="AG43" s="134">
        <v>0.1</v>
      </c>
      <c r="AH43" s="134">
        <v>0</v>
      </c>
      <c r="AI43" s="134">
        <v>0</v>
      </c>
      <c r="AJ43" s="134">
        <v>0</v>
      </c>
      <c r="AK43" s="134" t="s">
        <v>175</v>
      </c>
      <c r="AL43" s="122" t="s">
        <v>175</v>
      </c>
      <c r="AM43" s="122">
        <v>-2.2799999999999998</v>
      </c>
      <c r="AN43" s="134" t="s">
        <v>176</v>
      </c>
      <c r="AO43" s="122" t="s">
        <v>177</v>
      </c>
      <c r="AP43" s="135">
        <f>SQRT(SUMSQ(IF(OR(Y43="nd",Y43="nd"),0,Y43),IF(OR(Z43="nd",Z43="nd"),0,Z43),IF(OR(AA43="nd",AA43="nd"),0,AA43),IF(OR(AB43="nd",AB43="nd"),0,AB43),IF(OR(AC43="nd",AC43="nd"),0,AC43),IF(OR(AD43="nd",AD43="nd"),0,AD43),IF(OR(AE43="nd",AE43="nd"),0,AE43),IF(OR(AF43="nd",AF43="nd"),0,AF43),IF(OR(AG43="nd",AG43="nd"),0,AG43),IF(OR(AH43="nd",AH43="nd"),0,AH43),IF(OR(AI43="nd",AI43="nd"),0,AI43),IF(OR(AJ43="nd",AJ43="nd"),0,AJ43)))</f>
        <v>0.96509066931558296</v>
      </c>
      <c r="AQ43" s="135">
        <f>SQRT(SUMSQ(IF(OR(Y43="nd",Y43="nd"),0,Y43),IF(OR(Z43="nd",Z43="nd"),0,Z43),IF(OR(AA43="nd",AA43="nd"),0,AA43),IF(OR(AB43="nd",AB43="nd"),0,AB43),IF(OR(AC43="nd",AC43="nd"),0,AC43),IF(OR(AD43="nd",AD43="nd"),0,AD43),IF(OR(AE43="nd",AE43="nd"),0,AE43),IF(OR(AF43="nd",AF43="nd"),0,AF43),IF(OR(AG43="nd",AG43="nd"),0,AG43),IF(OR(AH43="nd",AH43="nd"),0,AH43),IF(OR(AI43="nd",AI43="nd"),0,AI43),IF(OR(AJ43="nd",AJ43="nd"),0,AJ43)))</f>
        <v>0.96509066931558296</v>
      </c>
      <c r="AR43" s="117">
        <v>-1.2</v>
      </c>
      <c r="AS43" s="117">
        <v>0</v>
      </c>
      <c r="AT43" s="117">
        <v>0</v>
      </c>
      <c r="AU43" s="117">
        <v>-0.7</v>
      </c>
      <c r="AV43" s="117">
        <v>-0.42292832200000002</v>
      </c>
      <c r="AW43" s="117">
        <v>-2.071678E-3</v>
      </c>
      <c r="AX43" s="117">
        <v>0.36878496599999999</v>
      </c>
      <c r="AY43" s="117">
        <v>0.74585664399999996</v>
      </c>
      <c r="AZ43" s="154">
        <v>0</v>
      </c>
      <c r="BA43" s="154">
        <v>0</v>
      </c>
      <c r="BB43" s="117">
        <v>1.2458566440000001</v>
      </c>
      <c r="BC43" s="136" t="str">
        <f t="shared" si="3"/>
        <v>0</v>
      </c>
      <c r="BD43" s="136" t="s">
        <v>178</v>
      </c>
      <c r="BE43" s="136" t="s">
        <v>689</v>
      </c>
      <c r="BF43" s="136" t="s">
        <v>292</v>
      </c>
      <c r="BG43" s="120" t="s">
        <v>657</v>
      </c>
      <c r="BH43" s="136" t="str">
        <f t="shared" si="12"/>
        <v>HAT-LAT</v>
      </c>
      <c r="BI43" s="136">
        <f t="shared" si="13"/>
        <v>2.2928322000000056E-2</v>
      </c>
      <c r="BJ43" s="136">
        <f t="shared" si="21"/>
        <v>1.222928322</v>
      </c>
      <c r="BK43" s="136">
        <f t="shared" si="22"/>
        <v>0.27</v>
      </c>
      <c r="BL43" s="136">
        <v>0.14454437697013356</v>
      </c>
      <c r="BM43" s="136" t="s">
        <v>175</v>
      </c>
      <c r="BN43" s="136" t="s">
        <v>175</v>
      </c>
      <c r="BO43" s="136">
        <v>1.6326413419311958E-2</v>
      </c>
      <c r="BP43" s="137" t="s">
        <v>175</v>
      </c>
      <c r="BQ43" s="137" t="s">
        <v>175</v>
      </c>
      <c r="BR43" s="137" t="s">
        <v>175</v>
      </c>
      <c r="BS43" s="137" t="s">
        <v>175</v>
      </c>
      <c r="BT43" s="138">
        <f>AM43-BI43</f>
        <v>-2.3029283219999996</v>
      </c>
      <c r="BU43" s="138">
        <f t="shared" si="9"/>
        <v>1.5877699170341268</v>
      </c>
      <c r="BV43" s="138">
        <f t="shared" si="10"/>
        <v>1.5877699170341268</v>
      </c>
      <c r="BW43" s="53" t="s">
        <v>175</v>
      </c>
      <c r="BX43" s="53" t="s">
        <v>175</v>
      </c>
      <c r="BY43" s="53" t="s">
        <v>175</v>
      </c>
      <c r="BZ43" s="53" t="s">
        <v>175</v>
      </c>
      <c r="CA43" s="147">
        <v>2</v>
      </c>
      <c r="CB43" s="54">
        <v>0</v>
      </c>
      <c r="CI43" s="116"/>
    </row>
    <row r="44" spans="1:87">
      <c r="A44" s="123" t="s">
        <v>284</v>
      </c>
      <c r="B44" s="124" t="s">
        <v>285</v>
      </c>
      <c r="C44" s="148" t="s">
        <v>674</v>
      </c>
      <c r="D44" s="125" t="s">
        <v>167</v>
      </c>
      <c r="E44" s="150">
        <v>22.192157999999999</v>
      </c>
      <c r="F44" s="150">
        <v>114.13806200000001</v>
      </c>
      <c r="G44" s="128" t="s">
        <v>168</v>
      </c>
      <c r="H44" s="129">
        <v>3750.6818647162481</v>
      </c>
      <c r="I44" s="129">
        <v>446.11157309954677</v>
      </c>
      <c r="J44" s="129">
        <v>3553</v>
      </c>
      <c r="K44" s="129">
        <v>1160</v>
      </c>
      <c r="L44" s="129">
        <v>1129</v>
      </c>
      <c r="M44" s="130" t="s">
        <v>286</v>
      </c>
      <c r="N44" s="130" t="s">
        <v>170</v>
      </c>
      <c r="O44" s="130" t="s">
        <v>287</v>
      </c>
      <c r="P44" s="130" t="s">
        <v>288</v>
      </c>
      <c r="Q44" s="130"/>
      <c r="R44" s="131">
        <v>1.4</v>
      </c>
      <c r="S44" s="131" t="s">
        <v>175</v>
      </c>
      <c r="T44" s="130">
        <v>1</v>
      </c>
      <c r="U44" s="132" t="s">
        <v>173</v>
      </c>
      <c r="V44" s="133">
        <v>0.1</v>
      </c>
      <c r="W44" s="132" t="s">
        <v>174</v>
      </c>
      <c r="X44" s="133">
        <v>0.1</v>
      </c>
      <c r="Y44" s="133">
        <v>0.05</v>
      </c>
      <c r="Z44" s="133">
        <v>0.4</v>
      </c>
      <c r="AA44" s="133">
        <v>0.15</v>
      </c>
      <c r="AB44" s="133">
        <f>0.02*R44</f>
        <v>2.7999999999999997E-2</v>
      </c>
      <c r="AC44" s="134">
        <v>0</v>
      </c>
      <c r="AD44" s="134">
        <v>0</v>
      </c>
      <c r="AE44" s="134">
        <v>0.5</v>
      </c>
      <c r="AF44" s="134">
        <v>0</v>
      </c>
      <c r="AG44" s="134">
        <v>0.1</v>
      </c>
      <c r="AH44" s="134">
        <v>0</v>
      </c>
      <c r="AI44" s="134">
        <v>0</v>
      </c>
      <c r="AJ44" s="134">
        <v>0</v>
      </c>
      <c r="AK44" s="134" t="s">
        <v>175</v>
      </c>
      <c r="AL44" s="122" t="s">
        <v>175</v>
      </c>
      <c r="AM44" s="122">
        <v>0.22</v>
      </c>
      <c r="AN44" s="134" t="s">
        <v>176</v>
      </c>
      <c r="AO44" s="122" t="s">
        <v>177</v>
      </c>
      <c r="AP44" s="135">
        <f t="shared" si="23"/>
        <v>0.66767057745567915</v>
      </c>
      <c r="AQ44" s="135">
        <f>SQRT(SUMSQ(IF(OR(Y44="nd",Y44="nd"),0,Y44),IF(OR(Z44="nd",Z44="nd"),0,Z44),IF(OR(AA44="nd",AA44="nd"),0,AA44),IF(OR(AB44="nd",AB44="nd"),0,AB44),IF(OR(AC44="nd",AC44="nd"),0,AC44),IF(OR(AD44="nd",AD44="nd"),0,AD44),IF(OR(AE44="nd",AE44="nd"),0,AE44),IF(OR(AF44="nd",AF44="nd"),0,AF44),IF(OR(AG44="nd",AG44="nd"),0,AG44),IF(OR(AH44="nd",AH44="nd"),0,AH44),IF(OR(AI44="nd",AI44="nd"),0,AI44),IF(OR(AJ44="nd",AJ44="nd"),0,AJ44)))</f>
        <v>0.66767057745567915</v>
      </c>
      <c r="AR44" s="117">
        <v>-1.2</v>
      </c>
      <c r="AS44" s="117">
        <v>0</v>
      </c>
      <c r="AT44" s="117">
        <v>0</v>
      </c>
      <c r="AU44" s="117">
        <v>-0.7</v>
      </c>
      <c r="AV44" s="117">
        <v>-0.42292832200000002</v>
      </c>
      <c r="AW44" s="117">
        <v>-2.071678E-3</v>
      </c>
      <c r="AX44" s="117">
        <v>0.36878496599999999</v>
      </c>
      <c r="AY44" s="117">
        <v>0.74585664399999996</v>
      </c>
      <c r="AZ44" s="154">
        <v>0</v>
      </c>
      <c r="BA44" s="154">
        <v>0</v>
      </c>
      <c r="BB44" s="117">
        <v>1.2458566440000001</v>
      </c>
      <c r="BC44" s="136" t="str">
        <f t="shared" si="3"/>
        <v>0</v>
      </c>
      <c r="BD44" s="136" t="s">
        <v>178</v>
      </c>
      <c r="BE44" s="136" t="s">
        <v>692</v>
      </c>
      <c r="BF44" s="136" t="s">
        <v>289</v>
      </c>
      <c r="BG44" s="120" t="s">
        <v>663</v>
      </c>
      <c r="BH44" s="136" t="str">
        <f t="shared" si="12"/>
        <v>HAT-MTL</v>
      </c>
      <c r="BI44" s="136">
        <f t="shared" si="13"/>
        <v>0.621892483</v>
      </c>
      <c r="BJ44" s="136">
        <f t="shared" si="21"/>
        <v>0.62396416100000007</v>
      </c>
      <c r="BK44" s="136">
        <f t="shared" si="22"/>
        <v>0.09</v>
      </c>
      <c r="BL44" s="136">
        <v>9.9726453377969815E-2</v>
      </c>
      <c r="BM44" s="136" t="s">
        <v>175</v>
      </c>
      <c r="BN44" s="136" t="s">
        <v>175</v>
      </c>
      <c r="BO44" s="136">
        <v>7.2589519447369355E-2</v>
      </c>
      <c r="BP44" s="137" t="s">
        <v>175</v>
      </c>
      <c r="BQ44" s="137" t="s">
        <v>175</v>
      </c>
      <c r="BR44" s="137" t="s">
        <v>175</v>
      </c>
      <c r="BS44" s="137" t="s">
        <v>175</v>
      </c>
      <c r="BT44" s="138">
        <f t="shared" si="8"/>
        <v>-0.40189248300000002</v>
      </c>
      <c r="BU44" s="138">
        <f t="shared" si="9"/>
        <v>0.92651490978255846</v>
      </c>
      <c r="BV44" s="138">
        <f t="shared" si="10"/>
        <v>0.92651490978255846</v>
      </c>
      <c r="BW44" s="53" t="s">
        <v>175</v>
      </c>
      <c r="BX44" s="53" t="s">
        <v>175</v>
      </c>
      <c r="BY44" s="53" t="s">
        <v>175</v>
      </c>
      <c r="BZ44" s="53" t="s">
        <v>175</v>
      </c>
      <c r="CA44" s="147">
        <v>2</v>
      </c>
      <c r="CB44" s="54">
        <v>0</v>
      </c>
      <c r="CI44" s="116"/>
    </row>
    <row r="45" spans="1:87" ht="17">
      <c r="A45" s="123" t="s">
        <v>275</v>
      </c>
      <c r="B45" s="124" t="s">
        <v>266</v>
      </c>
      <c r="C45" s="148" t="s">
        <v>674</v>
      </c>
      <c r="D45" s="125" t="s">
        <v>167</v>
      </c>
      <c r="E45" s="150">
        <v>22.502926390999999</v>
      </c>
      <c r="F45" s="150">
        <v>114.082719426</v>
      </c>
      <c r="G45" s="128" t="s">
        <v>168</v>
      </c>
      <c r="H45" s="151">
        <v>5440.3589885814717</v>
      </c>
      <c r="I45" s="151">
        <v>157.38791652741324</v>
      </c>
      <c r="J45" s="151">
        <v>6215</v>
      </c>
      <c r="K45" s="151">
        <v>405</v>
      </c>
      <c r="L45" s="151">
        <v>315</v>
      </c>
      <c r="M45" s="130" t="s">
        <v>262</v>
      </c>
      <c r="N45" s="130" t="s">
        <v>274</v>
      </c>
      <c r="O45" s="130" t="s">
        <v>175</v>
      </c>
      <c r="P45" s="155" t="s">
        <v>175</v>
      </c>
      <c r="Q45" s="155" t="s">
        <v>175</v>
      </c>
      <c r="R45" s="156" t="s">
        <v>175</v>
      </c>
      <c r="S45" s="156" t="s">
        <v>175</v>
      </c>
      <c r="T45" s="130">
        <v>1</v>
      </c>
      <c r="U45" s="132" t="s">
        <v>173</v>
      </c>
      <c r="V45" s="133">
        <v>0.1</v>
      </c>
      <c r="W45" s="132" t="s">
        <v>174</v>
      </c>
      <c r="X45" s="133">
        <v>0.1</v>
      </c>
      <c r="Y45" s="133">
        <v>0.05</v>
      </c>
      <c r="Z45" s="133">
        <v>0.01</v>
      </c>
      <c r="AA45" s="133">
        <v>0.15</v>
      </c>
      <c r="AB45" s="133">
        <v>0.2</v>
      </c>
      <c r="AC45" s="134">
        <v>0</v>
      </c>
      <c r="AD45" s="134">
        <v>0</v>
      </c>
      <c r="AE45" s="134">
        <v>0.03</v>
      </c>
      <c r="AF45" s="134">
        <v>0</v>
      </c>
      <c r="AG45" s="134">
        <v>0.1</v>
      </c>
      <c r="AH45" s="134">
        <v>0</v>
      </c>
      <c r="AI45" s="134">
        <v>0</v>
      </c>
      <c r="AJ45" s="134">
        <v>0</v>
      </c>
      <c r="AK45" s="134" t="s">
        <v>175</v>
      </c>
      <c r="AL45" s="122" t="s">
        <v>175</v>
      </c>
      <c r="AM45" s="122">
        <v>-0.48</v>
      </c>
      <c r="AN45" s="134" t="s">
        <v>176</v>
      </c>
      <c r="AO45" s="122" t="s">
        <v>177</v>
      </c>
      <c r="AP45" s="135">
        <f t="shared" si="23"/>
        <v>0.27568097504180444</v>
      </c>
      <c r="AQ45" s="135">
        <f t="shared" ref="AQ45:AQ163" si="24">SQRT(SUMSQ(IF(OR(Y45="nd",Y45="nd"),0,Y45),IF(OR(Z45="nd",Z45="nd"),0,Z45),IF(OR(AA45="nd",AA45="nd"),0,AA45),IF(OR(AB45="nd",AB45="nd"),0,AB45),IF(OR(AC45="nd",AC45="nd"),0,AC45),IF(OR(AD45="nd",AD45="nd"),0,AD45),IF(OR(AE45="nd",AE45="nd"),0,AE45),IF(OR(AF45="nd",AF45="nd"),0,AF45),IF(OR(AG45="nd",AG45="nd"),0,AG45),IF(OR(AH45="nd",AH45="nd"),0,AH45),IF(OR(AI45="nd",AI45="nd"),0,AI45),IF(OR(AJ45="nd",AJ45="nd"),0,AJ45)))</f>
        <v>0.27568097504180444</v>
      </c>
      <c r="AR45" s="117">
        <v>-1.4830643960000001</v>
      </c>
      <c r="AS45" s="117">
        <v>0</v>
      </c>
      <c r="AT45" s="117">
        <v>0</v>
      </c>
      <c r="AU45" s="117">
        <v>-0.94783512999999997</v>
      </c>
      <c r="AV45" s="117">
        <v>-0.71544976299999996</v>
      </c>
      <c r="AW45" s="117">
        <v>1.591706E-3</v>
      </c>
      <c r="AX45" s="117">
        <v>0.69363317499999999</v>
      </c>
      <c r="AY45" s="117">
        <v>0.97601854200000004</v>
      </c>
      <c r="AZ45" s="117">
        <v>0</v>
      </c>
      <c r="BA45" s="117">
        <v>0</v>
      </c>
      <c r="BB45" s="117">
        <v>1.540789277</v>
      </c>
      <c r="BC45" s="136" t="str">
        <f t="shared" si="3"/>
        <v xml:space="preserve">-1 </v>
      </c>
      <c r="BD45" s="136" t="s">
        <v>178</v>
      </c>
      <c r="BE45" s="136" t="s">
        <v>689</v>
      </c>
      <c r="BF45" s="136" t="s">
        <v>263</v>
      </c>
      <c r="BG45" s="120" t="s">
        <v>665</v>
      </c>
      <c r="BH45" s="136" t="str">
        <f t="shared" si="12"/>
        <v>&lt;HAT</v>
      </c>
      <c r="BI45" s="136">
        <f t="shared" si="13"/>
        <v>1.540789277</v>
      </c>
      <c r="BJ45" s="136" t="str">
        <f t="shared" si="21"/>
        <v>Nil</v>
      </c>
      <c r="BK45" s="136">
        <f t="shared" si="22"/>
        <v>0.18</v>
      </c>
      <c r="BL45" s="136" t="s">
        <v>736</v>
      </c>
      <c r="BM45" s="136" t="s">
        <v>175</v>
      </c>
      <c r="BN45" s="136" t="s">
        <v>175</v>
      </c>
      <c r="BO45" s="136" t="s">
        <v>736</v>
      </c>
      <c r="BP45" s="137" t="s">
        <v>175</v>
      </c>
      <c r="BQ45" s="137" t="s">
        <v>175</v>
      </c>
      <c r="BR45" s="137" t="s">
        <v>175</v>
      </c>
      <c r="BS45" s="137" t="s">
        <v>175</v>
      </c>
      <c r="BT45" s="138">
        <f t="shared" si="8"/>
        <v>-2.020789277</v>
      </c>
      <c r="BU45" s="138">
        <f t="shared" si="9"/>
        <v>0.32924155266308658</v>
      </c>
      <c r="BV45" s="138">
        <f t="shared" si="10"/>
        <v>0.32924155266308658</v>
      </c>
      <c r="BW45" s="53" t="s">
        <v>175</v>
      </c>
      <c r="BX45" s="53" t="s">
        <v>175</v>
      </c>
      <c r="BY45" s="53" t="s">
        <v>175</v>
      </c>
      <c r="BZ45" s="53" t="s">
        <v>175</v>
      </c>
      <c r="CA45" s="147">
        <v>2</v>
      </c>
      <c r="CB45" s="54">
        <v>0</v>
      </c>
    </row>
    <row r="46" spans="1:87" ht="17">
      <c r="A46" s="123" t="s">
        <v>273</v>
      </c>
      <c r="B46" s="124" t="s">
        <v>266</v>
      </c>
      <c r="C46" s="148" t="s">
        <v>674</v>
      </c>
      <c r="D46" s="125" t="s">
        <v>167</v>
      </c>
      <c r="E46" s="150">
        <v>22.502926390999999</v>
      </c>
      <c r="F46" s="150">
        <v>114.082719426</v>
      </c>
      <c r="G46" s="128" t="s">
        <v>168</v>
      </c>
      <c r="H46" s="151">
        <v>5058.3589885814681</v>
      </c>
      <c r="I46" s="151">
        <v>132.83808290110181</v>
      </c>
      <c r="J46" s="151">
        <v>5803</v>
      </c>
      <c r="K46" s="151">
        <v>377</v>
      </c>
      <c r="L46" s="151">
        <v>317</v>
      </c>
      <c r="M46" s="130" t="s">
        <v>262</v>
      </c>
      <c r="N46" s="130" t="s">
        <v>274</v>
      </c>
      <c r="O46" s="130" t="s">
        <v>175</v>
      </c>
      <c r="P46" s="155" t="s">
        <v>175</v>
      </c>
      <c r="Q46" s="155" t="s">
        <v>175</v>
      </c>
      <c r="R46" s="156" t="s">
        <v>175</v>
      </c>
      <c r="S46" s="156" t="s">
        <v>175</v>
      </c>
      <c r="T46" s="130">
        <v>1</v>
      </c>
      <c r="U46" s="132" t="s">
        <v>173</v>
      </c>
      <c r="V46" s="133">
        <v>0.1</v>
      </c>
      <c r="W46" s="132" t="s">
        <v>174</v>
      </c>
      <c r="X46" s="133">
        <v>0.1</v>
      </c>
      <c r="Y46" s="133">
        <v>0.05</v>
      </c>
      <c r="Z46" s="133">
        <v>0.01</v>
      </c>
      <c r="AA46" s="133">
        <v>0.15</v>
      </c>
      <c r="AB46" s="133">
        <v>0.2</v>
      </c>
      <c r="AC46" s="134">
        <v>0</v>
      </c>
      <c r="AD46" s="134">
        <v>0</v>
      </c>
      <c r="AE46" s="134">
        <v>0.03</v>
      </c>
      <c r="AF46" s="134">
        <v>0</v>
      </c>
      <c r="AG46" s="134">
        <v>0.1</v>
      </c>
      <c r="AH46" s="134">
        <v>0</v>
      </c>
      <c r="AI46" s="134">
        <v>0</v>
      </c>
      <c r="AJ46" s="134">
        <v>0</v>
      </c>
      <c r="AK46" s="134" t="s">
        <v>175</v>
      </c>
      <c r="AL46" s="122" t="s">
        <v>175</v>
      </c>
      <c r="AM46" s="122">
        <v>-0.57999999999999996</v>
      </c>
      <c r="AN46" s="134" t="s">
        <v>176</v>
      </c>
      <c r="AO46" s="122" t="s">
        <v>177</v>
      </c>
      <c r="AP46" s="135">
        <f t="shared" si="23"/>
        <v>0.27568097504180444</v>
      </c>
      <c r="AQ46" s="135">
        <f t="shared" si="24"/>
        <v>0.27568097504180444</v>
      </c>
      <c r="AR46" s="117">
        <v>-1.4830643960000001</v>
      </c>
      <c r="AS46" s="117">
        <v>0</v>
      </c>
      <c r="AT46" s="117">
        <v>0</v>
      </c>
      <c r="AU46" s="117">
        <v>-0.94783512999999997</v>
      </c>
      <c r="AV46" s="117">
        <v>-0.71544976299999996</v>
      </c>
      <c r="AW46" s="117">
        <v>1.591706E-3</v>
      </c>
      <c r="AX46" s="117">
        <v>0.69363317499999999</v>
      </c>
      <c r="AY46" s="117">
        <v>0.97601854200000004</v>
      </c>
      <c r="AZ46" s="117">
        <v>0</v>
      </c>
      <c r="BA46" s="117">
        <v>0</v>
      </c>
      <c r="BB46" s="117">
        <v>1.540789277</v>
      </c>
      <c r="BC46" s="136" t="str">
        <f t="shared" si="3"/>
        <v xml:space="preserve">-1 </v>
      </c>
      <c r="BD46" s="136" t="s">
        <v>178</v>
      </c>
      <c r="BE46" s="136" t="s">
        <v>689</v>
      </c>
      <c r="BF46" s="136" t="s">
        <v>263</v>
      </c>
      <c r="BG46" s="120" t="s">
        <v>665</v>
      </c>
      <c r="BH46" s="136" t="str">
        <f t="shared" si="12"/>
        <v>&lt;HAT</v>
      </c>
      <c r="BI46" s="136">
        <f t="shared" si="13"/>
        <v>1.540789277</v>
      </c>
      <c r="BJ46" s="136" t="str">
        <f t="shared" si="21"/>
        <v>Nil</v>
      </c>
      <c r="BK46" s="136">
        <f t="shared" si="22"/>
        <v>0.18</v>
      </c>
      <c r="BL46" s="136" t="s">
        <v>736</v>
      </c>
      <c r="BM46" s="136" t="s">
        <v>175</v>
      </c>
      <c r="BN46" s="136" t="s">
        <v>175</v>
      </c>
      <c r="BO46" s="136" t="s">
        <v>736</v>
      </c>
      <c r="BP46" s="137" t="s">
        <v>175</v>
      </c>
      <c r="BQ46" s="137" t="s">
        <v>175</v>
      </c>
      <c r="BR46" s="137" t="s">
        <v>175</v>
      </c>
      <c r="BS46" s="137" t="s">
        <v>175</v>
      </c>
      <c r="BT46" s="138">
        <f t="shared" si="8"/>
        <v>-2.1207892770000001</v>
      </c>
      <c r="BU46" s="138">
        <f t="shared" si="9"/>
        <v>0.32924155266308658</v>
      </c>
      <c r="BV46" s="138">
        <f t="shared" si="10"/>
        <v>0.32924155266308658</v>
      </c>
      <c r="BW46" s="53" t="s">
        <v>175</v>
      </c>
      <c r="BX46" s="53" t="s">
        <v>175</v>
      </c>
      <c r="BY46" s="53" t="s">
        <v>175</v>
      </c>
      <c r="BZ46" s="53" t="s">
        <v>175</v>
      </c>
      <c r="CA46" s="147">
        <v>2</v>
      </c>
      <c r="CB46" s="54">
        <v>0</v>
      </c>
    </row>
    <row r="47" spans="1:87" ht="17">
      <c r="A47" s="123" t="s">
        <v>265</v>
      </c>
      <c r="B47" s="124" t="s">
        <v>266</v>
      </c>
      <c r="C47" s="148" t="s">
        <v>674</v>
      </c>
      <c r="D47" s="125" t="s">
        <v>167</v>
      </c>
      <c r="E47" s="150">
        <v>22.516645440000001</v>
      </c>
      <c r="F47" s="150">
        <v>114.07124092399999</v>
      </c>
      <c r="G47" s="128" t="s">
        <v>168</v>
      </c>
      <c r="H47" s="151">
        <v>536.46950426133105</v>
      </c>
      <c r="I47" s="151">
        <v>116.08531364974641</v>
      </c>
      <c r="J47" s="151">
        <v>548</v>
      </c>
      <c r="K47" s="151">
        <v>133</v>
      </c>
      <c r="L47" s="151">
        <v>234</v>
      </c>
      <c r="M47" s="130" t="s">
        <v>262</v>
      </c>
      <c r="N47" s="149" t="s">
        <v>735</v>
      </c>
      <c r="O47" s="130" t="s">
        <v>175</v>
      </c>
      <c r="P47" s="155" t="s">
        <v>175</v>
      </c>
      <c r="Q47" s="155" t="s">
        <v>175</v>
      </c>
      <c r="R47" s="156" t="s">
        <v>175</v>
      </c>
      <c r="S47" s="156" t="s">
        <v>175</v>
      </c>
      <c r="T47" s="130">
        <v>1</v>
      </c>
      <c r="U47" s="132" t="s">
        <v>173</v>
      </c>
      <c r="V47" s="133">
        <v>0.1</v>
      </c>
      <c r="W47" s="132" t="s">
        <v>174</v>
      </c>
      <c r="X47" s="133">
        <v>0.1</v>
      </c>
      <c r="Y47" s="133">
        <v>0.05</v>
      </c>
      <c r="Z47" s="133">
        <v>0.01</v>
      </c>
      <c r="AA47" s="133">
        <v>0.15</v>
      </c>
      <c r="AB47" s="133">
        <v>0.2</v>
      </c>
      <c r="AC47" s="134">
        <v>0</v>
      </c>
      <c r="AD47" s="134">
        <v>0</v>
      </c>
      <c r="AE47" s="134">
        <v>0.03</v>
      </c>
      <c r="AF47" s="134">
        <v>0</v>
      </c>
      <c r="AG47" s="134">
        <v>0.1</v>
      </c>
      <c r="AH47" s="134">
        <v>0</v>
      </c>
      <c r="AI47" s="134">
        <v>0</v>
      </c>
      <c r="AJ47" s="134">
        <v>0</v>
      </c>
      <c r="AK47" s="134" t="s">
        <v>175</v>
      </c>
      <c r="AL47" s="122" t="s">
        <v>175</v>
      </c>
      <c r="AM47" s="122">
        <v>0.12</v>
      </c>
      <c r="AN47" s="134" t="s">
        <v>176</v>
      </c>
      <c r="AO47" s="122" t="s">
        <v>177</v>
      </c>
      <c r="AP47" s="135">
        <f t="shared" si="23"/>
        <v>0.27568097504180444</v>
      </c>
      <c r="AQ47" s="135">
        <f t="shared" si="24"/>
        <v>0.27568097504180444</v>
      </c>
      <c r="AR47" s="117">
        <v>-1.4998351919999999</v>
      </c>
      <c r="AS47" s="117">
        <v>0</v>
      </c>
      <c r="AT47" s="117">
        <v>0</v>
      </c>
      <c r="AU47" s="117">
        <v>-0.973432662</v>
      </c>
      <c r="AV47" s="117">
        <v>-0.73663392699999997</v>
      </c>
      <c r="AW47" s="117">
        <v>-1.938988E-3</v>
      </c>
      <c r="AX47" s="117">
        <v>0.70775595099999999</v>
      </c>
      <c r="AY47" s="117">
        <v>0.99455468599999997</v>
      </c>
      <c r="AZ47" s="117">
        <v>0</v>
      </c>
      <c r="BA47" s="117">
        <v>0</v>
      </c>
      <c r="BB47" s="117">
        <v>1.568152156</v>
      </c>
      <c r="BC47" s="136" t="str">
        <f t="shared" si="3"/>
        <v xml:space="preserve">-1 </v>
      </c>
      <c r="BD47" s="136" t="s">
        <v>178</v>
      </c>
      <c r="BE47" s="136" t="s">
        <v>689</v>
      </c>
      <c r="BF47" s="136" t="s">
        <v>263</v>
      </c>
      <c r="BG47" s="120" t="s">
        <v>665</v>
      </c>
      <c r="BH47" s="136" t="str">
        <f t="shared" si="12"/>
        <v>&lt;HAT</v>
      </c>
      <c r="BI47" s="136">
        <f t="shared" si="13"/>
        <v>1.568152156</v>
      </c>
      <c r="BJ47" s="136" t="str">
        <f t="shared" si="21"/>
        <v>Nil</v>
      </c>
      <c r="BK47" s="136">
        <f t="shared" si="22"/>
        <v>0.18</v>
      </c>
      <c r="BL47" s="136" t="s">
        <v>736</v>
      </c>
      <c r="BM47" s="136" t="s">
        <v>175</v>
      </c>
      <c r="BN47" s="136" t="s">
        <v>175</v>
      </c>
      <c r="BO47" s="136" t="s">
        <v>736</v>
      </c>
      <c r="BP47" s="137" t="s">
        <v>175</v>
      </c>
      <c r="BQ47" s="137" t="s">
        <v>175</v>
      </c>
      <c r="BR47" s="137" t="s">
        <v>175</v>
      </c>
      <c r="BS47" s="137" t="s">
        <v>175</v>
      </c>
      <c r="BT47" s="138">
        <f t="shared" si="8"/>
        <v>-1.4481521559999999</v>
      </c>
      <c r="BU47" s="138">
        <f t="shared" si="9"/>
        <v>0.32924155266308658</v>
      </c>
      <c r="BV47" s="138">
        <f t="shared" si="10"/>
        <v>0.32924155266308658</v>
      </c>
      <c r="BW47" s="53" t="s">
        <v>175</v>
      </c>
      <c r="BX47" s="53" t="s">
        <v>175</v>
      </c>
      <c r="BY47" s="53" t="s">
        <v>175</v>
      </c>
      <c r="BZ47" s="53" t="s">
        <v>175</v>
      </c>
      <c r="CA47" s="147">
        <v>2</v>
      </c>
      <c r="CB47" s="54">
        <v>0</v>
      </c>
    </row>
    <row r="48" spans="1:87">
      <c r="A48" s="123" t="s">
        <v>521</v>
      </c>
      <c r="B48" s="124" t="s">
        <v>733</v>
      </c>
      <c r="C48" s="148" t="s">
        <v>674</v>
      </c>
      <c r="D48" s="125" t="s">
        <v>167</v>
      </c>
      <c r="E48" s="127">
        <v>22.530913000000002</v>
      </c>
      <c r="F48" s="127">
        <v>114.067947</v>
      </c>
      <c r="G48" s="128" t="s">
        <v>168</v>
      </c>
      <c r="H48" s="129">
        <v>5480.6818647162481</v>
      </c>
      <c r="I48" s="129">
        <v>167.1019066438202</v>
      </c>
      <c r="J48" s="129">
        <v>5682</v>
      </c>
      <c r="K48" s="129">
        <v>435</v>
      </c>
      <c r="L48" s="129">
        <v>409</v>
      </c>
      <c r="M48" s="130" t="s">
        <v>508</v>
      </c>
      <c r="N48" s="130" t="s">
        <v>170</v>
      </c>
      <c r="O48" s="130" t="s">
        <v>509</v>
      </c>
      <c r="P48" s="130" t="s">
        <v>510</v>
      </c>
      <c r="Q48" s="130" t="s">
        <v>377</v>
      </c>
      <c r="R48" s="131">
        <v>4</v>
      </c>
      <c r="S48" s="131">
        <f>11.3-4</f>
        <v>7.3000000000000007</v>
      </c>
      <c r="T48" s="130">
        <v>1</v>
      </c>
      <c r="U48" s="132" t="s">
        <v>173</v>
      </c>
      <c r="V48" s="133">
        <v>0.1</v>
      </c>
      <c r="W48" s="132" t="s">
        <v>174</v>
      </c>
      <c r="X48" s="133">
        <v>0.1</v>
      </c>
      <c r="Y48" s="133">
        <v>0.05</v>
      </c>
      <c r="Z48" s="133">
        <v>0.01</v>
      </c>
      <c r="AA48" s="133">
        <v>0.15</v>
      </c>
      <c r="AB48" s="133">
        <f>0.02*R48</f>
        <v>0.08</v>
      </c>
      <c r="AC48" s="134">
        <v>0</v>
      </c>
      <c r="AD48" s="134">
        <v>0</v>
      </c>
      <c r="AE48" s="134">
        <v>0.5</v>
      </c>
      <c r="AF48" s="134">
        <v>0</v>
      </c>
      <c r="AG48" s="134">
        <v>0.1</v>
      </c>
      <c r="AH48" s="134">
        <v>0</v>
      </c>
      <c r="AI48" s="134">
        <v>0</v>
      </c>
      <c r="AJ48" s="134">
        <v>0</v>
      </c>
      <c r="AK48" s="134" t="s">
        <v>175</v>
      </c>
      <c r="AL48" s="122" t="s">
        <v>175</v>
      </c>
      <c r="AM48" s="122">
        <v>-3</v>
      </c>
      <c r="AN48" s="134" t="s">
        <v>176</v>
      </c>
      <c r="AO48" s="134" t="s">
        <v>177</v>
      </c>
      <c r="AP48" s="135">
        <f t="shared" si="23"/>
        <v>0.53990739946772348</v>
      </c>
      <c r="AQ48" s="135">
        <f t="shared" si="24"/>
        <v>0.53990739946772348</v>
      </c>
      <c r="AR48" s="117">
        <v>-1.501122056</v>
      </c>
      <c r="AS48" s="117">
        <v>0</v>
      </c>
      <c r="AT48" s="117">
        <v>0</v>
      </c>
      <c r="AU48" s="117">
        <v>-0.975396822</v>
      </c>
      <c r="AV48" s="117">
        <v>-0.73825943900000002</v>
      </c>
      <c r="AW48" s="117">
        <v>-2.2099060000000002E-3</v>
      </c>
      <c r="AX48" s="117">
        <v>0.70883962599999994</v>
      </c>
      <c r="AY48" s="117">
        <v>0.99597700899999997</v>
      </c>
      <c r="AZ48" s="117">
        <v>0</v>
      </c>
      <c r="BA48" s="117">
        <v>0</v>
      </c>
      <c r="BB48" s="117">
        <v>2.3471649719999998</v>
      </c>
      <c r="BC48" s="136" t="str">
        <f t="shared" si="3"/>
        <v>-1</v>
      </c>
      <c r="BD48" s="136" t="s">
        <v>178</v>
      </c>
      <c r="BE48" s="136" t="s">
        <v>702</v>
      </c>
      <c r="BF48" s="136" t="s">
        <v>292</v>
      </c>
      <c r="BG48" s="120" t="s">
        <v>678</v>
      </c>
      <c r="BH48" s="136" t="str">
        <f t="shared" si="12"/>
        <v>&lt;MTL</v>
      </c>
      <c r="BI48" s="136">
        <f t="shared" si="13"/>
        <v>-2.2099060000000002E-3</v>
      </c>
      <c r="BJ48" s="136" t="str">
        <f t="shared" si="21"/>
        <v>Nil</v>
      </c>
      <c r="BK48" s="136">
        <f t="shared" si="22"/>
        <v>0.05</v>
      </c>
      <c r="BL48" s="136" t="s">
        <v>736</v>
      </c>
      <c r="BM48" s="136" t="s">
        <v>175</v>
      </c>
      <c r="BN48" s="136" t="s">
        <v>175</v>
      </c>
      <c r="BO48" s="136" t="s">
        <v>736</v>
      </c>
      <c r="BP48" s="137" t="s">
        <v>175</v>
      </c>
      <c r="BQ48" s="137" t="s">
        <v>175</v>
      </c>
      <c r="BR48" s="137" t="s">
        <v>175</v>
      </c>
      <c r="BS48" s="137" t="s">
        <v>175</v>
      </c>
      <c r="BT48" s="138">
        <f t="shared" si="8"/>
        <v>-2.997790094</v>
      </c>
      <c r="BU48" s="138">
        <f t="shared" si="9"/>
        <v>0.54221766846903829</v>
      </c>
      <c r="BV48" s="138">
        <f t="shared" si="10"/>
        <v>0.54221766846903829</v>
      </c>
      <c r="BW48" s="53" t="s">
        <v>175</v>
      </c>
      <c r="BX48" s="53" t="s">
        <v>175</v>
      </c>
      <c r="BY48" s="53" t="s">
        <v>175</v>
      </c>
      <c r="BZ48" s="53" t="s">
        <v>175</v>
      </c>
      <c r="CA48" s="147">
        <v>2</v>
      </c>
      <c r="CB48" s="54">
        <v>0</v>
      </c>
    </row>
    <row r="49" spans="1:87" ht="17">
      <c r="A49" s="123" t="s">
        <v>272</v>
      </c>
      <c r="B49" s="124" t="s">
        <v>266</v>
      </c>
      <c r="C49" s="148" t="s">
        <v>674</v>
      </c>
      <c r="D49" s="125" t="s">
        <v>167</v>
      </c>
      <c r="E49" s="150">
        <v>22.484488600999999</v>
      </c>
      <c r="F49" s="150">
        <v>114.058729855</v>
      </c>
      <c r="G49" s="128" t="s">
        <v>168</v>
      </c>
      <c r="H49" s="151">
        <v>3236.4695042613307</v>
      </c>
      <c r="I49" s="151">
        <v>145.71726399617734</v>
      </c>
      <c r="J49" s="151">
        <v>3461</v>
      </c>
      <c r="K49" s="151">
        <v>373</v>
      </c>
      <c r="L49" s="151">
        <v>385</v>
      </c>
      <c r="M49" s="130" t="s">
        <v>262</v>
      </c>
      <c r="N49" s="149" t="s">
        <v>735</v>
      </c>
      <c r="O49" s="130" t="s">
        <v>175</v>
      </c>
      <c r="P49" s="155" t="s">
        <v>175</v>
      </c>
      <c r="Q49" s="155" t="s">
        <v>175</v>
      </c>
      <c r="R49" s="156" t="s">
        <v>175</v>
      </c>
      <c r="S49" s="156" t="s">
        <v>175</v>
      </c>
      <c r="T49" s="130">
        <v>1</v>
      </c>
      <c r="U49" s="132" t="s">
        <v>173</v>
      </c>
      <c r="V49" s="133">
        <v>0.1</v>
      </c>
      <c r="W49" s="132" t="s">
        <v>174</v>
      </c>
      <c r="X49" s="133">
        <v>0.1</v>
      </c>
      <c r="Y49" s="133">
        <v>0.05</v>
      </c>
      <c r="Z49" s="133">
        <v>0.01</v>
      </c>
      <c r="AA49" s="133">
        <v>0.15</v>
      </c>
      <c r="AB49" s="133">
        <v>0.2</v>
      </c>
      <c r="AC49" s="134">
        <v>0</v>
      </c>
      <c r="AD49" s="134">
        <v>0</v>
      </c>
      <c r="AE49" s="134">
        <v>0.03</v>
      </c>
      <c r="AF49" s="134">
        <v>0</v>
      </c>
      <c r="AG49" s="134">
        <v>0.1</v>
      </c>
      <c r="AH49" s="134">
        <v>0</v>
      </c>
      <c r="AI49" s="134">
        <v>0</v>
      </c>
      <c r="AJ49" s="134">
        <v>0</v>
      </c>
      <c r="AK49" s="134" t="s">
        <v>175</v>
      </c>
      <c r="AL49" s="122" t="s">
        <v>175</v>
      </c>
      <c r="AM49" s="122">
        <v>1.6100000000000003</v>
      </c>
      <c r="AN49" s="134" t="s">
        <v>176</v>
      </c>
      <c r="AO49" s="122" t="s">
        <v>177</v>
      </c>
      <c r="AP49" s="135">
        <f t="shared" si="23"/>
        <v>0.27568097504180444</v>
      </c>
      <c r="AQ49" s="135">
        <f t="shared" si="24"/>
        <v>0.27568097504180444</v>
      </c>
      <c r="AR49" s="117">
        <v>-1.5178190819999999</v>
      </c>
      <c r="AS49" s="117">
        <v>0</v>
      </c>
      <c r="AT49" s="117">
        <v>0</v>
      </c>
      <c r="AU49" s="117">
        <v>-1.0008817560000001</v>
      </c>
      <c r="AV49" s="117">
        <v>-0.759350419</v>
      </c>
      <c r="AW49" s="117">
        <v>-5.7250699999999996E-3</v>
      </c>
      <c r="AX49" s="117">
        <v>0.72290027899999998</v>
      </c>
      <c r="AY49" s="117">
        <v>1.0144316170000001</v>
      </c>
      <c r="AZ49" s="117">
        <v>0</v>
      </c>
      <c r="BA49" s="117">
        <v>0</v>
      </c>
      <c r="BB49" s="117">
        <v>1.5974942910000001</v>
      </c>
      <c r="BC49" s="136" t="str">
        <f t="shared" si="3"/>
        <v xml:space="preserve">-1 </v>
      </c>
      <c r="BD49" s="136" t="s">
        <v>178</v>
      </c>
      <c r="BE49" s="136" t="s">
        <v>689</v>
      </c>
      <c r="BF49" s="136" t="s">
        <v>263</v>
      </c>
      <c r="BG49" s="120" t="s">
        <v>665</v>
      </c>
      <c r="BH49" s="136" t="str">
        <f t="shared" si="12"/>
        <v>&lt;HAT</v>
      </c>
      <c r="BI49" s="136">
        <f t="shared" si="13"/>
        <v>1.5974942910000001</v>
      </c>
      <c r="BJ49" s="136" t="str">
        <f t="shared" si="21"/>
        <v>Nil</v>
      </c>
      <c r="BK49" s="136">
        <f t="shared" si="22"/>
        <v>0.18</v>
      </c>
      <c r="BL49" s="136" t="s">
        <v>736</v>
      </c>
      <c r="BM49" s="136" t="s">
        <v>175</v>
      </c>
      <c r="BN49" s="136" t="s">
        <v>175</v>
      </c>
      <c r="BO49" s="136" t="s">
        <v>736</v>
      </c>
      <c r="BP49" s="137" t="s">
        <v>175</v>
      </c>
      <c r="BQ49" s="137" t="s">
        <v>175</v>
      </c>
      <c r="BR49" s="137" t="s">
        <v>175</v>
      </c>
      <c r="BS49" s="137" t="s">
        <v>175</v>
      </c>
      <c r="BT49" s="138">
        <f t="shared" si="8"/>
        <v>1.2505709000000254E-2</v>
      </c>
      <c r="BU49" s="138">
        <f t="shared" si="9"/>
        <v>0.32924155266308658</v>
      </c>
      <c r="BV49" s="138">
        <f t="shared" si="10"/>
        <v>0.32924155266308658</v>
      </c>
      <c r="BW49" s="53" t="s">
        <v>175</v>
      </c>
      <c r="BX49" s="53" t="s">
        <v>175</v>
      </c>
      <c r="BY49" s="53" t="s">
        <v>175</v>
      </c>
      <c r="BZ49" s="53" t="s">
        <v>175</v>
      </c>
      <c r="CA49" s="147">
        <v>2</v>
      </c>
      <c r="CB49" s="54">
        <v>0</v>
      </c>
    </row>
    <row r="50" spans="1:87" ht="17">
      <c r="A50" s="123" t="s">
        <v>271</v>
      </c>
      <c r="B50" s="124" t="s">
        <v>266</v>
      </c>
      <c r="C50" s="148" t="s">
        <v>674</v>
      </c>
      <c r="D50" s="125" t="s">
        <v>167</v>
      </c>
      <c r="E50" s="150">
        <v>22.476359918</v>
      </c>
      <c r="F50" s="150">
        <v>114.05693913099999</v>
      </c>
      <c r="G50" s="128" t="s">
        <v>168</v>
      </c>
      <c r="H50" s="151">
        <v>3176.4695042613316</v>
      </c>
      <c r="I50" s="151">
        <v>149.02523620693148</v>
      </c>
      <c r="J50" s="151">
        <v>3383</v>
      </c>
      <c r="K50" s="151">
        <v>437</v>
      </c>
      <c r="L50" s="151">
        <v>417</v>
      </c>
      <c r="M50" s="130" t="s">
        <v>262</v>
      </c>
      <c r="N50" s="149" t="s">
        <v>735</v>
      </c>
      <c r="O50" s="130" t="s">
        <v>175</v>
      </c>
      <c r="P50" s="155" t="s">
        <v>175</v>
      </c>
      <c r="Q50" s="155" t="s">
        <v>175</v>
      </c>
      <c r="R50" s="156" t="s">
        <v>175</v>
      </c>
      <c r="S50" s="156" t="s">
        <v>175</v>
      </c>
      <c r="T50" s="130">
        <v>1</v>
      </c>
      <c r="U50" s="132" t="s">
        <v>173</v>
      </c>
      <c r="V50" s="133">
        <v>0.1</v>
      </c>
      <c r="W50" s="132" t="s">
        <v>174</v>
      </c>
      <c r="X50" s="133">
        <v>0.1</v>
      </c>
      <c r="Y50" s="133">
        <v>0.05</v>
      </c>
      <c r="Z50" s="133">
        <v>0.01</v>
      </c>
      <c r="AA50" s="133">
        <v>0.15</v>
      </c>
      <c r="AB50" s="133">
        <v>0.2</v>
      </c>
      <c r="AC50" s="134">
        <v>0</v>
      </c>
      <c r="AD50" s="134">
        <v>0</v>
      </c>
      <c r="AE50" s="134">
        <v>0.03</v>
      </c>
      <c r="AF50" s="134">
        <v>0</v>
      </c>
      <c r="AG50" s="134">
        <v>0.1</v>
      </c>
      <c r="AH50" s="134">
        <v>0</v>
      </c>
      <c r="AI50" s="134">
        <v>0</v>
      </c>
      <c r="AJ50" s="134">
        <v>0</v>
      </c>
      <c r="AK50" s="134" t="s">
        <v>175</v>
      </c>
      <c r="AL50" s="122" t="s">
        <v>175</v>
      </c>
      <c r="AM50" s="122">
        <v>1.62</v>
      </c>
      <c r="AN50" s="134" t="s">
        <v>176</v>
      </c>
      <c r="AO50" s="122" t="s">
        <v>177</v>
      </c>
      <c r="AP50" s="135">
        <f t="shared" si="23"/>
        <v>0.27568097504180444</v>
      </c>
      <c r="AQ50" s="135">
        <f t="shared" si="24"/>
        <v>0.27568097504180444</v>
      </c>
      <c r="AR50" s="117">
        <v>-1.553499073</v>
      </c>
      <c r="AS50" s="117">
        <v>0</v>
      </c>
      <c r="AT50" s="117">
        <v>0</v>
      </c>
      <c r="AU50" s="117">
        <v>-1.0185083399999999</v>
      </c>
      <c r="AV50" s="117">
        <v>-0.751012974</v>
      </c>
      <c r="AW50" s="117">
        <v>-1.1625231999999999E-2</v>
      </c>
      <c r="AX50" s="117">
        <v>0.71151019400000004</v>
      </c>
      <c r="AY50" s="117">
        <v>1.011510194</v>
      </c>
      <c r="AZ50" s="117">
        <v>0</v>
      </c>
      <c r="BA50" s="117">
        <v>0</v>
      </c>
      <c r="BB50" s="117">
        <v>1.6465009269999999</v>
      </c>
      <c r="BC50" s="136" t="str">
        <f t="shared" si="3"/>
        <v xml:space="preserve">-1 </v>
      </c>
      <c r="BD50" s="136" t="s">
        <v>178</v>
      </c>
      <c r="BE50" s="136" t="s">
        <v>689</v>
      </c>
      <c r="BF50" s="136" t="s">
        <v>263</v>
      </c>
      <c r="BG50" s="120" t="s">
        <v>665</v>
      </c>
      <c r="BH50" s="136" t="str">
        <f t="shared" si="12"/>
        <v>&lt;HAT</v>
      </c>
      <c r="BI50" s="136">
        <f t="shared" si="13"/>
        <v>1.6465009269999999</v>
      </c>
      <c r="BJ50" s="136" t="str">
        <f t="shared" si="21"/>
        <v>Nil</v>
      </c>
      <c r="BK50" s="136">
        <f t="shared" si="22"/>
        <v>0.18</v>
      </c>
      <c r="BL50" s="136" t="s">
        <v>736</v>
      </c>
      <c r="BM50" s="136" t="s">
        <v>175</v>
      </c>
      <c r="BN50" s="136" t="s">
        <v>175</v>
      </c>
      <c r="BO50" s="136" t="s">
        <v>736</v>
      </c>
      <c r="BP50" s="137" t="s">
        <v>175</v>
      </c>
      <c r="BQ50" s="137" t="s">
        <v>175</v>
      </c>
      <c r="BR50" s="137" t="s">
        <v>175</v>
      </c>
      <c r="BS50" s="137" t="s">
        <v>175</v>
      </c>
      <c r="BT50" s="138">
        <f t="shared" si="8"/>
        <v>-2.6500926999999841E-2</v>
      </c>
      <c r="BU50" s="138">
        <f t="shared" si="9"/>
        <v>0.32924155266308658</v>
      </c>
      <c r="BV50" s="138">
        <f t="shared" si="10"/>
        <v>0.32924155266308658</v>
      </c>
      <c r="BW50" s="53" t="s">
        <v>175</v>
      </c>
      <c r="BX50" s="53" t="s">
        <v>175</v>
      </c>
      <c r="BY50" s="53" t="s">
        <v>175</v>
      </c>
      <c r="BZ50" s="53" t="s">
        <v>175</v>
      </c>
      <c r="CA50" s="147">
        <v>2</v>
      </c>
      <c r="CB50" s="54">
        <v>0</v>
      </c>
    </row>
    <row r="51" spans="1:87" ht="17">
      <c r="A51" s="123" t="s">
        <v>277</v>
      </c>
      <c r="B51" s="124" t="s">
        <v>266</v>
      </c>
      <c r="C51" s="148" t="s">
        <v>674</v>
      </c>
      <c r="D51" s="125" t="s">
        <v>167</v>
      </c>
      <c r="E51" s="150">
        <v>22.473921528999998</v>
      </c>
      <c r="F51" s="150">
        <v>114.056698313</v>
      </c>
      <c r="G51" s="128" t="s">
        <v>168</v>
      </c>
      <c r="H51" s="151">
        <v>6635.3589885814699</v>
      </c>
      <c r="I51" s="151">
        <v>130.20641872353443</v>
      </c>
      <c r="J51" s="151">
        <v>7514</v>
      </c>
      <c r="K51" s="151">
        <v>209</v>
      </c>
      <c r="L51" s="151">
        <v>245</v>
      </c>
      <c r="M51" s="130" t="s">
        <v>262</v>
      </c>
      <c r="N51" s="130" t="s">
        <v>268</v>
      </c>
      <c r="O51" s="130" t="s">
        <v>175</v>
      </c>
      <c r="P51" s="155" t="s">
        <v>175</v>
      </c>
      <c r="Q51" s="155" t="s">
        <v>175</v>
      </c>
      <c r="R51" s="156" t="s">
        <v>175</v>
      </c>
      <c r="S51" s="156" t="s">
        <v>175</v>
      </c>
      <c r="T51" s="130">
        <v>1</v>
      </c>
      <c r="U51" s="132" t="s">
        <v>173</v>
      </c>
      <c r="V51" s="133">
        <v>0.1</v>
      </c>
      <c r="W51" s="132" t="s">
        <v>174</v>
      </c>
      <c r="X51" s="133">
        <v>0.1</v>
      </c>
      <c r="Y51" s="133">
        <v>0.05</v>
      </c>
      <c r="Z51" s="133">
        <v>0.01</v>
      </c>
      <c r="AA51" s="133">
        <v>0.15</v>
      </c>
      <c r="AB51" s="133">
        <v>0.2</v>
      </c>
      <c r="AC51" s="134">
        <v>0</v>
      </c>
      <c r="AD51" s="134">
        <v>0</v>
      </c>
      <c r="AE51" s="134">
        <v>0.03</v>
      </c>
      <c r="AF51" s="134">
        <v>0</v>
      </c>
      <c r="AG51" s="134">
        <v>0.1</v>
      </c>
      <c r="AH51" s="134">
        <v>0</v>
      </c>
      <c r="AI51" s="134">
        <v>0</v>
      </c>
      <c r="AJ51" s="134">
        <v>0</v>
      </c>
      <c r="AK51" s="134" t="s">
        <v>175</v>
      </c>
      <c r="AL51" s="122" t="s">
        <v>175</v>
      </c>
      <c r="AM51" s="122">
        <v>0.42000000000000004</v>
      </c>
      <c r="AN51" s="134" t="s">
        <v>176</v>
      </c>
      <c r="AO51" s="122" t="s">
        <v>177</v>
      </c>
      <c r="AP51" s="135">
        <f t="shared" si="23"/>
        <v>0.27568097504180444</v>
      </c>
      <c r="AQ51" s="135">
        <f t="shared" si="24"/>
        <v>0.27568097504180444</v>
      </c>
      <c r="AR51" s="117">
        <v>-1.5536235540000001</v>
      </c>
      <c r="AS51" s="117">
        <v>0</v>
      </c>
      <c r="AT51" s="117">
        <v>0</v>
      </c>
      <c r="AU51" s="117">
        <v>-1.017388011</v>
      </c>
      <c r="AV51" s="117">
        <v>-0.749270239</v>
      </c>
      <c r="AW51" s="117">
        <v>-1.1594111000000001E-2</v>
      </c>
      <c r="AX51" s="117">
        <v>0.71014090200000002</v>
      </c>
      <c r="AY51" s="117">
        <v>1.0101409020000001</v>
      </c>
      <c r="AZ51" s="117">
        <v>0</v>
      </c>
      <c r="BA51" s="117">
        <v>0</v>
      </c>
      <c r="BB51" s="117">
        <v>1.6463764460000001</v>
      </c>
      <c r="BC51" s="136" t="str">
        <f t="shared" si="3"/>
        <v xml:space="preserve">-1 </v>
      </c>
      <c r="BD51" s="136" t="s">
        <v>178</v>
      </c>
      <c r="BE51" s="136" t="s">
        <v>689</v>
      </c>
      <c r="BF51" s="136" t="s">
        <v>263</v>
      </c>
      <c r="BG51" s="120" t="s">
        <v>665</v>
      </c>
      <c r="BH51" s="136" t="str">
        <f t="shared" si="12"/>
        <v>&lt;HAT</v>
      </c>
      <c r="BI51" s="136">
        <f t="shared" si="13"/>
        <v>1.6463764460000001</v>
      </c>
      <c r="BJ51" s="136" t="str">
        <f t="shared" si="21"/>
        <v>Nil</v>
      </c>
      <c r="BK51" s="136">
        <f t="shared" si="22"/>
        <v>0.18</v>
      </c>
      <c r="BL51" s="136" t="s">
        <v>736</v>
      </c>
      <c r="BM51" s="136" t="s">
        <v>175</v>
      </c>
      <c r="BN51" s="136" t="s">
        <v>175</v>
      </c>
      <c r="BO51" s="136" t="s">
        <v>736</v>
      </c>
      <c r="BP51" s="137" t="s">
        <v>175</v>
      </c>
      <c r="BQ51" s="137" t="s">
        <v>175</v>
      </c>
      <c r="BR51" s="137" t="s">
        <v>175</v>
      </c>
      <c r="BS51" s="137" t="s">
        <v>175</v>
      </c>
      <c r="BT51" s="138">
        <f t="shared" si="8"/>
        <v>-1.2263764460000002</v>
      </c>
      <c r="BU51" s="138">
        <f t="shared" si="9"/>
        <v>0.32924155266308658</v>
      </c>
      <c r="BV51" s="138">
        <f t="shared" si="10"/>
        <v>0.32924155266308658</v>
      </c>
      <c r="BW51" s="53" t="s">
        <v>175</v>
      </c>
      <c r="BX51" s="53" t="s">
        <v>175</v>
      </c>
      <c r="BY51" s="53" t="s">
        <v>175</v>
      </c>
      <c r="BZ51" s="53" t="s">
        <v>175</v>
      </c>
      <c r="CA51" s="147">
        <v>2</v>
      </c>
      <c r="CB51" s="54">
        <v>0</v>
      </c>
    </row>
    <row r="52" spans="1:87">
      <c r="A52" s="123" t="s">
        <v>519</v>
      </c>
      <c r="B52" s="124" t="s">
        <v>733</v>
      </c>
      <c r="C52" s="148" t="s">
        <v>674</v>
      </c>
      <c r="D52" s="125" t="s">
        <v>167</v>
      </c>
      <c r="E52" s="127">
        <v>22.52</v>
      </c>
      <c r="F52" s="127">
        <v>114.053333333</v>
      </c>
      <c r="G52" s="128" t="s">
        <v>168</v>
      </c>
      <c r="H52" s="129">
        <v>5920.6818647162499</v>
      </c>
      <c r="I52" s="129">
        <v>167.1019066438202</v>
      </c>
      <c r="J52" s="129">
        <v>6149</v>
      </c>
      <c r="K52" s="129">
        <v>419</v>
      </c>
      <c r="L52" s="129">
        <v>425</v>
      </c>
      <c r="M52" s="130" t="s">
        <v>467</v>
      </c>
      <c r="N52" s="130" t="s">
        <v>339</v>
      </c>
      <c r="O52" s="130" t="s">
        <v>393</v>
      </c>
      <c r="P52" s="130" t="s">
        <v>472</v>
      </c>
      <c r="Q52" s="130" t="s">
        <v>172</v>
      </c>
      <c r="R52" s="131">
        <v>6.9</v>
      </c>
      <c r="S52" s="131">
        <v>0.2</v>
      </c>
      <c r="T52" s="130">
        <v>1</v>
      </c>
      <c r="U52" s="132" t="s">
        <v>173</v>
      </c>
      <c r="V52" s="133">
        <v>0.1</v>
      </c>
      <c r="W52" s="132" t="s">
        <v>174</v>
      </c>
      <c r="X52" s="133">
        <v>0.1</v>
      </c>
      <c r="Y52" s="133">
        <v>0.05</v>
      </c>
      <c r="Z52" s="133">
        <v>0.01</v>
      </c>
      <c r="AA52" s="133">
        <v>0.15</v>
      </c>
      <c r="AB52" s="133">
        <f t="shared" ref="AB52:AB59" si="25">0.02*R52</f>
        <v>0.13800000000000001</v>
      </c>
      <c r="AC52" s="134">
        <v>0</v>
      </c>
      <c r="AD52" s="134">
        <v>0</v>
      </c>
      <c r="AE52" s="134">
        <v>0.5</v>
      </c>
      <c r="AF52" s="134">
        <v>0</v>
      </c>
      <c r="AG52" s="134">
        <v>0.1</v>
      </c>
      <c r="AH52" s="134">
        <v>0</v>
      </c>
      <c r="AI52" s="134">
        <v>0</v>
      </c>
      <c r="AJ52" s="134">
        <v>0</v>
      </c>
      <c r="AK52" s="134" t="s">
        <v>175</v>
      </c>
      <c r="AL52" s="122" t="s">
        <v>175</v>
      </c>
      <c r="AM52" s="122">
        <v>-5.2</v>
      </c>
      <c r="AN52" s="134" t="s">
        <v>176</v>
      </c>
      <c r="AO52" s="134" t="s">
        <v>177</v>
      </c>
      <c r="AP52" s="135">
        <f t="shared" si="23"/>
        <v>0.55149252034819118</v>
      </c>
      <c r="AQ52" s="135">
        <f t="shared" si="24"/>
        <v>0.55149252034819118</v>
      </c>
      <c r="AR52" s="117">
        <v>-1.518973283</v>
      </c>
      <c r="AS52" s="117">
        <v>0</v>
      </c>
      <c r="AT52" s="117">
        <v>0</v>
      </c>
      <c r="AU52" s="117">
        <v>-1.0026434319999999</v>
      </c>
      <c r="AV52" s="117">
        <v>-0.76080835700000005</v>
      </c>
      <c r="AW52" s="117">
        <v>-5.9680599999999999E-3</v>
      </c>
      <c r="AX52" s="117">
        <v>0.723872238</v>
      </c>
      <c r="AY52" s="117">
        <v>1.0157073130000001</v>
      </c>
      <c r="AZ52" s="117">
        <v>0</v>
      </c>
      <c r="BA52" s="117">
        <v>0</v>
      </c>
      <c r="BB52" s="117">
        <v>1.693366529</v>
      </c>
      <c r="BC52" s="136" t="str">
        <f t="shared" si="3"/>
        <v>-1</v>
      </c>
      <c r="BD52" s="136" t="s">
        <v>178</v>
      </c>
      <c r="BE52" s="136" t="s">
        <v>518</v>
      </c>
      <c r="BF52" s="136" t="s">
        <v>292</v>
      </c>
      <c r="BG52" s="120" t="s">
        <v>678</v>
      </c>
      <c r="BH52" s="136" t="str">
        <f t="shared" si="12"/>
        <v>&lt;MTL</v>
      </c>
      <c r="BI52" s="136">
        <f t="shared" si="13"/>
        <v>-5.9680599999999999E-3</v>
      </c>
      <c r="BJ52" s="136" t="str">
        <f t="shared" si="21"/>
        <v>Nil</v>
      </c>
      <c r="BK52" s="136">
        <f t="shared" si="22"/>
        <v>0.05</v>
      </c>
      <c r="BL52" s="136" t="s">
        <v>736</v>
      </c>
      <c r="BM52" s="136" t="s">
        <v>175</v>
      </c>
      <c r="BN52" s="136" t="s">
        <v>175</v>
      </c>
      <c r="BO52" s="136" t="s">
        <v>736</v>
      </c>
      <c r="BP52" s="137" t="s">
        <v>175</v>
      </c>
      <c r="BQ52" s="137" t="s">
        <v>175</v>
      </c>
      <c r="BR52" s="137" t="s">
        <v>175</v>
      </c>
      <c r="BS52" s="137" t="s">
        <v>175</v>
      </c>
      <c r="BT52" s="138">
        <f t="shared" si="8"/>
        <v>-5.1940319400000003</v>
      </c>
      <c r="BU52" s="138">
        <f t="shared" si="9"/>
        <v>0.55375445822133129</v>
      </c>
      <c r="BV52" s="138">
        <f t="shared" si="10"/>
        <v>0.55375445822133129</v>
      </c>
      <c r="BW52" s="53" t="s">
        <v>175</v>
      </c>
      <c r="BX52" s="53" t="s">
        <v>175</v>
      </c>
      <c r="BY52" s="53" t="s">
        <v>175</v>
      </c>
      <c r="BZ52" s="53" t="s">
        <v>175</v>
      </c>
      <c r="CA52" s="147">
        <v>2</v>
      </c>
      <c r="CB52" s="54">
        <v>0</v>
      </c>
    </row>
    <row r="53" spans="1:87">
      <c r="A53" s="123" t="s">
        <v>211</v>
      </c>
      <c r="B53" s="124" t="s">
        <v>212</v>
      </c>
      <c r="C53" s="148" t="s">
        <v>674</v>
      </c>
      <c r="D53" s="125" t="s">
        <v>167</v>
      </c>
      <c r="E53" s="150">
        <v>22.158555</v>
      </c>
      <c r="F53" s="150">
        <v>114.05078399999999</v>
      </c>
      <c r="G53" s="128" t="s">
        <v>168</v>
      </c>
      <c r="H53" s="151">
        <v>4340.681864716249</v>
      </c>
      <c r="I53" s="151">
        <v>449.04402418176443</v>
      </c>
      <c r="J53" s="151">
        <v>4290</v>
      </c>
      <c r="K53" s="151">
        <v>1141</v>
      </c>
      <c r="L53" s="151">
        <v>1114</v>
      </c>
      <c r="M53" s="130" t="s">
        <v>213</v>
      </c>
      <c r="N53" s="130" t="s">
        <v>339</v>
      </c>
      <c r="O53" s="130" t="s">
        <v>213</v>
      </c>
      <c r="P53" s="130" t="s">
        <v>214</v>
      </c>
      <c r="Q53" s="130" t="s">
        <v>172</v>
      </c>
      <c r="R53" s="131">
        <v>3.29</v>
      </c>
      <c r="S53" s="112" t="s">
        <v>215</v>
      </c>
      <c r="T53" s="130">
        <v>1</v>
      </c>
      <c r="U53" s="132" t="s">
        <v>173</v>
      </c>
      <c r="V53" s="133">
        <v>0.01</v>
      </c>
      <c r="W53" s="132" t="s">
        <v>174</v>
      </c>
      <c r="X53" s="133">
        <v>0.01</v>
      </c>
      <c r="Y53" s="133">
        <v>5.0000000000000001E-3</v>
      </c>
      <c r="Z53" s="133">
        <v>0.01</v>
      </c>
      <c r="AA53" s="133">
        <v>0.15</v>
      </c>
      <c r="AB53" s="133">
        <f t="shared" si="25"/>
        <v>6.5799999999999997E-2</v>
      </c>
      <c r="AC53" s="134">
        <v>0</v>
      </c>
      <c r="AD53" s="134">
        <v>0</v>
      </c>
      <c r="AE53" s="134">
        <v>0.03</v>
      </c>
      <c r="AF53" s="134">
        <v>0</v>
      </c>
      <c r="AG53" s="134">
        <v>0.1</v>
      </c>
      <c r="AH53" s="134">
        <v>0</v>
      </c>
      <c r="AI53" s="134">
        <v>0</v>
      </c>
      <c r="AJ53" s="134">
        <v>0</v>
      </c>
      <c r="AK53" s="134" t="s">
        <v>175</v>
      </c>
      <c r="AL53" s="122" t="s">
        <v>175</v>
      </c>
      <c r="AM53" s="122">
        <v>-22.479999999999997</v>
      </c>
      <c r="AN53" s="134" t="s">
        <v>176</v>
      </c>
      <c r="AO53" s="122" t="s">
        <v>177</v>
      </c>
      <c r="AP53" s="135">
        <f t="shared" si="23"/>
        <v>0.19456268912615288</v>
      </c>
      <c r="AQ53" s="135">
        <f t="shared" si="24"/>
        <v>0.19456268912615288</v>
      </c>
      <c r="AR53" s="117">
        <v>-1.1729948750000001</v>
      </c>
      <c r="AS53" s="117">
        <v>0</v>
      </c>
      <c r="AT53" s="117">
        <v>0</v>
      </c>
      <c r="AU53" s="117">
        <v>-0.80802050000000003</v>
      </c>
      <c r="AV53" s="117">
        <v>-0.44050768800000001</v>
      </c>
      <c r="AW53" s="117">
        <v>2.005125E-3</v>
      </c>
      <c r="AX53" s="117">
        <v>0.39451793800000001</v>
      </c>
      <c r="AY53" s="117">
        <v>0.86203074999999996</v>
      </c>
      <c r="AZ53" s="117">
        <v>0</v>
      </c>
      <c r="BA53" s="117">
        <v>0</v>
      </c>
      <c r="BB53" s="117">
        <v>1.227005125</v>
      </c>
      <c r="BC53" s="136" t="str">
        <f t="shared" si="3"/>
        <v>-1</v>
      </c>
      <c r="BD53" s="136" t="s">
        <v>178</v>
      </c>
      <c r="BE53" s="136" t="s">
        <v>702</v>
      </c>
      <c r="BF53" s="136" t="s">
        <v>216</v>
      </c>
      <c r="BG53" s="120" t="s">
        <v>678</v>
      </c>
      <c r="BH53" s="136" t="str">
        <f t="shared" si="12"/>
        <v>&lt;MTL</v>
      </c>
      <c r="BI53" s="136">
        <f t="shared" si="13"/>
        <v>2.005125E-3</v>
      </c>
      <c r="BJ53" s="136" t="str">
        <f t="shared" si="21"/>
        <v>Nil</v>
      </c>
      <c r="BK53" s="136">
        <f t="shared" si="22"/>
        <v>0.05</v>
      </c>
      <c r="BL53" s="136" t="s">
        <v>736</v>
      </c>
      <c r="BM53" s="136" t="s">
        <v>175</v>
      </c>
      <c r="BN53" s="136" t="s">
        <v>175</v>
      </c>
      <c r="BO53" s="136" t="s">
        <v>736</v>
      </c>
      <c r="BP53" s="137" t="s">
        <v>175</v>
      </c>
      <c r="BQ53" s="137" t="s">
        <v>175</v>
      </c>
      <c r="BR53" s="137" t="s">
        <v>175</v>
      </c>
      <c r="BS53" s="137" t="s">
        <v>175</v>
      </c>
      <c r="BT53" s="138">
        <f t="shared" si="8"/>
        <v>-22.482005124999997</v>
      </c>
      <c r="BU53" s="138">
        <f t="shared" si="9"/>
        <v>0.20088464351463009</v>
      </c>
      <c r="BV53" s="138">
        <f t="shared" si="10"/>
        <v>0.20088464351463009</v>
      </c>
      <c r="BW53" s="53" t="s">
        <v>175</v>
      </c>
      <c r="BX53" s="53" t="s">
        <v>175</v>
      </c>
      <c r="BY53" s="53" t="s">
        <v>175</v>
      </c>
      <c r="BZ53" s="53" t="s">
        <v>175</v>
      </c>
      <c r="CA53" s="147">
        <v>2</v>
      </c>
      <c r="CB53" s="54">
        <v>0</v>
      </c>
      <c r="CG53" s="116"/>
    </row>
    <row r="54" spans="1:87">
      <c r="A54" s="123" t="s">
        <v>217</v>
      </c>
      <c r="B54" s="124" t="s">
        <v>212</v>
      </c>
      <c r="C54" s="148" t="s">
        <v>674</v>
      </c>
      <c r="D54" s="125" t="s">
        <v>167</v>
      </c>
      <c r="E54" s="150">
        <v>22.158555</v>
      </c>
      <c r="F54" s="150">
        <v>114.05078399999999</v>
      </c>
      <c r="G54" s="128" t="s">
        <v>168</v>
      </c>
      <c r="H54" s="151">
        <v>8230.681864716249</v>
      </c>
      <c r="I54" s="151">
        <v>454.98959950020071</v>
      </c>
      <c r="J54" s="151">
        <v>8632</v>
      </c>
      <c r="K54" s="151">
        <v>1075</v>
      </c>
      <c r="L54" s="151">
        <v>1048</v>
      </c>
      <c r="M54" s="130" t="s">
        <v>214</v>
      </c>
      <c r="N54" s="130" t="s">
        <v>339</v>
      </c>
      <c r="O54" s="130" t="s">
        <v>213</v>
      </c>
      <c r="P54" s="130" t="s">
        <v>218</v>
      </c>
      <c r="Q54" s="130" t="s">
        <v>172</v>
      </c>
      <c r="R54" s="131">
        <v>6.12</v>
      </c>
      <c r="S54" s="112" t="s">
        <v>219</v>
      </c>
      <c r="T54" s="130">
        <v>1</v>
      </c>
      <c r="U54" s="132" t="s">
        <v>173</v>
      </c>
      <c r="V54" s="133">
        <v>0.01</v>
      </c>
      <c r="W54" s="132" t="s">
        <v>174</v>
      </c>
      <c r="X54" s="133">
        <v>0.01</v>
      </c>
      <c r="Y54" s="133">
        <v>5.0000000000000001E-3</v>
      </c>
      <c r="Z54" s="133">
        <v>0.01</v>
      </c>
      <c r="AA54" s="133">
        <v>0.15</v>
      </c>
      <c r="AB54" s="133">
        <f t="shared" si="25"/>
        <v>0.12240000000000001</v>
      </c>
      <c r="AC54" s="134">
        <v>0</v>
      </c>
      <c r="AD54" s="134">
        <v>0</v>
      </c>
      <c r="AE54" s="134">
        <v>0.03</v>
      </c>
      <c r="AF54" s="134">
        <v>0</v>
      </c>
      <c r="AG54" s="134">
        <v>0.1</v>
      </c>
      <c r="AH54" s="134">
        <v>0</v>
      </c>
      <c r="AI54" s="134">
        <v>0</v>
      </c>
      <c r="AJ54" s="134">
        <v>0</v>
      </c>
      <c r="AK54" s="134" t="s">
        <v>175</v>
      </c>
      <c r="AL54" s="122" t="s">
        <v>175</v>
      </c>
      <c r="AM54" s="122">
        <v>-25.31</v>
      </c>
      <c r="AN54" s="134" t="s">
        <v>176</v>
      </c>
      <c r="AO54" s="122" t="s">
        <v>177</v>
      </c>
      <c r="AP54" s="135">
        <f t="shared" si="23"/>
        <v>0.22024250271008092</v>
      </c>
      <c r="AQ54" s="135">
        <f t="shared" si="24"/>
        <v>0.22024250271008092</v>
      </c>
      <c r="AR54" s="117">
        <v>-1.1729948750000001</v>
      </c>
      <c r="AS54" s="117">
        <v>0</v>
      </c>
      <c r="AT54" s="117">
        <v>0</v>
      </c>
      <c r="AU54" s="117">
        <v>-0.80802050000000003</v>
      </c>
      <c r="AV54" s="117">
        <v>-0.44050768800000001</v>
      </c>
      <c r="AW54" s="117">
        <v>2.005125E-3</v>
      </c>
      <c r="AX54" s="117">
        <v>0.39451793800000001</v>
      </c>
      <c r="AY54" s="117">
        <v>0.86203074999999996</v>
      </c>
      <c r="AZ54" s="117">
        <v>0</v>
      </c>
      <c r="BA54" s="117">
        <v>0</v>
      </c>
      <c r="BB54" s="117">
        <v>1.227005125</v>
      </c>
      <c r="BC54" s="136" t="str">
        <f t="shared" si="3"/>
        <v xml:space="preserve">-1 </v>
      </c>
      <c r="BD54" s="136" t="s">
        <v>178</v>
      </c>
      <c r="BE54" s="136" t="s">
        <v>705</v>
      </c>
      <c r="BF54" s="136" t="s">
        <v>220</v>
      </c>
      <c r="BG54" s="120" t="s">
        <v>662</v>
      </c>
      <c r="BH54" s="136" t="str">
        <f t="shared" si="12"/>
        <v>&lt;HAT</v>
      </c>
      <c r="BI54" s="136">
        <f t="shared" si="13"/>
        <v>1.227005125</v>
      </c>
      <c r="BJ54" s="136" t="str">
        <f t="shared" si="21"/>
        <v>Nil</v>
      </c>
      <c r="BK54" s="136">
        <f t="shared" si="22"/>
        <v>0.18</v>
      </c>
      <c r="BL54" s="136" t="s">
        <v>736</v>
      </c>
      <c r="BM54" s="136" t="s">
        <v>175</v>
      </c>
      <c r="BN54" s="136" t="s">
        <v>175</v>
      </c>
      <c r="BO54" s="136" t="s">
        <v>736</v>
      </c>
      <c r="BP54" s="137" t="s">
        <v>175</v>
      </c>
      <c r="BQ54" s="137" t="s">
        <v>175</v>
      </c>
      <c r="BR54" s="137" t="s">
        <v>175</v>
      </c>
      <c r="BS54" s="137" t="s">
        <v>175</v>
      </c>
      <c r="BT54" s="138">
        <f t="shared" si="8"/>
        <v>-26.537005125</v>
      </c>
      <c r="BU54" s="138">
        <f t="shared" si="9"/>
        <v>0.28444113626548462</v>
      </c>
      <c r="BV54" s="138">
        <f t="shared" si="10"/>
        <v>0.28444113626548462</v>
      </c>
      <c r="BW54" s="53" t="s">
        <v>175</v>
      </c>
      <c r="BX54" s="53" t="s">
        <v>175</v>
      </c>
      <c r="BY54" s="53" t="s">
        <v>175</v>
      </c>
      <c r="BZ54" s="53" t="s">
        <v>175</v>
      </c>
      <c r="CA54" s="147">
        <v>2</v>
      </c>
      <c r="CB54" s="54">
        <v>0</v>
      </c>
      <c r="CG54" s="14"/>
    </row>
    <row r="55" spans="1:87">
      <c r="A55" s="123" t="s">
        <v>424</v>
      </c>
      <c r="B55" s="124" t="s">
        <v>963</v>
      </c>
      <c r="C55" s="148" t="s">
        <v>674</v>
      </c>
      <c r="D55" s="125" t="s">
        <v>167</v>
      </c>
      <c r="E55" s="127">
        <v>22.523333333333301</v>
      </c>
      <c r="F55" s="127">
        <v>114.05</v>
      </c>
      <c r="G55" s="128" t="s">
        <v>168</v>
      </c>
      <c r="H55" s="129">
        <v>2920.6818647162486</v>
      </c>
      <c r="I55" s="129">
        <v>102.09332595228739</v>
      </c>
      <c r="J55" s="129">
        <v>2524</v>
      </c>
      <c r="K55" s="129">
        <v>309</v>
      </c>
      <c r="L55" s="129">
        <v>343</v>
      </c>
      <c r="M55" s="130" t="s">
        <v>425</v>
      </c>
      <c r="N55" s="130" t="s">
        <v>339</v>
      </c>
      <c r="O55" s="130" t="s">
        <v>426</v>
      </c>
      <c r="P55" s="130" t="s">
        <v>427</v>
      </c>
      <c r="Q55" s="130" t="s">
        <v>377</v>
      </c>
      <c r="R55" s="131">
        <v>5.2</v>
      </c>
      <c r="S55" s="131">
        <v>1.9</v>
      </c>
      <c r="T55" s="130">
        <v>1</v>
      </c>
      <c r="U55" s="132" t="s">
        <v>173</v>
      </c>
      <c r="V55" s="133">
        <v>0.1</v>
      </c>
      <c r="W55" s="132" t="s">
        <v>174</v>
      </c>
      <c r="X55" s="133">
        <v>0.1</v>
      </c>
      <c r="Y55" s="133">
        <v>0.05</v>
      </c>
      <c r="Z55" s="133">
        <v>0.01</v>
      </c>
      <c r="AA55" s="133">
        <v>0.15</v>
      </c>
      <c r="AB55" s="133">
        <f t="shared" si="25"/>
        <v>0.10400000000000001</v>
      </c>
      <c r="AC55" s="134">
        <v>0</v>
      </c>
      <c r="AD55" s="134">
        <v>0</v>
      </c>
      <c r="AE55" s="134">
        <v>0.5</v>
      </c>
      <c r="AF55" s="134">
        <v>0</v>
      </c>
      <c r="AG55" s="134">
        <v>0.1</v>
      </c>
      <c r="AH55" s="134">
        <v>0</v>
      </c>
      <c r="AI55" s="134">
        <v>0</v>
      </c>
      <c r="AJ55" s="134">
        <v>0</v>
      </c>
      <c r="AK55" s="134" t="s">
        <v>175</v>
      </c>
      <c r="AL55" s="122" t="s">
        <v>175</v>
      </c>
      <c r="AM55" s="122">
        <v>-3.5</v>
      </c>
      <c r="AN55" s="134" t="s">
        <v>176</v>
      </c>
      <c r="AO55" s="134" t="s">
        <v>177</v>
      </c>
      <c r="AP55" s="135">
        <f t="shared" si="23"/>
        <v>0.54398161733646844</v>
      </c>
      <c r="AQ55" s="135">
        <f t="shared" si="24"/>
        <v>0.54398161733646844</v>
      </c>
      <c r="AR55" s="117">
        <v>-1.5207923130000001</v>
      </c>
      <c r="AS55" s="117">
        <v>0</v>
      </c>
      <c r="AT55" s="117">
        <v>0</v>
      </c>
      <c r="AU55" s="117">
        <v>-1.005419847</v>
      </c>
      <c r="AV55" s="117">
        <v>-0.76310608000000002</v>
      </c>
      <c r="AW55" s="117">
        <v>-6.351013E-3</v>
      </c>
      <c r="AX55" s="117">
        <v>0.72540405299999999</v>
      </c>
      <c r="AY55" s="117">
        <v>1.0177178200000001</v>
      </c>
      <c r="AZ55" s="117">
        <v>0</v>
      </c>
      <c r="BA55" s="117">
        <v>0</v>
      </c>
      <c r="BB55" s="117">
        <v>1.6902048789999999</v>
      </c>
      <c r="BC55" s="136" t="str">
        <f t="shared" si="3"/>
        <v>-1</v>
      </c>
      <c r="BD55" s="136" t="s">
        <v>178</v>
      </c>
      <c r="BE55" s="136" t="s">
        <v>518</v>
      </c>
      <c r="BF55" s="136" t="s">
        <v>292</v>
      </c>
      <c r="BG55" s="120" t="s">
        <v>678</v>
      </c>
      <c r="BH55" s="136" t="str">
        <f t="shared" si="12"/>
        <v>&lt;MTL</v>
      </c>
      <c r="BI55" s="136">
        <f t="shared" si="13"/>
        <v>-6.351013E-3</v>
      </c>
      <c r="BJ55" s="136" t="str">
        <f t="shared" si="21"/>
        <v>Nil</v>
      </c>
      <c r="BK55" s="136">
        <f t="shared" si="22"/>
        <v>0.05</v>
      </c>
      <c r="BL55" s="136" t="s">
        <v>736</v>
      </c>
      <c r="BM55" s="136" t="s">
        <v>175</v>
      </c>
      <c r="BN55" s="136" t="s">
        <v>175</v>
      </c>
      <c r="BO55" s="136" t="s">
        <v>736</v>
      </c>
      <c r="BP55" s="137" t="s">
        <v>175</v>
      </c>
      <c r="BQ55" s="137" t="s">
        <v>175</v>
      </c>
      <c r="BR55" s="137" t="s">
        <v>175</v>
      </c>
      <c r="BS55" s="137" t="s">
        <v>175</v>
      </c>
      <c r="BT55" s="138">
        <f t="shared" si="8"/>
        <v>-3.4936489869999998</v>
      </c>
      <c r="BU55" s="138">
        <f t="shared" si="9"/>
        <v>0.5462746561941163</v>
      </c>
      <c r="BV55" s="138">
        <f t="shared" si="10"/>
        <v>0.5462746561941163</v>
      </c>
      <c r="BW55" s="53" t="s">
        <v>175</v>
      </c>
      <c r="BX55" s="53" t="s">
        <v>175</v>
      </c>
      <c r="BY55" s="53" t="s">
        <v>175</v>
      </c>
      <c r="BZ55" s="53" t="s">
        <v>175</v>
      </c>
      <c r="CA55" s="147">
        <v>2</v>
      </c>
      <c r="CB55" s="54">
        <v>0</v>
      </c>
    </row>
    <row r="56" spans="1:87">
      <c r="A56" s="123" t="s">
        <v>342</v>
      </c>
      <c r="B56" s="124" t="s">
        <v>331</v>
      </c>
      <c r="C56" s="148" t="s">
        <v>674</v>
      </c>
      <c r="D56" s="125" t="s">
        <v>167</v>
      </c>
      <c r="E56" s="150">
        <v>22.490862</v>
      </c>
      <c r="F56" s="150">
        <v>114.04043799999999</v>
      </c>
      <c r="G56" s="128" t="s">
        <v>168</v>
      </c>
      <c r="H56" s="129">
        <v>1500</v>
      </c>
      <c r="I56" s="129">
        <v>30</v>
      </c>
      <c r="J56" s="129">
        <v>895</v>
      </c>
      <c r="K56" s="129">
        <v>206</v>
      </c>
      <c r="L56" s="129">
        <v>201</v>
      </c>
      <c r="M56" s="159" t="s">
        <v>334</v>
      </c>
      <c r="N56" s="130" t="s">
        <v>339</v>
      </c>
      <c r="O56" s="130" t="s">
        <v>332</v>
      </c>
      <c r="P56" s="130" t="s">
        <v>175</v>
      </c>
      <c r="Q56" s="130" t="s">
        <v>172</v>
      </c>
      <c r="R56" s="131">
        <f>2.26--0.82</f>
        <v>3.0799999999999996</v>
      </c>
      <c r="S56" s="131" t="s">
        <v>175</v>
      </c>
      <c r="T56" s="130">
        <v>1</v>
      </c>
      <c r="U56" s="132" t="s">
        <v>335</v>
      </c>
      <c r="V56" s="133">
        <v>0.01</v>
      </c>
      <c r="W56" s="132" t="s">
        <v>174</v>
      </c>
      <c r="X56" s="133">
        <v>0.01</v>
      </c>
      <c r="Y56" s="133">
        <v>5.0000000000000001E-3</v>
      </c>
      <c r="Z56" s="133">
        <v>0.01</v>
      </c>
      <c r="AA56" s="133">
        <v>0.15</v>
      </c>
      <c r="AB56" s="133">
        <f t="shared" si="25"/>
        <v>6.1599999999999995E-2</v>
      </c>
      <c r="AC56" s="134">
        <v>0</v>
      </c>
      <c r="AD56" s="134">
        <v>0</v>
      </c>
      <c r="AE56" s="134">
        <v>0.03</v>
      </c>
      <c r="AF56" s="134">
        <v>0</v>
      </c>
      <c r="AG56" s="134">
        <v>0.1</v>
      </c>
      <c r="AH56" s="134">
        <v>0</v>
      </c>
      <c r="AI56" s="134">
        <v>0</v>
      </c>
      <c r="AJ56" s="134">
        <v>0</v>
      </c>
      <c r="AK56" s="134" t="s">
        <v>175</v>
      </c>
      <c r="AL56" s="122" t="s">
        <v>175</v>
      </c>
      <c r="AM56" s="122">
        <v>-0.82</v>
      </c>
      <c r="AN56" s="134" t="s">
        <v>176</v>
      </c>
      <c r="AO56" s="122" t="s">
        <v>177</v>
      </c>
      <c r="AP56" s="135">
        <f t="shared" si="23"/>
        <v>0.19318271144178509</v>
      </c>
      <c r="AQ56" s="135">
        <f t="shared" si="24"/>
        <v>0.19318271144178509</v>
      </c>
      <c r="AR56" s="154">
        <v>-1.5518387389999999</v>
      </c>
      <c r="AS56" s="154">
        <v>0</v>
      </c>
      <c r="AT56" s="154">
        <v>0</v>
      </c>
      <c r="AU56" s="154">
        <v>-1.033451348</v>
      </c>
      <c r="AV56" s="154">
        <v>-0.77425765300000005</v>
      </c>
      <c r="AW56" s="154">
        <v>-1.2040314999999999E-2</v>
      </c>
      <c r="AX56" s="154">
        <v>0.72977387000000005</v>
      </c>
      <c r="AY56" s="154">
        <v>1.0297738700000001</v>
      </c>
      <c r="AZ56" s="154">
        <v>0</v>
      </c>
      <c r="BA56" s="154">
        <v>0</v>
      </c>
      <c r="BB56" s="154">
        <v>1.648161261</v>
      </c>
      <c r="BC56" s="136" t="str">
        <f t="shared" si="3"/>
        <v>-1</v>
      </c>
      <c r="BD56" s="136" t="s">
        <v>178</v>
      </c>
      <c r="BE56" s="136" t="s">
        <v>702</v>
      </c>
      <c r="BF56" s="136" t="s">
        <v>186</v>
      </c>
      <c r="BG56" s="120" t="s">
        <v>678</v>
      </c>
      <c r="BH56" s="136" t="str">
        <f t="shared" si="12"/>
        <v>&lt;MTL</v>
      </c>
      <c r="BI56" s="136">
        <f t="shared" si="13"/>
        <v>-1.2040314999999999E-2</v>
      </c>
      <c r="BJ56" s="136" t="str">
        <f t="shared" si="21"/>
        <v>Nil</v>
      </c>
      <c r="BK56" s="136">
        <f t="shared" si="22"/>
        <v>0.05</v>
      </c>
      <c r="BL56" s="136" t="s">
        <v>736</v>
      </c>
      <c r="BM56" s="136" t="s">
        <v>175</v>
      </c>
      <c r="BN56" s="136" t="s">
        <v>175</v>
      </c>
      <c r="BO56" s="136" t="s">
        <v>736</v>
      </c>
      <c r="BP56" s="137" t="s">
        <v>175</v>
      </c>
      <c r="BQ56" s="137" t="s">
        <v>175</v>
      </c>
      <c r="BR56" s="137" t="s">
        <v>175</v>
      </c>
      <c r="BS56" s="137" t="s">
        <v>175</v>
      </c>
      <c r="BT56" s="138">
        <f t="shared" si="8"/>
        <v>-0.80795968499999993</v>
      </c>
      <c r="BU56" s="138">
        <f t="shared" si="9"/>
        <v>0.19954839012129363</v>
      </c>
      <c r="BV56" s="138">
        <f t="shared" si="10"/>
        <v>0.19954839012129363</v>
      </c>
      <c r="BW56" s="53" t="s">
        <v>175</v>
      </c>
      <c r="BX56" s="53" t="s">
        <v>175</v>
      </c>
      <c r="BY56" s="53" t="s">
        <v>175</v>
      </c>
      <c r="BZ56" s="53" t="s">
        <v>175</v>
      </c>
      <c r="CA56" s="147">
        <v>1</v>
      </c>
      <c r="CB56" s="54">
        <v>0</v>
      </c>
    </row>
    <row r="57" spans="1:87">
      <c r="A57" s="123" t="s">
        <v>340</v>
      </c>
      <c r="B57" s="124" t="s">
        <v>331</v>
      </c>
      <c r="C57" s="148" t="s">
        <v>674</v>
      </c>
      <c r="D57" s="125" t="s">
        <v>167</v>
      </c>
      <c r="E57" s="150">
        <v>22.490862</v>
      </c>
      <c r="F57" s="150">
        <v>114.04043799999999</v>
      </c>
      <c r="G57" s="128" t="s">
        <v>168</v>
      </c>
      <c r="H57" s="129">
        <v>970</v>
      </c>
      <c r="I57" s="129">
        <v>104.4030650891055</v>
      </c>
      <c r="J57" s="129">
        <v>869</v>
      </c>
      <c r="K57" s="129">
        <v>305</v>
      </c>
      <c r="L57" s="129">
        <v>191</v>
      </c>
      <c r="M57" s="130" t="s">
        <v>332</v>
      </c>
      <c r="N57" s="149" t="s">
        <v>735</v>
      </c>
      <c r="O57" s="130" t="s">
        <v>341</v>
      </c>
      <c r="P57" s="130" t="s">
        <v>334</v>
      </c>
      <c r="Q57" s="130" t="s">
        <v>172</v>
      </c>
      <c r="R57" s="131">
        <f>2.26--0.6</f>
        <v>2.86</v>
      </c>
      <c r="S57" s="131" t="s">
        <v>175</v>
      </c>
      <c r="T57" s="130">
        <v>1</v>
      </c>
      <c r="U57" s="132" t="s">
        <v>335</v>
      </c>
      <c r="V57" s="133">
        <v>0.05</v>
      </c>
      <c r="W57" s="132" t="s">
        <v>174</v>
      </c>
      <c r="X57" s="133">
        <v>0.05</v>
      </c>
      <c r="Y57" s="133">
        <v>2.5000000000000001E-2</v>
      </c>
      <c r="Z57" s="133">
        <v>0.01</v>
      </c>
      <c r="AA57" s="133">
        <v>0.15</v>
      </c>
      <c r="AB57" s="133">
        <f t="shared" si="25"/>
        <v>5.7200000000000001E-2</v>
      </c>
      <c r="AC57" s="134">
        <v>0</v>
      </c>
      <c r="AD57" s="134">
        <v>0</v>
      </c>
      <c r="AE57" s="134">
        <v>0.03</v>
      </c>
      <c r="AF57" s="134">
        <v>0</v>
      </c>
      <c r="AG57" s="134">
        <v>0.1</v>
      </c>
      <c r="AH57" s="134">
        <v>0</v>
      </c>
      <c r="AI57" s="134">
        <v>0</v>
      </c>
      <c r="AJ57" s="134">
        <v>0</v>
      </c>
      <c r="AK57" s="134" t="s">
        <v>175</v>
      </c>
      <c r="AL57" s="122" t="s">
        <v>175</v>
      </c>
      <c r="AM57" s="122">
        <v>0.6</v>
      </c>
      <c r="AN57" s="134" t="s">
        <v>176</v>
      </c>
      <c r="AO57" s="122" t="s">
        <v>177</v>
      </c>
      <c r="AP57" s="135">
        <f t="shared" si="23"/>
        <v>0.1933826259000534</v>
      </c>
      <c r="AQ57" s="135">
        <f t="shared" si="24"/>
        <v>0.1933826259000534</v>
      </c>
      <c r="AR57" s="154">
        <v>-1.5518387389999999</v>
      </c>
      <c r="AS57" s="154">
        <v>0</v>
      </c>
      <c r="AT57" s="154">
        <v>0</v>
      </c>
      <c r="AU57" s="154">
        <v>-1.033451348</v>
      </c>
      <c r="AV57" s="154">
        <v>-0.77425765300000005</v>
      </c>
      <c r="AW57" s="154">
        <v>-1.2040314999999999E-2</v>
      </c>
      <c r="AX57" s="154">
        <v>0.72977387000000005</v>
      </c>
      <c r="AY57" s="154">
        <v>1.0297738700000001</v>
      </c>
      <c r="AZ57" s="154">
        <v>0</v>
      </c>
      <c r="BA57" s="154">
        <v>0</v>
      </c>
      <c r="BB57" s="154">
        <v>1.648161261</v>
      </c>
      <c r="BC57" s="136" t="str">
        <f t="shared" si="3"/>
        <v>0</v>
      </c>
      <c r="BD57" s="136" t="s">
        <v>178</v>
      </c>
      <c r="BE57" s="136" t="s">
        <v>689</v>
      </c>
      <c r="BF57" s="136" t="s">
        <v>336</v>
      </c>
      <c r="BG57" s="120" t="s">
        <v>657</v>
      </c>
      <c r="BH57" s="136" t="str">
        <f t="shared" si="12"/>
        <v>HAT-LAT</v>
      </c>
      <c r="BI57" s="136">
        <f t="shared" si="13"/>
        <v>4.8161261000000066E-2</v>
      </c>
      <c r="BJ57" s="136">
        <f t="shared" si="21"/>
        <v>1.6</v>
      </c>
      <c r="BK57" s="136">
        <f t="shared" si="22"/>
        <v>0.27</v>
      </c>
      <c r="BL57" s="136">
        <v>0.18911247617030291</v>
      </c>
      <c r="BM57" s="136" t="s">
        <v>175</v>
      </c>
      <c r="BN57" s="136" t="s">
        <v>175</v>
      </c>
      <c r="BO57" s="136">
        <v>0.11266224626661758</v>
      </c>
      <c r="BP57" s="137" t="s">
        <v>175</v>
      </c>
      <c r="BQ57" s="137" t="s">
        <v>175</v>
      </c>
      <c r="BR57" s="137" t="s">
        <v>175</v>
      </c>
      <c r="BS57" s="137" t="s">
        <v>175</v>
      </c>
      <c r="BT57" s="138">
        <f t="shared" si="8"/>
        <v>0.55183873899999991</v>
      </c>
      <c r="BU57" s="138">
        <f t="shared" si="9"/>
        <v>1.6488642001017257</v>
      </c>
      <c r="BV57" s="138">
        <f t="shared" si="10"/>
        <v>1.6488642001017257</v>
      </c>
      <c r="BW57" s="53" t="s">
        <v>175</v>
      </c>
      <c r="BX57" s="53" t="s">
        <v>175</v>
      </c>
      <c r="BY57" s="53" t="s">
        <v>175</v>
      </c>
      <c r="BZ57" s="53" t="s">
        <v>175</v>
      </c>
      <c r="CA57" s="147">
        <v>1</v>
      </c>
      <c r="CB57" s="54">
        <v>0</v>
      </c>
    </row>
    <row r="58" spans="1:87">
      <c r="A58" s="123" t="s">
        <v>330</v>
      </c>
      <c r="B58" s="124" t="s">
        <v>331</v>
      </c>
      <c r="C58" s="148" t="s">
        <v>674</v>
      </c>
      <c r="D58" s="125" t="s">
        <v>167</v>
      </c>
      <c r="E58" s="150">
        <v>22.493758</v>
      </c>
      <c r="F58" s="150">
        <v>114.03407199999999</v>
      </c>
      <c r="G58" s="128" t="s">
        <v>168</v>
      </c>
      <c r="H58" s="129">
        <v>1080</v>
      </c>
      <c r="I58" s="129">
        <v>104.4030650891055</v>
      </c>
      <c r="J58" s="129">
        <v>997</v>
      </c>
      <c r="K58" s="129">
        <v>266</v>
      </c>
      <c r="L58" s="129">
        <v>247</v>
      </c>
      <c r="M58" s="130" t="s">
        <v>332</v>
      </c>
      <c r="N58" s="149" t="s">
        <v>735</v>
      </c>
      <c r="O58" s="130" t="s">
        <v>333</v>
      </c>
      <c r="P58" s="130" t="s">
        <v>334</v>
      </c>
      <c r="Q58" s="130" t="s">
        <v>172</v>
      </c>
      <c r="R58" s="131">
        <v>1.27</v>
      </c>
      <c r="S58" s="131" t="s">
        <v>175</v>
      </c>
      <c r="T58" s="130">
        <v>1</v>
      </c>
      <c r="U58" s="132" t="s">
        <v>335</v>
      </c>
      <c r="V58" s="133">
        <v>0.05</v>
      </c>
      <c r="W58" s="132" t="s">
        <v>174</v>
      </c>
      <c r="X58" s="133">
        <v>0.05</v>
      </c>
      <c r="Y58" s="133">
        <v>2.5000000000000001E-2</v>
      </c>
      <c r="Z58" s="133">
        <v>0.01</v>
      </c>
      <c r="AA58" s="133">
        <v>0.15</v>
      </c>
      <c r="AB58" s="133">
        <f t="shared" si="25"/>
        <v>2.5400000000000002E-2</v>
      </c>
      <c r="AC58" s="134">
        <v>0</v>
      </c>
      <c r="AD58" s="134">
        <v>0</v>
      </c>
      <c r="AE58" s="134">
        <v>0.03</v>
      </c>
      <c r="AF58" s="134">
        <v>0</v>
      </c>
      <c r="AG58" s="134">
        <v>0.1</v>
      </c>
      <c r="AH58" s="134">
        <v>0</v>
      </c>
      <c r="AI58" s="134">
        <v>0</v>
      </c>
      <c r="AJ58" s="134">
        <v>0</v>
      </c>
      <c r="AK58" s="134" t="s">
        <v>175</v>
      </c>
      <c r="AL58" s="122" t="s">
        <v>175</v>
      </c>
      <c r="AM58" s="122">
        <v>-0.13</v>
      </c>
      <c r="AN58" s="134" t="s">
        <v>176</v>
      </c>
      <c r="AO58" s="122" t="s">
        <v>177</v>
      </c>
      <c r="AP58" s="135">
        <f t="shared" si="23"/>
        <v>0.18646758431427163</v>
      </c>
      <c r="AQ58" s="135">
        <f t="shared" si="24"/>
        <v>0.18646758431427163</v>
      </c>
      <c r="AR58" s="154">
        <v>-1.551419675</v>
      </c>
      <c r="AS58" s="154">
        <v>0</v>
      </c>
      <c r="AT58" s="154">
        <v>0</v>
      </c>
      <c r="AU58" s="154">
        <v>-1.0372229260000001</v>
      </c>
      <c r="AV58" s="154">
        <v>-0.78012455199999997</v>
      </c>
      <c r="AW58" s="154">
        <v>-1.2145081E-2</v>
      </c>
      <c r="AX58" s="154">
        <v>0.73438357600000004</v>
      </c>
      <c r="AY58" s="154">
        <v>1.034383576</v>
      </c>
      <c r="AZ58" s="154">
        <v>0</v>
      </c>
      <c r="BA58" s="154">
        <v>0</v>
      </c>
      <c r="BB58" s="154">
        <v>1.648580325</v>
      </c>
      <c r="BC58" s="136" t="str">
        <f t="shared" si="3"/>
        <v>0</v>
      </c>
      <c r="BD58" s="136" t="s">
        <v>178</v>
      </c>
      <c r="BE58" s="136" t="s">
        <v>689</v>
      </c>
      <c r="BF58" s="136" t="s">
        <v>336</v>
      </c>
      <c r="BG58" s="120" t="s">
        <v>657</v>
      </c>
      <c r="BH58" s="136" t="str">
        <f t="shared" si="12"/>
        <v>HAT-LAT</v>
      </c>
      <c r="BI58" s="136">
        <f t="shared" si="13"/>
        <v>4.858032499999998E-2</v>
      </c>
      <c r="BJ58" s="136">
        <f t="shared" si="21"/>
        <v>1.6</v>
      </c>
      <c r="BK58" s="136">
        <f t="shared" si="22"/>
        <v>0.27</v>
      </c>
      <c r="BL58" s="136">
        <v>0.18911247617030291</v>
      </c>
      <c r="BM58" s="136" t="s">
        <v>175</v>
      </c>
      <c r="BN58" s="136" t="s">
        <v>175</v>
      </c>
      <c r="BO58" s="136">
        <v>8.0953115978675161E-2</v>
      </c>
      <c r="BP58" s="137" t="s">
        <v>175</v>
      </c>
      <c r="BQ58" s="137" t="s">
        <v>175</v>
      </c>
      <c r="BR58" s="137" t="s">
        <v>175</v>
      </c>
      <c r="BS58" s="137" t="s">
        <v>175</v>
      </c>
      <c r="BT58" s="138">
        <f t="shared" si="8"/>
        <v>-0.17858032499999998</v>
      </c>
      <c r="BU58" s="138">
        <f t="shared" si="9"/>
        <v>1.646203843887482</v>
      </c>
      <c r="BV58" s="138">
        <f t="shared" si="10"/>
        <v>1.646203843887482</v>
      </c>
      <c r="BW58" s="53" t="s">
        <v>175</v>
      </c>
      <c r="BX58" s="53" t="s">
        <v>175</v>
      </c>
      <c r="BY58" s="53" t="s">
        <v>175</v>
      </c>
      <c r="BZ58" s="53" t="s">
        <v>175</v>
      </c>
      <c r="CA58" s="147">
        <v>1</v>
      </c>
      <c r="CB58" s="54">
        <v>0</v>
      </c>
      <c r="CI58" s="116"/>
    </row>
    <row r="59" spans="1:87" ht="17" customHeight="1">
      <c r="A59" s="123" t="s">
        <v>337</v>
      </c>
      <c r="B59" s="124" t="s">
        <v>331</v>
      </c>
      <c r="C59" s="148" t="s">
        <v>674</v>
      </c>
      <c r="D59" s="125" t="s">
        <v>167</v>
      </c>
      <c r="E59" s="150" t="s">
        <v>338</v>
      </c>
      <c r="F59" s="150">
        <v>114.03400000000001</v>
      </c>
      <c r="G59" s="128" t="s">
        <v>168</v>
      </c>
      <c r="H59" s="129">
        <v>1270</v>
      </c>
      <c r="I59" s="129">
        <v>30</v>
      </c>
      <c r="J59" s="129">
        <v>679</v>
      </c>
      <c r="K59" s="129">
        <v>195</v>
      </c>
      <c r="L59" s="129">
        <v>163</v>
      </c>
      <c r="M59" s="130" t="s">
        <v>334</v>
      </c>
      <c r="N59" s="130" t="s">
        <v>339</v>
      </c>
      <c r="O59" s="130" t="s">
        <v>332</v>
      </c>
      <c r="P59" s="130" t="s">
        <v>175</v>
      </c>
      <c r="Q59" s="130" t="s">
        <v>172</v>
      </c>
      <c r="R59" s="131">
        <v>2.6</v>
      </c>
      <c r="S59" s="131" t="s">
        <v>175</v>
      </c>
      <c r="T59" s="130">
        <v>1</v>
      </c>
      <c r="U59" s="132" t="s">
        <v>335</v>
      </c>
      <c r="V59" s="133">
        <v>0.01</v>
      </c>
      <c r="W59" s="132" t="s">
        <v>174</v>
      </c>
      <c r="X59" s="133">
        <v>0.01</v>
      </c>
      <c r="Y59" s="133">
        <v>5.0000000000000001E-3</v>
      </c>
      <c r="Z59" s="133">
        <v>0.01</v>
      </c>
      <c r="AA59" s="133">
        <v>0.15</v>
      </c>
      <c r="AB59" s="133">
        <f t="shared" si="25"/>
        <v>5.2000000000000005E-2</v>
      </c>
      <c r="AC59" s="134">
        <v>0</v>
      </c>
      <c r="AD59" s="134">
        <v>0</v>
      </c>
      <c r="AE59" s="134">
        <v>0.03</v>
      </c>
      <c r="AF59" s="134">
        <v>0</v>
      </c>
      <c r="AG59" s="134">
        <v>0.1</v>
      </c>
      <c r="AH59" s="134">
        <v>0</v>
      </c>
      <c r="AI59" s="134">
        <v>0</v>
      </c>
      <c r="AJ59" s="134">
        <v>0</v>
      </c>
      <c r="AK59" s="134" t="s">
        <v>175</v>
      </c>
      <c r="AL59" s="122" t="s">
        <v>175</v>
      </c>
      <c r="AM59" s="122">
        <v>-1.2</v>
      </c>
      <c r="AN59" s="134" t="s">
        <v>176</v>
      </c>
      <c r="AO59" s="122" t="s">
        <v>177</v>
      </c>
      <c r="AP59" s="135">
        <f t="shared" si="23"/>
        <v>0.19033917095542893</v>
      </c>
      <c r="AQ59" s="135">
        <f t="shared" si="24"/>
        <v>0.19033917095542893</v>
      </c>
      <c r="AR59" s="154">
        <v>-1.551416455</v>
      </c>
      <c r="AS59" s="154">
        <v>0</v>
      </c>
      <c r="AT59" s="154">
        <v>0</v>
      </c>
      <c r="AU59" s="154">
        <v>-1.037251903</v>
      </c>
      <c r="AV59" s="154">
        <v>-0.78016962700000003</v>
      </c>
      <c r="AW59" s="154">
        <v>-1.2145886E-2</v>
      </c>
      <c r="AX59" s="154">
        <v>0.73441899200000005</v>
      </c>
      <c r="AY59" s="154">
        <v>1.034418992</v>
      </c>
      <c r="AZ59" s="154">
        <v>0</v>
      </c>
      <c r="BA59" s="154">
        <v>0</v>
      </c>
      <c r="BB59" s="154">
        <v>1.6485835449999999</v>
      </c>
      <c r="BC59" s="136" t="str">
        <f t="shared" si="3"/>
        <v>-1</v>
      </c>
      <c r="BD59" s="136" t="s">
        <v>178</v>
      </c>
      <c r="BE59" s="136" t="s">
        <v>702</v>
      </c>
      <c r="BF59" s="136" t="s">
        <v>186</v>
      </c>
      <c r="BG59" s="120" t="s">
        <v>678</v>
      </c>
      <c r="BH59" s="136" t="str">
        <f t="shared" si="12"/>
        <v>&lt;MTL</v>
      </c>
      <c r="BI59" s="136">
        <f t="shared" si="13"/>
        <v>-1.2145886E-2</v>
      </c>
      <c r="BJ59" s="136" t="str">
        <f t="shared" si="21"/>
        <v>Nil</v>
      </c>
      <c r="BK59" s="136">
        <f t="shared" si="22"/>
        <v>0.05</v>
      </c>
      <c r="BL59" s="136" t="s">
        <v>736</v>
      </c>
      <c r="BM59" s="136" t="s">
        <v>175</v>
      </c>
      <c r="BN59" s="136" t="s">
        <v>175</v>
      </c>
      <c r="BO59" s="136" t="s">
        <v>736</v>
      </c>
      <c r="BP59" s="137" t="s">
        <v>175</v>
      </c>
      <c r="BQ59" s="137" t="s">
        <v>175</v>
      </c>
      <c r="BR59" s="137" t="s">
        <v>175</v>
      </c>
      <c r="BS59" s="137" t="s">
        <v>175</v>
      </c>
      <c r="BT59" s="138">
        <f t="shared" si="8"/>
        <v>-1.1878541139999998</v>
      </c>
      <c r="BU59" s="138">
        <f t="shared" si="9"/>
        <v>0.19679684956827945</v>
      </c>
      <c r="BV59" s="138">
        <f t="shared" si="10"/>
        <v>0.19679684956827945</v>
      </c>
      <c r="BW59" s="53" t="s">
        <v>175</v>
      </c>
      <c r="BX59" s="53" t="s">
        <v>175</v>
      </c>
      <c r="BY59" s="53" t="s">
        <v>175</v>
      </c>
      <c r="BZ59" s="53" t="s">
        <v>175</v>
      </c>
      <c r="CA59" s="147">
        <v>1</v>
      </c>
      <c r="CB59" s="54">
        <v>0</v>
      </c>
      <c r="CI59" s="116"/>
    </row>
    <row r="60" spans="1:87" ht="17">
      <c r="A60" s="123" t="s">
        <v>276</v>
      </c>
      <c r="B60" s="124" t="s">
        <v>748</v>
      </c>
      <c r="C60" s="148" t="s">
        <v>674</v>
      </c>
      <c r="D60" s="125" t="s">
        <v>167</v>
      </c>
      <c r="E60" s="150">
        <v>22.445997986999998</v>
      </c>
      <c r="F60" s="150">
        <v>114.03282412900001</v>
      </c>
      <c r="G60" s="128" t="s">
        <v>168</v>
      </c>
      <c r="H60" s="151">
        <v>6776.4695042613312</v>
      </c>
      <c r="I60" s="151">
        <v>170.61219483533901</v>
      </c>
      <c r="J60" s="151">
        <v>7639</v>
      </c>
      <c r="K60" s="151">
        <v>316</v>
      </c>
      <c r="L60" s="151">
        <v>310</v>
      </c>
      <c r="M60" s="130" t="s">
        <v>262</v>
      </c>
      <c r="N60" s="149" t="s">
        <v>735</v>
      </c>
      <c r="O60" s="130" t="s">
        <v>175</v>
      </c>
      <c r="P60" s="155" t="s">
        <v>175</v>
      </c>
      <c r="Q60" s="155" t="s">
        <v>175</v>
      </c>
      <c r="R60" s="156" t="s">
        <v>175</v>
      </c>
      <c r="S60" s="156" t="s">
        <v>175</v>
      </c>
      <c r="T60" s="130">
        <v>1</v>
      </c>
      <c r="U60" s="132" t="s">
        <v>173</v>
      </c>
      <c r="V60" s="133">
        <v>0.1</v>
      </c>
      <c r="W60" s="132" t="s">
        <v>174</v>
      </c>
      <c r="X60" s="133">
        <v>0.1</v>
      </c>
      <c r="Y60" s="133">
        <v>0.05</v>
      </c>
      <c r="Z60" s="133">
        <v>0.01</v>
      </c>
      <c r="AA60" s="133">
        <v>0.15</v>
      </c>
      <c r="AB60" s="133">
        <v>0.2</v>
      </c>
      <c r="AC60" s="134">
        <v>0</v>
      </c>
      <c r="AD60" s="134">
        <v>0</v>
      </c>
      <c r="AE60" s="134">
        <v>0.03</v>
      </c>
      <c r="AF60" s="134">
        <v>0</v>
      </c>
      <c r="AG60" s="134">
        <v>0.1</v>
      </c>
      <c r="AH60" s="134">
        <v>0</v>
      </c>
      <c r="AI60" s="134">
        <v>0</v>
      </c>
      <c r="AJ60" s="134">
        <v>0</v>
      </c>
      <c r="AK60" s="134" t="s">
        <v>175</v>
      </c>
      <c r="AL60" s="122" t="s">
        <v>175</v>
      </c>
      <c r="AM60" s="122">
        <v>-1.88</v>
      </c>
      <c r="AN60" s="134" t="s">
        <v>176</v>
      </c>
      <c r="AO60" s="122" t="s">
        <v>177</v>
      </c>
      <c r="AP60" s="135">
        <f t="shared" si="23"/>
        <v>0.27568097504180444</v>
      </c>
      <c r="AQ60" s="135">
        <f t="shared" si="24"/>
        <v>0.27568097504180444</v>
      </c>
      <c r="AR60" s="117">
        <v>-1.5555531629999999</v>
      </c>
      <c r="AS60" s="117">
        <v>0</v>
      </c>
      <c r="AT60" s="117">
        <v>0</v>
      </c>
      <c r="AU60" s="117">
        <v>-1.0000215299999999</v>
      </c>
      <c r="AV60" s="117">
        <v>-0.72225571300000002</v>
      </c>
      <c r="AW60" s="117">
        <v>-1.1111709000000001E-2</v>
      </c>
      <c r="AX60" s="117">
        <v>0.68891520299999998</v>
      </c>
      <c r="AY60" s="117">
        <v>0.98891520300000002</v>
      </c>
      <c r="AZ60" s="117">
        <v>0</v>
      </c>
      <c r="BA60" s="117">
        <v>0</v>
      </c>
      <c r="BB60" s="117">
        <v>1.6444468370000001</v>
      </c>
      <c r="BC60" s="136" t="str">
        <f t="shared" si="3"/>
        <v xml:space="preserve">-1 </v>
      </c>
      <c r="BD60" s="136" t="s">
        <v>178</v>
      </c>
      <c r="BE60" s="136" t="s">
        <v>689</v>
      </c>
      <c r="BF60" s="136" t="s">
        <v>263</v>
      </c>
      <c r="BG60" s="120" t="s">
        <v>665</v>
      </c>
      <c r="BH60" s="136" t="str">
        <f t="shared" si="12"/>
        <v>&lt;HAT</v>
      </c>
      <c r="BI60" s="136">
        <f t="shared" si="13"/>
        <v>1.6444468370000001</v>
      </c>
      <c r="BJ60" s="136" t="str">
        <f t="shared" si="21"/>
        <v>Nil</v>
      </c>
      <c r="BK60" s="136">
        <f t="shared" si="22"/>
        <v>0.18</v>
      </c>
      <c r="BL60" s="136" t="s">
        <v>736</v>
      </c>
      <c r="BM60" s="136" t="s">
        <v>175</v>
      </c>
      <c r="BN60" s="136" t="s">
        <v>175</v>
      </c>
      <c r="BO60" s="136" t="s">
        <v>736</v>
      </c>
      <c r="BP60" s="137" t="s">
        <v>175</v>
      </c>
      <c r="BQ60" s="137" t="s">
        <v>175</v>
      </c>
      <c r="BR60" s="137" t="s">
        <v>175</v>
      </c>
      <c r="BS60" s="137" t="s">
        <v>175</v>
      </c>
      <c r="BT60" s="138">
        <f t="shared" si="8"/>
        <v>-3.5244468370000002</v>
      </c>
      <c r="BU60" s="138">
        <f t="shared" si="9"/>
        <v>0.32924155266308658</v>
      </c>
      <c r="BV60" s="138">
        <f t="shared" si="10"/>
        <v>0.32924155266308658</v>
      </c>
      <c r="BW60" s="53" t="s">
        <v>175</v>
      </c>
      <c r="BX60" s="53" t="s">
        <v>175</v>
      </c>
      <c r="BY60" s="53" t="s">
        <v>175</v>
      </c>
      <c r="BZ60" s="53" t="s">
        <v>175</v>
      </c>
      <c r="CA60" s="147">
        <v>2</v>
      </c>
      <c r="CB60" s="54">
        <v>0</v>
      </c>
    </row>
    <row r="61" spans="1:87" ht="17">
      <c r="A61" s="123" t="s">
        <v>269</v>
      </c>
      <c r="B61" s="124" t="s">
        <v>748</v>
      </c>
      <c r="C61" s="148" t="s">
        <v>674</v>
      </c>
      <c r="D61" s="125" t="s">
        <v>167</v>
      </c>
      <c r="E61" s="150">
        <v>22.448064536</v>
      </c>
      <c r="F61" s="150">
        <v>114.02155274099999</v>
      </c>
      <c r="G61" s="128" t="s">
        <v>168</v>
      </c>
      <c r="H61" s="151">
        <v>1865.3589885814699</v>
      </c>
      <c r="I61" s="151">
        <v>96.92758260082627</v>
      </c>
      <c r="J61" s="151">
        <v>1780</v>
      </c>
      <c r="K61" s="151">
        <v>213</v>
      </c>
      <c r="L61" s="151">
        <v>233</v>
      </c>
      <c r="M61" s="130" t="s">
        <v>262</v>
      </c>
      <c r="N61" s="130" t="s">
        <v>268</v>
      </c>
      <c r="O61" s="130" t="s">
        <v>175</v>
      </c>
      <c r="P61" s="155" t="s">
        <v>175</v>
      </c>
      <c r="Q61" s="155" t="s">
        <v>175</v>
      </c>
      <c r="R61" s="156" t="s">
        <v>175</v>
      </c>
      <c r="S61" s="156" t="s">
        <v>175</v>
      </c>
      <c r="T61" s="130">
        <v>1</v>
      </c>
      <c r="U61" s="132" t="s">
        <v>173</v>
      </c>
      <c r="V61" s="133">
        <v>0.1</v>
      </c>
      <c r="W61" s="132" t="s">
        <v>174</v>
      </c>
      <c r="X61" s="133">
        <v>0.1</v>
      </c>
      <c r="Y61" s="133">
        <v>0.05</v>
      </c>
      <c r="Z61" s="133">
        <v>0.01</v>
      </c>
      <c r="AA61" s="133">
        <v>0.15</v>
      </c>
      <c r="AB61" s="133">
        <v>0.2</v>
      </c>
      <c r="AC61" s="134">
        <v>0</v>
      </c>
      <c r="AD61" s="134">
        <v>0</v>
      </c>
      <c r="AE61" s="134">
        <v>0.03</v>
      </c>
      <c r="AF61" s="134">
        <v>0</v>
      </c>
      <c r="AG61" s="134">
        <v>0.1</v>
      </c>
      <c r="AH61" s="134">
        <v>0</v>
      </c>
      <c r="AI61" s="134">
        <v>0</v>
      </c>
      <c r="AJ61" s="134">
        <v>0</v>
      </c>
      <c r="AK61" s="134" t="s">
        <v>175</v>
      </c>
      <c r="AL61" s="122" t="s">
        <v>175</v>
      </c>
      <c r="AM61" s="122">
        <v>2.0000000000000018E-2</v>
      </c>
      <c r="AN61" s="134" t="s">
        <v>176</v>
      </c>
      <c r="AO61" s="122" t="s">
        <v>177</v>
      </c>
      <c r="AP61" s="135">
        <f t="shared" si="23"/>
        <v>0.27568097504180444</v>
      </c>
      <c r="AQ61" s="135">
        <f t="shared" si="24"/>
        <v>0.27568097504180444</v>
      </c>
      <c r="AR61" s="117">
        <v>-1.554635032</v>
      </c>
      <c r="AS61" s="117">
        <v>0</v>
      </c>
      <c r="AT61" s="117">
        <v>0</v>
      </c>
      <c r="AU61" s="117">
        <v>-1.0082847159999999</v>
      </c>
      <c r="AV61" s="117">
        <v>-0.73510955899999997</v>
      </c>
      <c r="AW61" s="117">
        <v>-1.1341242E-2</v>
      </c>
      <c r="AX61" s="117">
        <v>0.69901465299999999</v>
      </c>
      <c r="AY61" s="117">
        <v>0.99901465300000003</v>
      </c>
      <c r="AZ61" s="117">
        <v>0</v>
      </c>
      <c r="BA61" s="117">
        <v>0</v>
      </c>
      <c r="BB61" s="117">
        <v>1.645364968</v>
      </c>
      <c r="BC61" s="136" t="str">
        <f t="shared" si="3"/>
        <v xml:space="preserve">-1 </v>
      </c>
      <c r="BD61" s="136" t="s">
        <v>178</v>
      </c>
      <c r="BE61" s="136" t="s">
        <v>689</v>
      </c>
      <c r="BF61" s="136" t="s">
        <v>263</v>
      </c>
      <c r="BG61" s="120" t="s">
        <v>665</v>
      </c>
      <c r="BH61" s="136" t="str">
        <f t="shared" si="12"/>
        <v>&lt;HAT</v>
      </c>
      <c r="BI61" s="136">
        <f t="shared" si="13"/>
        <v>1.645364968</v>
      </c>
      <c r="BJ61" s="136" t="str">
        <f t="shared" si="21"/>
        <v>Nil</v>
      </c>
      <c r="BK61" s="136">
        <f t="shared" si="22"/>
        <v>0.18</v>
      </c>
      <c r="BL61" s="136" t="s">
        <v>736</v>
      </c>
      <c r="BM61" s="136" t="s">
        <v>175</v>
      </c>
      <c r="BN61" s="136" t="s">
        <v>175</v>
      </c>
      <c r="BO61" s="136" t="s">
        <v>736</v>
      </c>
      <c r="BP61" s="137" t="s">
        <v>175</v>
      </c>
      <c r="BQ61" s="137" t="s">
        <v>175</v>
      </c>
      <c r="BR61" s="137" t="s">
        <v>175</v>
      </c>
      <c r="BS61" s="137" t="s">
        <v>175</v>
      </c>
      <c r="BT61" s="138">
        <f t="shared" si="8"/>
        <v>-1.625364968</v>
      </c>
      <c r="BU61" s="138">
        <f t="shared" si="9"/>
        <v>0.32924155266308658</v>
      </c>
      <c r="BV61" s="138">
        <f t="shared" si="10"/>
        <v>0.32924155266308658</v>
      </c>
      <c r="BW61" s="53" t="s">
        <v>175</v>
      </c>
      <c r="BX61" s="53" t="s">
        <v>175</v>
      </c>
      <c r="BY61" s="53" t="s">
        <v>175</v>
      </c>
      <c r="BZ61" s="53" t="s">
        <v>175</v>
      </c>
      <c r="CA61" s="147">
        <v>2</v>
      </c>
      <c r="CB61" s="54">
        <v>0</v>
      </c>
    </row>
    <row r="62" spans="1:87" ht="17">
      <c r="A62" s="123" t="s">
        <v>267</v>
      </c>
      <c r="B62" s="124" t="s">
        <v>748</v>
      </c>
      <c r="C62" s="148" t="s">
        <v>674</v>
      </c>
      <c r="D62" s="125" t="s">
        <v>167</v>
      </c>
      <c r="E62" s="150">
        <v>22.437736858000001</v>
      </c>
      <c r="F62" s="150">
        <v>114.015541462</v>
      </c>
      <c r="G62" s="128" t="s">
        <v>168</v>
      </c>
      <c r="H62" s="151">
        <v>1563.9526305170123</v>
      </c>
      <c r="I62" s="151">
        <v>75.738345594817417</v>
      </c>
      <c r="J62" s="151">
        <v>1451</v>
      </c>
      <c r="K62" s="151">
        <v>233</v>
      </c>
      <c r="L62" s="151">
        <v>145</v>
      </c>
      <c r="M62" s="130" t="s">
        <v>262</v>
      </c>
      <c r="N62" s="130" t="s">
        <v>268</v>
      </c>
      <c r="O62" s="130" t="s">
        <v>175</v>
      </c>
      <c r="P62" s="155" t="s">
        <v>175</v>
      </c>
      <c r="Q62" s="155" t="s">
        <v>175</v>
      </c>
      <c r="R62" s="156" t="s">
        <v>175</v>
      </c>
      <c r="S62" s="156" t="s">
        <v>175</v>
      </c>
      <c r="T62" s="130">
        <v>1</v>
      </c>
      <c r="U62" s="132" t="s">
        <v>173</v>
      </c>
      <c r="V62" s="133">
        <v>0.1</v>
      </c>
      <c r="W62" s="132" t="s">
        <v>174</v>
      </c>
      <c r="X62" s="133">
        <v>0.1</v>
      </c>
      <c r="Y62" s="133">
        <v>0.05</v>
      </c>
      <c r="Z62" s="133">
        <v>0.01</v>
      </c>
      <c r="AA62" s="133">
        <v>0.15</v>
      </c>
      <c r="AB62" s="133">
        <v>0.2</v>
      </c>
      <c r="AC62" s="134">
        <v>0</v>
      </c>
      <c r="AD62" s="134">
        <v>0</v>
      </c>
      <c r="AE62" s="134">
        <v>0.03</v>
      </c>
      <c r="AF62" s="134">
        <v>0</v>
      </c>
      <c r="AG62" s="134">
        <v>0.1</v>
      </c>
      <c r="AH62" s="134">
        <v>0</v>
      </c>
      <c r="AI62" s="134">
        <v>0</v>
      </c>
      <c r="AJ62" s="134">
        <v>0</v>
      </c>
      <c r="AK62" s="134" t="s">
        <v>175</v>
      </c>
      <c r="AL62" s="122" t="s">
        <v>175</v>
      </c>
      <c r="AM62" s="122">
        <v>-4.3</v>
      </c>
      <c r="AN62" s="134" t="s">
        <v>176</v>
      </c>
      <c r="AO62" s="122" t="s">
        <v>177</v>
      </c>
      <c r="AP62" s="135">
        <f t="shared" si="23"/>
        <v>0.27568097504180444</v>
      </c>
      <c r="AQ62" s="135">
        <f t="shared" si="24"/>
        <v>0.27568097504180444</v>
      </c>
      <c r="AR62" s="117">
        <v>-1.5574541710000001</v>
      </c>
      <c r="AS62" s="117">
        <v>0</v>
      </c>
      <c r="AT62" s="117">
        <v>0</v>
      </c>
      <c r="AU62" s="117">
        <v>-0.98291246099999996</v>
      </c>
      <c r="AV62" s="117">
        <v>-0.69564160600000002</v>
      </c>
      <c r="AW62" s="117">
        <v>-1.0636457E-2</v>
      </c>
      <c r="AX62" s="117">
        <v>0.66800411900000001</v>
      </c>
      <c r="AY62" s="117">
        <v>0.96800411900000005</v>
      </c>
      <c r="AZ62" s="117">
        <v>0</v>
      </c>
      <c r="BA62" s="117">
        <v>0</v>
      </c>
      <c r="BB62" s="117">
        <v>1.6425458289999999</v>
      </c>
      <c r="BC62" s="136" t="str">
        <f t="shared" si="3"/>
        <v xml:space="preserve">1 </v>
      </c>
      <c r="BD62" s="136" t="s">
        <v>178</v>
      </c>
      <c r="BE62" s="136" t="s">
        <v>713</v>
      </c>
      <c r="BF62" s="136" t="s">
        <v>263</v>
      </c>
      <c r="BG62" s="120" t="s">
        <v>658</v>
      </c>
      <c r="BH62" s="136" t="str">
        <f t="shared" si="12"/>
        <v>&gt;MTL</v>
      </c>
      <c r="BI62" s="136">
        <f t="shared" si="13"/>
        <v>-1.0636457E-2</v>
      </c>
      <c r="BJ62" s="136" t="str">
        <f t="shared" si="21"/>
        <v>Nil</v>
      </c>
      <c r="BK62" s="136">
        <f t="shared" si="22"/>
        <v>0.05</v>
      </c>
      <c r="BL62" s="136" t="s">
        <v>736</v>
      </c>
      <c r="BM62" s="136" t="s">
        <v>175</v>
      </c>
      <c r="BN62" s="136" t="s">
        <v>175</v>
      </c>
      <c r="BO62" s="136" t="s">
        <v>736</v>
      </c>
      <c r="BP62" s="137" t="s">
        <v>175</v>
      </c>
      <c r="BQ62" s="137" t="s">
        <v>175</v>
      </c>
      <c r="BR62" s="137" t="s">
        <v>175</v>
      </c>
      <c r="BS62" s="137" t="s">
        <v>175</v>
      </c>
      <c r="BT62" s="138">
        <f t="shared" si="8"/>
        <v>-4.2893635429999994</v>
      </c>
      <c r="BU62" s="138">
        <f t="shared" si="9"/>
        <v>0.28017851452243797</v>
      </c>
      <c r="BV62" s="138">
        <f t="shared" si="10"/>
        <v>0.28017851452243797</v>
      </c>
      <c r="BW62" s="53" t="s">
        <v>175</v>
      </c>
      <c r="BX62" s="53" t="s">
        <v>175</v>
      </c>
      <c r="BY62" s="53" t="s">
        <v>175</v>
      </c>
      <c r="BZ62" s="53" t="s">
        <v>175</v>
      </c>
      <c r="CA62" s="147">
        <v>3</v>
      </c>
      <c r="CB62" s="54">
        <v>1</v>
      </c>
      <c r="CC62" s="54" t="s">
        <v>991</v>
      </c>
    </row>
    <row r="63" spans="1:87" ht="17">
      <c r="A63" s="123" t="s">
        <v>270</v>
      </c>
      <c r="B63" s="124" t="s">
        <v>748</v>
      </c>
      <c r="C63" s="148" t="s">
        <v>674</v>
      </c>
      <c r="D63" s="125" t="s">
        <v>167</v>
      </c>
      <c r="E63" s="150">
        <v>22.447686690000001</v>
      </c>
      <c r="F63" s="150">
        <v>114.00513507700001</v>
      </c>
      <c r="G63" s="128" t="s">
        <v>168</v>
      </c>
      <c r="H63" s="151">
        <v>3126.4695042613316</v>
      </c>
      <c r="I63" s="151">
        <v>212.50129421996471</v>
      </c>
      <c r="J63" s="151">
        <v>3316</v>
      </c>
      <c r="K63" s="151">
        <v>514</v>
      </c>
      <c r="L63" s="151">
        <v>529</v>
      </c>
      <c r="M63" s="130" t="s">
        <v>262</v>
      </c>
      <c r="N63" s="149" t="s">
        <v>735</v>
      </c>
      <c r="O63" s="130" t="s">
        <v>175</v>
      </c>
      <c r="P63" s="155" t="s">
        <v>175</v>
      </c>
      <c r="Q63" s="155" t="s">
        <v>175</v>
      </c>
      <c r="R63" s="156" t="s">
        <v>175</v>
      </c>
      <c r="S63" s="156" t="s">
        <v>175</v>
      </c>
      <c r="T63" s="130">
        <v>1</v>
      </c>
      <c r="U63" s="132" t="s">
        <v>173</v>
      </c>
      <c r="V63" s="133">
        <v>0.1</v>
      </c>
      <c r="W63" s="132" t="s">
        <v>174</v>
      </c>
      <c r="X63" s="133">
        <v>0.1</v>
      </c>
      <c r="Y63" s="133">
        <v>0.05</v>
      </c>
      <c r="Z63" s="133">
        <v>0.01</v>
      </c>
      <c r="AA63" s="133">
        <v>0.15</v>
      </c>
      <c r="AB63" s="133">
        <v>0.2</v>
      </c>
      <c r="AC63" s="134">
        <v>0</v>
      </c>
      <c r="AD63" s="134">
        <v>0</v>
      </c>
      <c r="AE63" s="134">
        <v>0.03</v>
      </c>
      <c r="AF63" s="134">
        <v>0</v>
      </c>
      <c r="AG63" s="134">
        <v>0.1</v>
      </c>
      <c r="AH63" s="134">
        <v>0</v>
      </c>
      <c r="AI63" s="134">
        <v>0</v>
      </c>
      <c r="AJ63" s="134">
        <v>0</v>
      </c>
      <c r="AK63" s="134" t="s">
        <v>175</v>
      </c>
      <c r="AL63" s="122" t="s">
        <v>175</v>
      </c>
      <c r="AM63" s="122">
        <v>-0.68</v>
      </c>
      <c r="AN63" s="134" t="s">
        <v>176</v>
      </c>
      <c r="AO63" s="122" t="s">
        <v>177</v>
      </c>
      <c r="AP63" s="135">
        <f t="shared" si="23"/>
        <v>0.27568097504180444</v>
      </c>
      <c r="AQ63" s="135">
        <f t="shared" si="24"/>
        <v>0.27568097504180444</v>
      </c>
      <c r="AR63" s="117">
        <v>-1.5544281959999999</v>
      </c>
      <c r="AS63" s="117">
        <v>0</v>
      </c>
      <c r="AT63" s="117">
        <v>0</v>
      </c>
      <c r="AU63" s="117">
        <v>-1.0101462370000001</v>
      </c>
      <c r="AV63" s="117">
        <v>-0.73800525800000005</v>
      </c>
      <c r="AW63" s="117">
        <v>-1.1392951E-2</v>
      </c>
      <c r="AX63" s="117">
        <v>0.70128984599999999</v>
      </c>
      <c r="AY63" s="117">
        <v>1.0012898459999999</v>
      </c>
      <c r="AZ63" s="117">
        <v>0</v>
      </c>
      <c r="BA63" s="117">
        <v>0</v>
      </c>
      <c r="BB63" s="117">
        <v>1.645571804</v>
      </c>
      <c r="BC63" s="136" t="str">
        <f t="shared" si="3"/>
        <v xml:space="preserve">-1 </v>
      </c>
      <c r="BD63" s="136" t="s">
        <v>178</v>
      </c>
      <c r="BE63" s="136" t="s">
        <v>689</v>
      </c>
      <c r="BF63" s="136" t="s">
        <v>263</v>
      </c>
      <c r="BG63" s="120" t="s">
        <v>665</v>
      </c>
      <c r="BH63" s="136" t="str">
        <f t="shared" si="12"/>
        <v>&lt;HAT</v>
      </c>
      <c r="BI63" s="136">
        <f t="shared" si="13"/>
        <v>1.645571804</v>
      </c>
      <c r="BJ63" s="136" t="str">
        <f t="shared" si="21"/>
        <v>Nil</v>
      </c>
      <c r="BK63" s="136">
        <f t="shared" si="22"/>
        <v>0.18</v>
      </c>
      <c r="BL63" s="136" t="s">
        <v>736</v>
      </c>
      <c r="BM63" s="136" t="s">
        <v>175</v>
      </c>
      <c r="BN63" s="136" t="s">
        <v>175</v>
      </c>
      <c r="BO63" s="136" t="s">
        <v>736</v>
      </c>
      <c r="BP63" s="137" t="s">
        <v>175</v>
      </c>
      <c r="BQ63" s="137" t="s">
        <v>175</v>
      </c>
      <c r="BR63" s="137" t="s">
        <v>175</v>
      </c>
      <c r="BS63" s="137" t="s">
        <v>175</v>
      </c>
      <c r="BT63" s="138">
        <f t="shared" si="8"/>
        <v>-2.325571804</v>
      </c>
      <c r="BU63" s="138">
        <f t="shared" si="9"/>
        <v>0.32924155266308658</v>
      </c>
      <c r="BV63" s="138">
        <f t="shared" si="10"/>
        <v>0.32924155266308658</v>
      </c>
      <c r="BW63" s="53" t="s">
        <v>175</v>
      </c>
      <c r="BX63" s="53" t="s">
        <v>175</v>
      </c>
      <c r="BY63" s="53" t="s">
        <v>175</v>
      </c>
      <c r="BZ63" s="53" t="s">
        <v>175</v>
      </c>
      <c r="CA63" s="147">
        <v>2</v>
      </c>
      <c r="CB63" s="54">
        <v>0</v>
      </c>
    </row>
    <row r="64" spans="1:87">
      <c r="A64" s="123" t="s">
        <v>200</v>
      </c>
      <c r="B64" s="124" t="s">
        <v>748</v>
      </c>
      <c r="C64" s="148" t="s">
        <v>674</v>
      </c>
      <c r="D64" s="125" t="s">
        <v>167</v>
      </c>
      <c r="E64" s="150">
        <v>22.432760999999999</v>
      </c>
      <c r="F64" s="150">
        <v>113.939702</v>
      </c>
      <c r="G64" s="128" t="s">
        <v>168</v>
      </c>
      <c r="H64" s="151">
        <v>10005.53053805468</v>
      </c>
      <c r="I64" s="151">
        <v>164.51502809117468</v>
      </c>
      <c r="J64" s="151">
        <v>11558</v>
      </c>
      <c r="K64" s="151">
        <v>877</v>
      </c>
      <c r="L64" s="151">
        <v>456</v>
      </c>
      <c r="M64" s="130" t="s">
        <v>201</v>
      </c>
      <c r="N64" s="149" t="s">
        <v>735</v>
      </c>
      <c r="O64" s="130" t="s">
        <v>202</v>
      </c>
      <c r="P64" s="130" t="s">
        <v>203</v>
      </c>
      <c r="Q64" s="130" t="s">
        <v>172</v>
      </c>
      <c r="R64" s="131">
        <v>5.7</v>
      </c>
      <c r="S64" s="112">
        <v>0.79</v>
      </c>
      <c r="T64" s="130">
        <v>1</v>
      </c>
      <c r="U64" s="132" t="s">
        <v>173</v>
      </c>
      <c r="V64" s="133">
        <v>0.1</v>
      </c>
      <c r="W64" s="132" t="s">
        <v>174</v>
      </c>
      <c r="X64" s="133">
        <v>0.1</v>
      </c>
      <c r="Y64" s="133">
        <v>0.05</v>
      </c>
      <c r="Z64" s="133">
        <v>0.01</v>
      </c>
      <c r="AA64" s="133">
        <v>0.15</v>
      </c>
      <c r="AB64" s="133">
        <f>0.02*R64</f>
        <v>0.114</v>
      </c>
      <c r="AC64" s="134">
        <v>0</v>
      </c>
      <c r="AD64" s="134">
        <v>0</v>
      </c>
      <c r="AE64" s="134">
        <v>0.03</v>
      </c>
      <c r="AF64" s="134">
        <v>0</v>
      </c>
      <c r="AG64" s="134">
        <v>0.1</v>
      </c>
      <c r="AH64" s="134">
        <v>0</v>
      </c>
      <c r="AI64" s="134">
        <v>0</v>
      </c>
      <c r="AJ64" s="134">
        <v>0</v>
      </c>
      <c r="AK64" s="134" t="s">
        <v>175</v>
      </c>
      <c r="AL64" s="122" t="s">
        <v>175</v>
      </c>
      <c r="AM64" s="122">
        <v>-8.57</v>
      </c>
      <c r="AN64" s="134" t="s">
        <v>176</v>
      </c>
      <c r="AO64" s="122" t="s">
        <v>177</v>
      </c>
      <c r="AP64" s="135">
        <f t="shared" si="23"/>
        <v>0.22135040094836061</v>
      </c>
      <c r="AQ64" s="135">
        <f t="shared" si="24"/>
        <v>0.22135040094836061</v>
      </c>
      <c r="AR64" s="117">
        <v>-1.585695002</v>
      </c>
      <c r="AS64" s="117">
        <v>0</v>
      </c>
      <c r="AT64" s="117">
        <v>0</v>
      </c>
      <c r="AU64" s="117">
        <v>-0.97139000399999997</v>
      </c>
      <c r="AV64" s="117">
        <v>-0.56427125199999995</v>
      </c>
      <c r="AW64" s="117">
        <v>-1.6067813E-2</v>
      </c>
      <c r="AX64" s="117">
        <v>0.54284750100000001</v>
      </c>
      <c r="AY64" s="117">
        <v>0.92854250299999996</v>
      </c>
      <c r="AZ64" s="117">
        <v>0</v>
      </c>
      <c r="BA64" s="117">
        <v>0</v>
      </c>
      <c r="BB64" s="117">
        <v>1.585695002</v>
      </c>
      <c r="BC64" s="136" t="str">
        <f t="shared" si="3"/>
        <v xml:space="preserve">1 </v>
      </c>
      <c r="BD64" s="136" t="s">
        <v>178</v>
      </c>
      <c r="BE64" s="136" t="s">
        <v>714</v>
      </c>
      <c r="BF64" s="136" t="s">
        <v>186</v>
      </c>
      <c r="BG64" s="120" t="s">
        <v>658</v>
      </c>
      <c r="BH64" s="136" t="str">
        <f t="shared" si="12"/>
        <v>&gt;MTL</v>
      </c>
      <c r="BI64" s="136">
        <f t="shared" si="13"/>
        <v>-1.6067813E-2</v>
      </c>
      <c r="BJ64" s="136" t="str">
        <f t="shared" si="21"/>
        <v>Nil</v>
      </c>
      <c r="BK64" s="136">
        <f t="shared" si="22"/>
        <v>0.05</v>
      </c>
      <c r="BL64" s="136" t="s">
        <v>736</v>
      </c>
      <c r="BM64" s="136" t="s">
        <v>175</v>
      </c>
      <c r="BN64" s="136" t="s">
        <v>175</v>
      </c>
      <c r="BO64" s="136" t="s">
        <v>736</v>
      </c>
      <c r="BP64" s="137" t="s">
        <v>175</v>
      </c>
      <c r="BQ64" s="137" t="s">
        <v>175</v>
      </c>
      <c r="BR64" s="137" t="s">
        <v>175</v>
      </c>
      <c r="BS64" s="137" t="s">
        <v>175</v>
      </c>
      <c r="BT64" s="138">
        <f t="shared" si="8"/>
        <v>-8.5539321870000009</v>
      </c>
      <c r="BU64" s="138">
        <f t="shared" si="9"/>
        <v>0.22692730113408568</v>
      </c>
      <c r="BV64" s="138">
        <f t="shared" si="10"/>
        <v>0.22692730113408568</v>
      </c>
      <c r="BW64" s="53" t="s">
        <v>175</v>
      </c>
      <c r="BX64" s="53" t="s">
        <v>175</v>
      </c>
      <c r="BY64" s="53" t="s">
        <v>175</v>
      </c>
      <c r="BZ64" s="53" t="s">
        <v>175</v>
      </c>
      <c r="CA64" s="147">
        <v>2</v>
      </c>
      <c r="CB64" s="54">
        <v>0</v>
      </c>
      <c r="CG64" s="116"/>
    </row>
    <row r="65" spans="1:87" ht="17" customHeight="1">
      <c r="A65" s="123" t="s">
        <v>450</v>
      </c>
      <c r="B65" s="124" t="s">
        <v>975</v>
      </c>
      <c r="C65" s="148" t="s">
        <v>674</v>
      </c>
      <c r="D65" s="125" t="s">
        <v>167</v>
      </c>
      <c r="E65" s="127">
        <v>22.5</v>
      </c>
      <c r="F65" s="127">
        <v>113.9</v>
      </c>
      <c r="G65" s="128" t="s">
        <v>168</v>
      </c>
      <c r="H65" s="129">
        <v>4370.6818647162481</v>
      </c>
      <c r="I65" s="129">
        <v>120.09599162336768</v>
      </c>
      <c r="J65" s="129">
        <v>4335</v>
      </c>
      <c r="K65" s="129">
        <v>427</v>
      </c>
      <c r="L65" s="129">
        <v>385</v>
      </c>
      <c r="M65" s="130" t="s">
        <v>739</v>
      </c>
      <c r="N65" s="130" t="s">
        <v>339</v>
      </c>
      <c r="O65" s="130" t="s">
        <v>230</v>
      </c>
      <c r="P65" s="130" t="s">
        <v>230</v>
      </c>
      <c r="Q65" s="130" t="s">
        <v>434</v>
      </c>
      <c r="R65" s="131">
        <v>4</v>
      </c>
      <c r="S65" s="131" t="s">
        <v>175</v>
      </c>
      <c r="T65" s="130">
        <v>1</v>
      </c>
      <c r="U65" s="132" t="s">
        <v>192</v>
      </c>
      <c r="V65" s="133">
        <v>0.1</v>
      </c>
      <c r="W65" s="132" t="s">
        <v>174</v>
      </c>
      <c r="X65" s="133">
        <v>0.1</v>
      </c>
      <c r="Y65" s="133">
        <v>0.05</v>
      </c>
      <c r="Z65" s="133">
        <v>0.01</v>
      </c>
      <c r="AA65" s="133">
        <v>0</v>
      </c>
      <c r="AB65" s="133">
        <v>0</v>
      </c>
      <c r="AC65" s="134">
        <v>0</v>
      </c>
      <c r="AD65" s="134">
        <v>0</v>
      </c>
      <c r="AE65" s="134">
        <v>0.5</v>
      </c>
      <c r="AF65" s="134">
        <v>0</v>
      </c>
      <c r="AG65" s="134">
        <v>0.1</v>
      </c>
      <c r="AH65" s="134">
        <v>0</v>
      </c>
      <c r="AI65" s="134">
        <v>0</v>
      </c>
      <c r="AJ65" s="134">
        <v>0</v>
      </c>
      <c r="AK65" s="134" t="s">
        <v>175</v>
      </c>
      <c r="AL65" s="122" t="s">
        <v>175</v>
      </c>
      <c r="AM65" s="122">
        <v>-0.5</v>
      </c>
      <c r="AN65" s="134" t="s">
        <v>176</v>
      </c>
      <c r="AO65" s="134" t="s">
        <v>177</v>
      </c>
      <c r="AP65" s="135">
        <f t="shared" si="23"/>
        <v>0.51244511901275824</v>
      </c>
      <c r="AQ65" s="135">
        <f t="shared" si="24"/>
        <v>0.51244511901275824</v>
      </c>
      <c r="AR65" s="117">
        <v>-1.680099588</v>
      </c>
      <c r="AS65" s="117">
        <v>0</v>
      </c>
      <c r="AT65" s="117">
        <v>0</v>
      </c>
      <c r="AU65" s="117">
        <v>-1.180099588</v>
      </c>
      <c r="AV65" s="117">
        <v>-0.66990041199999995</v>
      </c>
      <c r="AW65" s="117">
        <v>-3.4183264999999997E-2</v>
      </c>
      <c r="AX65" s="117">
        <v>0.61990041200000001</v>
      </c>
      <c r="AY65" s="117">
        <v>1.0933665290000001</v>
      </c>
      <c r="AZ65" s="117">
        <v>0</v>
      </c>
      <c r="BA65" s="117">
        <v>0</v>
      </c>
      <c r="BB65" s="117">
        <v>2.3417198020000001</v>
      </c>
      <c r="BC65" s="136" t="str">
        <f t="shared" si="3"/>
        <v>0</v>
      </c>
      <c r="BD65" s="136" t="s">
        <v>209</v>
      </c>
      <c r="BE65" s="136" t="s">
        <v>718</v>
      </c>
      <c r="BF65" s="136" t="s">
        <v>292</v>
      </c>
      <c r="BG65" s="120" t="s">
        <v>676</v>
      </c>
      <c r="BH65" s="136" t="str">
        <f t="shared" si="12"/>
        <v>HAT-LAT</v>
      </c>
      <c r="BI65" s="136">
        <f t="shared" si="13"/>
        <v>0.33081010700000002</v>
      </c>
      <c r="BJ65" s="136">
        <f t="shared" si="21"/>
        <v>2.0109096950000001</v>
      </c>
      <c r="BK65" s="136">
        <f t="shared" si="22"/>
        <v>0.27</v>
      </c>
      <c r="BL65" s="136">
        <v>0.23768006986019863</v>
      </c>
      <c r="BM65" s="136" t="s">
        <v>175</v>
      </c>
      <c r="BN65" s="136" t="s">
        <v>175</v>
      </c>
      <c r="BO65" s="136">
        <v>0.81341978275459215</v>
      </c>
      <c r="BP65" s="137" t="s">
        <v>175</v>
      </c>
      <c r="BQ65" s="137" t="s">
        <v>175</v>
      </c>
      <c r="BR65" s="137" t="s">
        <v>175</v>
      </c>
      <c r="BS65" s="137" t="s">
        <v>175</v>
      </c>
      <c r="BT65" s="138">
        <f t="shared" si="8"/>
        <v>-0.83081010700000002</v>
      </c>
      <c r="BU65" s="138">
        <f t="shared" si="9"/>
        <v>2.2577425362583461</v>
      </c>
      <c r="BV65" s="138">
        <f t="shared" si="10"/>
        <v>2.2577425362583461</v>
      </c>
      <c r="BW65" s="53" t="s">
        <v>175</v>
      </c>
      <c r="BX65" s="53" t="s">
        <v>175</v>
      </c>
      <c r="BY65" s="53" t="s">
        <v>175</v>
      </c>
      <c r="BZ65" s="53" t="s">
        <v>175</v>
      </c>
      <c r="CA65" s="147">
        <v>3</v>
      </c>
      <c r="CB65" s="54">
        <v>1</v>
      </c>
      <c r="CC65" s="54" t="s">
        <v>740</v>
      </c>
      <c r="CI65" s="116"/>
    </row>
    <row r="66" spans="1:87">
      <c r="A66" s="123" t="s">
        <v>404</v>
      </c>
      <c r="B66" s="124" t="s">
        <v>973</v>
      </c>
      <c r="C66" s="148" t="s">
        <v>674</v>
      </c>
      <c r="D66" s="125" t="s">
        <v>167</v>
      </c>
      <c r="E66" s="127">
        <v>22.533333333333335</v>
      </c>
      <c r="F66" s="127">
        <v>113.9</v>
      </c>
      <c r="G66" s="128" t="s">
        <v>168</v>
      </c>
      <c r="H66" s="129">
        <v>2178.8105623511892</v>
      </c>
      <c r="I66" s="129">
        <v>134.77584757851901</v>
      </c>
      <c r="J66" s="129">
        <v>2165</v>
      </c>
      <c r="K66" s="129">
        <v>522</v>
      </c>
      <c r="L66" s="129">
        <v>367</v>
      </c>
      <c r="M66" s="130" t="s">
        <v>363</v>
      </c>
      <c r="N66" s="149" t="s">
        <v>735</v>
      </c>
      <c r="O66" s="157" t="s">
        <v>405</v>
      </c>
      <c r="P66" s="130" t="s">
        <v>406</v>
      </c>
      <c r="Q66" s="130" t="s">
        <v>377</v>
      </c>
      <c r="R66" s="131">
        <v>2.0499999999999998</v>
      </c>
      <c r="S66" s="131" t="s">
        <v>175</v>
      </c>
      <c r="T66" s="130">
        <v>1</v>
      </c>
      <c r="U66" s="132" t="s">
        <v>173</v>
      </c>
      <c r="V66" s="133">
        <v>0.1</v>
      </c>
      <c r="W66" s="132" t="s">
        <v>174</v>
      </c>
      <c r="X66" s="133">
        <v>0.1</v>
      </c>
      <c r="Y66" s="133">
        <v>0.05</v>
      </c>
      <c r="Z66" s="133">
        <v>0.01</v>
      </c>
      <c r="AA66" s="133">
        <v>0.15</v>
      </c>
      <c r="AB66" s="133">
        <f t="shared" ref="AB66:AB80" si="26">0.02*R66</f>
        <v>4.0999999999999995E-2</v>
      </c>
      <c r="AC66" s="134">
        <v>0</v>
      </c>
      <c r="AD66" s="134">
        <v>0</v>
      </c>
      <c r="AE66" s="134">
        <v>0.5</v>
      </c>
      <c r="AF66" s="134">
        <v>0</v>
      </c>
      <c r="AG66" s="134">
        <v>0.1</v>
      </c>
      <c r="AH66" s="134">
        <v>0</v>
      </c>
      <c r="AI66" s="134">
        <v>0</v>
      </c>
      <c r="AJ66" s="134">
        <v>0</v>
      </c>
      <c r="AK66" s="134" t="s">
        <v>175</v>
      </c>
      <c r="AL66" s="122" t="s">
        <v>175</v>
      </c>
      <c r="AM66" s="122">
        <v>-5.6</v>
      </c>
      <c r="AN66" s="134" t="s">
        <v>176</v>
      </c>
      <c r="AO66" s="122" t="s">
        <v>177</v>
      </c>
      <c r="AP66" s="135">
        <f t="shared" ref="AP66:AP160" si="27">SQRT(SUMSQ(IF(OR(Y66="nd",Y66="nd"),0,Y66),IF(OR(Z66="nd",Z66="nd"),0,Z66),IF(OR(AA66="nd",AA66="nd"),0,AA66),IF(OR(AB66="nd",AB66="nd"),0,AB66),IF(OR(AC66="nd",AC66="nd"),0,AC66),IF(OR(AD66="nd",AD66="nd"),0,AD66),IF(OR(AE66="nd",AE66="nd"),0,AE66),IF(OR(AF66="nd",AF66="nd"),0,AF66),IF(OR(AG66="nd",AG66="nd"),0,AG66),IF(OR(AH66="nd",AH66="nd"),0,AH66),IF(OR(AI66="nd",AI66="nd"),0,AI66),IF(OR(AJ66="nd",AJ66="nd"),0,AJ66)))</f>
        <v>0.53551937406596228</v>
      </c>
      <c r="AQ66" s="135">
        <f t="shared" si="24"/>
        <v>0.53551937406596228</v>
      </c>
      <c r="AR66" s="117">
        <v>-1.6553175550000001</v>
      </c>
      <c r="AS66" s="117">
        <v>0</v>
      </c>
      <c r="AT66" s="117">
        <v>0</v>
      </c>
      <c r="AU66" s="117">
        <v>-1.1553175550000001</v>
      </c>
      <c r="AV66" s="117">
        <v>-0.69468244499999998</v>
      </c>
      <c r="AW66" s="117">
        <v>-3.0052926000000001E-2</v>
      </c>
      <c r="AX66" s="117">
        <v>0.64468244500000005</v>
      </c>
      <c r="AY66" s="117">
        <v>1.0851058520000001</v>
      </c>
      <c r="AZ66" s="117">
        <v>0</v>
      </c>
      <c r="BA66" s="117">
        <v>0</v>
      </c>
      <c r="BB66" s="117">
        <v>1.6833201799999999</v>
      </c>
      <c r="BC66" s="136" t="str">
        <f t="shared" ref="BC66:BC184" si="28">IF(BG66="1","1 ",
IF(BG66="2a","0",
IF(BG66="2b","1 ",
IF(BG66="3a","-1 ",
IF(BG66="3b","0 ",
IF(BG66="3c","0",
IF(BG66="3d","-1 ",
IF(BG66="3e","1 ",
IF(BG66="4","1 ",
IF(BG66="5","1",
IF(BG66="6","-1 ",
IF(BG66="7","-1 ",
IF(BG66="8","0",
IF(BG66="9","-1",
IF(BG66="10a","-1 ",
IF(BG66="10b","0",
IF(BG66="11","1 ",
IF(BG66="12a","0",
IF(BG66="12b","-1 ","")))))))))))))))))))</f>
        <v>-1</v>
      </c>
      <c r="BD66" s="136" t="s">
        <v>178</v>
      </c>
      <c r="BE66" s="136" t="s">
        <v>518</v>
      </c>
      <c r="BF66" s="136" t="s">
        <v>226</v>
      </c>
      <c r="BG66" s="120" t="s">
        <v>678</v>
      </c>
      <c r="BH66" s="136" t="str">
        <f t="shared" si="12"/>
        <v>&lt;MTL</v>
      </c>
      <c r="BI66" s="136">
        <f t="shared" si="13"/>
        <v>-3.0052926000000001E-2</v>
      </c>
      <c r="BJ66" s="136" t="str">
        <f t="shared" si="21"/>
        <v>Nil</v>
      </c>
      <c r="BK66" s="136">
        <f t="shared" si="22"/>
        <v>0.05</v>
      </c>
      <c r="BL66" s="136" t="s">
        <v>736</v>
      </c>
      <c r="BM66" s="136" t="s">
        <v>175</v>
      </c>
      <c r="BN66" s="136" t="s">
        <v>175</v>
      </c>
      <c r="BO66" s="136" t="s">
        <v>736</v>
      </c>
      <c r="BP66" s="137" t="s">
        <v>175</v>
      </c>
      <c r="BQ66" s="137" t="s">
        <v>175</v>
      </c>
      <c r="BR66" s="137" t="s">
        <v>175</v>
      </c>
      <c r="BS66" s="137" t="s">
        <v>175</v>
      </c>
      <c r="BT66" s="138">
        <f t="shared" ref="BT66:BT184" si="29">AM66-BI66</f>
        <v>-5.5699470739999999</v>
      </c>
      <c r="BU66" s="138">
        <f t="shared" ref="BU66:BU184" si="30">SQRT(SUMSQ(AP66,BJ66,IF(OR(BK66="nd",BK66="nd"),0,BK66),IF(OR(BL66="nd",BL66="nd"),0,BL66),IF(OR(BO66="nd",BO66="nd"),0,BO66)))</f>
        <v>0.53784849167772153</v>
      </c>
      <c r="BV66" s="138">
        <f t="shared" ref="BV66:BV184" si="31">SQRT(SUMSQ(AP66,BJ66,IF(OR(BK66="nd",BK66="nd"),0,BK66),IF(OR(BL66="nd",BL66="nd"),0,BL66),IF(OR(BO66="nd",BO66="nd"),0,BO66)))</f>
        <v>0.53784849167772153</v>
      </c>
      <c r="BW66" s="53" t="s">
        <v>175</v>
      </c>
      <c r="BX66" s="53" t="s">
        <v>175</v>
      </c>
      <c r="BY66" s="53" t="s">
        <v>175</v>
      </c>
      <c r="BZ66" s="53" t="s">
        <v>175</v>
      </c>
      <c r="CA66" s="147">
        <v>1</v>
      </c>
      <c r="CB66" s="54">
        <v>0</v>
      </c>
      <c r="CI66" s="2"/>
    </row>
    <row r="67" spans="1:87">
      <c r="A67" s="123" t="s">
        <v>435</v>
      </c>
      <c r="B67" s="124" t="s">
        <v>973</v>
      </c>
      <c r="C67" s="148" t="s">
        <v>674</v>
      </c>
      <c r="D67" s="125" t="s">
        <v>167</v>
      </c>
      <c r="E67" s="127">
        <v>22.533333333333335</v>
      </c>
      <c r="F67" s="127">
        <v>113.9</v>
      </c>
      <c r="G67" s="128" t="s">
        <v>168</v>
      </c>
      <c r="H67" s="129">
        <v>2924.8105623511888</v>
      </c>
      <c r="I67" s="129">
        <v>156.41140971971382</v>
      </c>
      <c r="J67" s="129">
        <v>3084</v>
      </c>
      <c r="K67" s="129">
        <v>360</v>
      </c>
      <c r="L67" s="129">
        <v>328</v>
      </c>
      <c r="M67" s="130" t="s">
        <v>406</v>
      </c>
      <c r="N67" s="149" t="s">
        <v>735</v>
      </c>
      <c r="O67" s="130" t="s">
        <v>436</v>
      </c>
      <c r="P67" s="130" t="s">
        <v>437</v>
      </c>
      <c r="Q67" s="130" t="s">
        <v>175</v>
      </c>
      <c r="R67" s="131">
        <v>3</v>
      </c>
      <c r="S67" s="131" t="s">
        <v>175</v>
      </c>
      <c r="T67" s="130">
        <v>1</v>
      </c>
      <c r="U67" s="132" t="s">
        <v>173</v>
      </c>
      <c r="V67" s="133">
        <v>0.1</v>
      </c>
      <c r="W67" s="132" t="s">
        <v>174</v>
      </c>
      <c r="X67" s="133">
        <v>0.1</v>
      </c>
      <c r="Y67" s="133">
        <v>0.05</v>
      </c>
      <c r="Z67" s="133">
        <v>0.01</v>
      </c>
      <c r="AA67" s="133">
        <v>0.15</v>
      </c>
      <c r="AB67" s="133">
        <f t="shared" si="26"/>
        <v>0.06</v>
      </c>
      <c r="AC67" s="134">
        <v>0</v>
      </c>
      <c r="AD67" s="134">
        <v>0</v>
      </c>
      <c r="AE67" s="134">
        <v>0.5</v>
      </c>
      <c r="AF67" s="134">
        <v>0</v>
      </c>
      <c r="AG67" s="134">
        <v>0.1</v>
      </c>
      <c r="AH67" s="134">
        <v>0</v>
      </c>
      <c r="AI67" s="134">
        <v>0</v>
      </c>
      <c r="AJ67" s="134">
        <v>0</v>
      </c>
      <c r="AK67" s="134" t="s">
        <v>175</v>
      </c>
      <c r="AL67" s="122" t="s">
        <v>175</v>
      </c>
      <c r="AM67" s="122">
        <v>-6.5</v>
      </c>
      <c r="AN67" s="134" t="s">
        <v>176</v>
      </c>
      <c r="AO67" s="134" t="s">
        <v>177</v>
      </c>
      <c r="AP67" s="135">
        <f t="shared" si="27"/>
        <v>0.53730810528038753</v>
      </c>
      <c r="AQ67" s="135">
        <f t="shared" si="24"/>
        <v>0.53730810528038753</v>
      </c>
      <c r="AR67" s="117">
        <v>-1.6553175550000001</v>
      </c>
      <c r="AS67" s="117">
        <v>0</v>
      </c>
      <c r="AT67" s="117">
        <v>0</v>
      </c>
      <c r="AU67" s="117">
        <v>-1.1553175550000001</v>
      </c>
      <c r="AV67" s="117">
        <v>-0.69468244499999998</v>
      </c>
      <c r="AW67" s="117">
        <v>-3.0052926000000001E-2</v>
      </c>
      <c r="AX67" s="117">
        <v>0.64468244500000005</v>
      </c>
      <c r="AY67" s="117">
        <v>1.0851058520000001</v>
      </c>
      <c r="AZ67" s="117">
        <v>0</v>
      </c>
      <c r="BA67" s="117">
        <v>0</v>
      </c>
      <c r="BB67" s="117">
        <v>2.3501036420000001</v>
      </c>
      <c r="BC67" s="136" t="str">
        <f t="shared" si="28"/>
        <v>-1</v>
      </c>
      <c r="BD67" s="136" t="s">
        <v>178</v>
      </c>
      <c r="BE67" s="136" t="s">
        <v>518</v>
      </c>
      <c r="BF67" s="136" t="s">
        <v>226</v>
      </c>
      <c r="BG67" s="120" t="s">
        <v>678</v>
      </c>
      <c r="BH67" s="136" t="str">
        <f t="shared" si="12"/>
        <v>&lt;MTL</v>
      </c>
      <c r="BI67" s="136">
        <f t="shared" si="13"/>
        <v>-3.0052926000000001E-2</v>
      </c>
      <c r="BJ67" s="136" t="str">
        <f t="shared" si="21"/>
        <v>Nil</v>
      </c>
      <c r="BK67" s="136">
        <f t="shared" si="22"/>
        <v>0.05</v>
      </c>
      <c r="BL67" s="136" t="s">
        <v>736</v>
      </c>
      <c r="BM67" s="136" t="s">
        <v>175</v>
      </c>
      <c r="BN67" s="136" t="s">
        <v>175</v>
      </c>
      <c r="BO67" s="136" t="s">
        <v>736</v>
      </c>
      <c r="BP67" s="137" t="s">
        <v>175</v>
      </c>
      <c r="BQ67" s="137" t="s">
        <v>175</v>
      </c>
      <c r="BR67" s="137" t="s">
        <v>175</v>
      </c>
      <c r="BS67" s="137" t="s">
        <v>175</v>
      </c>
      <c r="BT67" s="138">
        <f t="shared" si="29"/>
        <v>-6.4699470740000002</v>
      </c>
      <c r="BU67" s="138">
        <f t="shared" si="30"/>
        <v>0.53962950252928166</v>
      </c>
      <c r="BV67" s="138">
        <f t="shared" si="31"/>
        <v>0.53962950252928166</v>
      </c>
      <c r="BW67" s="53" t="s">
        <v>175</v>
      </c>
      <c r="BX67" s="53" t="s">
        <v>175</v>
      </c>
      <c r="BY67" s="53" t="s">
        <v>175</v>
      </c>
      <c r="BZ67" s="53" t="s">
        <v>175</v>
      </c>
      <c r="CA67" s="147">
        <v>2</v>
      </c>
      <c r="CB67" s="54">
        <v>0</v>
      </c>
      <c r="CD67" s="54" t="s">
        <v>685</v>
      </c>
      <c r="CI67" s="14"/>
    </row>
    <row r="68" spans="1:87">
      <c r="A68" s="123" t="s">
        <v>328</v>
      </c>
      <c r="B68" s="124" t="s">
        <v>314</v>
      </c>
      <c r="C68" s="148" t="s">
        <v>674</v>
      </c>
      <c r="D68" s="125" t="s">
        <v>167</v>
      </c>
      <c r="E68" s="150">
        <v>22.201667</v>
      </c>
      <c r="F68" s="150">
        <v>113.896111</v>
      </c>
      <c r="G68" s="128" t="s">
        <v>168</v>
      </c>
      <c r="H68" s="129">
        <v>9290</v>
      </c>
      <c r="I68" s="129">
        <v>40</v>
      </c>
      <c r="J68" s="129">
        <v>10480</v>
      </c>
      <c r="K68" s="129">
        <v>161</v>
      </c>
      <c r="L68" s="129">
        <v>182</v>
      </c>
      <c r="M68" s="130" t="s">
        <v>325</v>
      </c>
      <c r="N68" s="146" t="s">
        <v>528</v>
      </c>
      <c r="O68" s="130" t="s">
        <v>326</v>
      </c>
      <c r="P68" s="130" t="s">
        <v>327</v>
      </c>
      <c r="Q68" s="130" t="s">
        <v>172</v>
      </c>
      <c r="R68" s="131">
        <v>41.7</v>
      </c>
      <c r="S68" s="131" t="s">
        <v>175</v>
      </c>
      <c r="T68" s="130">
        <v>1</v>
      </c>
      <c r="U68" s="132" t="s">
        <v>173</v>
      </c>
      <c r="V68" s="133">
        <v>0.05</v>
      </c>
      <c r="W68" s="132" t="s">
        <v>174</v>
      </c>
      <c r="X68" s="133">
        <v>0.05</v>
      </c>
      <c r="Y68" s="133">
        <v>2.5000000000000001E-2</v>
      </c>
      <c r="Z68" s="133">
        <v>0.01</v>
      </c>
      <c r="AA68" s="133">
        <v>0.15</v>
      </c>
      <c r="AB68" s="133">
        <f t="shared" si="26"/>
        <v>0.83400000000000007</v>
      </c>
      <c r="AC68" s="134">
        <v>0</v>
      </c>
      <c r="AD68" s="134">
        <v>0</v>
      </c>
      <c r="AE68" s="134">
        <v>0.03</v>
      </c>
      <c r="AF68" s="134">
        <v>0</v>
      </c>
      <c r="AG68" s="134">
        <v>0.1</v>
      </c>
      <c r="AH68" s="134">
        <v>0</v>
      </c>
      <c r="AI68" s="134">
        <v>0</v>
      </c>
      <c r="AJ68" s="134">
        <v>0</v>
      </c>
      <c r="AK68" s="134" t="s">
        <v>175</v>
      </c>
      <c r="AL68" s="122" t="s">
        <v>175</v>
      </c>
      <c r="AM68" s="122">
        <v>-51.5</v>
      </c>
      <c r="AN68" s="134" t="s">
        <v>176</v>
      </c>
      <c r="AO68" s="122" t="s">
        <v>177</v>
      </c>
      <c r="AP68" s="135">
        <f t="shared" si="27"/>
        <v>0.85421367350329869</v>
      </c>
      <c r="AQ68" s="135">
        <f t="shared" si="24"/>
        <v>0.85421367350329869</v>
      </c>
      <c r="AR68" s="117">
        <v>-1.214864725</v>
      </c>
      <c r="AS68" s="117">
        <v>0</v>
      </c>
      <c r="AT68" s="117">
        <v>0</v>
      </c>
      <c r="AU68" s="117">
        <v>-0.87452301600000004</v>
      </c>
      <c r="AV68" s="117">
        <v>-0.61645467399999998</v>
      </c>
      <c r="AW68" s="117">
        <v>-2.6937587999999998E-2</v>
      </c>
      <c r="AX68" s="117">
        <v>0.54161366799999999</v>
      </c>
      <c r="AY68" s="117">
        <v>0.84161366800000004</v>
      </c>
      <c r="AZ68" s="117">
        <v>0</v>
      </c>
      <c r="BA68" s="117">
        <v>0</v>
      </c>
      <c r="BB68" s="117">
        <v>1.2819553779999999</v>
      </c>
      <c r="BC68" s="136" t="str">
        <f t="shared" si="28"/>
        <v>0</v>
      </c>
      <c r="BD68" s="136" t="s">
        <v>178</v>
      </c>
      <c r="BE68" s="136" t="s">
        <v>689</v>
      </c>
      <c r="BF68" s="136" t="s">
        <v>226</v>
      </c>
      <c r="BG68" s="120" t="s">
        <v>657</v>
      </c>
      <c r="BH68" s="136" t="str">
        <f t="shared" si="12"/>
        <v>HAT-LAT</v>
      </c>
      <c r="BI68" s="136">
        <f t="shared" si="13"/>
        <v>3.3545326499999972E-2</v>
      </c>
      <c r="BJ68" s="136">
        <f t="shared" si="21"/>
        <v>1.2484100515000001</v>
      </c>
      <c r="BK68" s="136">
        <f t="shared" si="22"/>
        <v>0.27</v>
      </c>
      <c r="BL68" s="136">
        <v>0.14755619757191241</v>
      </c>
      <c r="BM68" s="136" t="s">
        <v>175</v>
      </c>
      <c r="BN68" s="136" t="s">
        <v>175</v>
      </c>
      <c r="BO68" s="136">
        <v>0.43025245481959029</v>
      </c>
      <c r="BP68" s="137" t="s">
        <v>175</v>
      </c>
      <c r="BQ68" s="137" t="s">
        <v>175</v>
      </c>
      <c r="BR68" s="137" t="s">
        <v>175</v>
      </c>
      <c r="BS68" s="137" t="s">
        <v>175</v>
      </c>
      <c r="BT68" s="138">
        <f t="shared" si="29"/>
        <v>-51.533545326499997</v>
      </c>
      <c r="BU68" s="138">
        <f t="shared" si="30"/>
        <v>1.6024976327615583</v>
      </c>
      <c r="BV68" s="138">
        <f t="shared" si="31"/>
        <v>1.6024976327615583</v>
      </c>
      <c r="BW68" s="53" t="s">
        <v>175</v>
      </c>
      <c r="BX68" s="53" t="s">
        <v>175</v>
      </c>
      <c r="BY68" s="53" t="s">
        <v>175</v>
      </c>
      <c r="BZ68" s="53" t="s">
        <v>175</v>
      </c>
      <c r="CA68" s="147">
        <v>1</v>
      </c>
      <c r="CB68" s="54">
        <v>0</v>
      </c>
    </row>
    <row r="69" spans="1:87">
      <c r="A69" s="123" t="s">
        <v>324</v>
      </c>
      <c r="B69" s="124" t="s">
        <v>314</v>
      </c>
      <c r="C69" s="148" t="s">
        <v>674</v>
      </c>
      <c r="D69" s="125" t="s">
        <v>167</v>
      </c>
      <c r="E69" s="150">
        <v>22.201667</v>
      </c>
      <c r="F69" s="150">
        <v>113.896111</v>
      </c>
      <c r="G69" s="128" t="s">
        <v>168</v>
      </c>
      <c r="H69" s="129">
        <v>9230</v>
      </c>
      <c r="I69" s="129">
        <v>30</v>
      </c>
      <c r="J69" s="129">
        <v>10390</v>
      </c>
      <c r="K69" s="129">
        <v>110</v>
      </c>
      <c r="L69" s="129">
        <v>126</v>
      </c>
      <c r="M69" s="130" t="s">
        <v>325</v>
      </c>
      <c r="N69" s="146" t="s">
        <v>528</v>
      </c>
      <c r="O69" s="130" t="s">
        <v>326</v>
      </c>
      <c r="P69" s="130" t="s">
        <v>327</v>
      </c>
      <c r="Q69" s="130" t="s">
        <v>172</v>
      </c>
      <c r="R69" s="131">
        <v>41</v>
      </c>
      <c r="S69" s="131" t="s">
        <v>175</v>
      </c>
      <c r="T69" s="130">
        <v>1</v>
      </c>
      <c r="U69" s="132" t="s">
        <v>173</v>
      </c>
      <c r="V69" s="133">
        <v>0.05</v>
      </c>
      <c r="W69" s="132" t="s">
        <v>174</v>
      </c>
      <c r="X69" s="133">
        <v>0.05</v>
      </c>
      <c r="Y69" s="133">
        <v>2.5000000000000001E-2</v>
      </c>
      <c r="Z69" s="133">
        <v>0.01</v>
      </c>
      <c r="AA69" s="133">
        <v>0.15</v>
      </c>
      <c r="AB69" s="133">
        <f t="shared" si="26"/>
        <v>0.82000000000000006</v>
      </c>
      <c r="AC69" s="134">
        <v>0</v>
      </c>
      <c r="AD69" s="134">
        <v>0</v>
      </c>
      <c r="AE69" s="134">
        <v>0.03</v>
      </c>
      <c r="AF69" s="134">
        <v>0</v>
      </c>
      <c r="AG69" s="134">
        <v>0.1</v>
      </c>
      <c r="AH69" s="134">
        <v>0</v>
      </c>
      <c r="AI69" s="134">
        <v>0</v>
      </c>
      <c r="AJ69" s="134">
        <v>0</v>
      </c>
      <c r="AK69" s="134" t="s">
        <v>175</v>
      </c>
      <c r="AL69" s="122" t="s">
        <v>175</v>
      </c>
      <c r="AM69" s="122">
        <v>-50.8</v>
      </c>
      <c r="AN69" s="134" t="s">
        <v>176</v>
      </c>
      <c r="AO69" s="122" t="s">
        <v>177</v>
      </c>
      <c r="AP69" s="135">
        <f t="shared" si="27"/>
        <v>0.84055041490680393</v>
      </c>
      <c r="AQ69" s="135">
        <f t="shared" si="24"/>
        <v>0.84055041490680393</v>
      </c>
      <c r="AR69" s="117">
        <v>-1.214864725</v>
      </c>
      <c r="AS69" s="117">
        <v>0</v>
      </c>
      <c r="AT69" s="117">
        <v>0</v>
      </c>
      <c r="AU69" s="117">
        <v>-0.87452301600000004</v>
      </c>
      <c r="AV69" s="117">
        <v>-0.61645467399999998</v>
      </c>
      <c r="AW69" s="117">
        <v>-2.6937587999999998E-2</v>
      </c>
      <c r="AX69" s="117">
        <v>0.54161366799999999</v>
      </c>
      <c r="AY69" s="117">
        <v>0.84161366800000004</v>
      </c>
      <c r="AZ69" s="117">
        <v>0</v>
      </c>
      <c r="BA69" s="117">
        <v>0</v>
      </c>
      <c r="BB69" s="117">
        <v>1.2819553779999999</v>
      </c>
      <c r="BC69" s="136" t="str">
        <f t="shared" si="28"/>
        <v>0</v>
      </c>
      <c r="BD69" s="136" t="s">
        <v>178</v>
      </c>
      <c r="BE69" s="136" t="s">
        <v>689</v>
      </c>
      <c r="BF69" s="136" t="s">
        <v>226</v>
      </c>
      <c r="BG69" s="120" t="s">
        <v>657</v>
      </c>
      <c r="BH69" s="136" t="str">
        <f t="shared" si="12"/>
        <v>HAT-LAT</v>
      </c>
      <c r="BI69" s="136">
        <f t="shared" si="13"/>
        <v>3.3545326499999972E-2</v>
      </c>
      <c r="BJ69" s="136">
        <f t="shared" si="21"/>
        <v>1.2484100515000001</v>
      </c>
      <c r="BK69" s="136">
        <f t="shared" si="22"/>
        <v>0.27</v>
      </c>
      <c r="BL69" s="136">
        <v>0.14755619757191241</v>
      </c>
      <c r="BM69" s="136" t="s">
        <v>175</v>
      </c>
      <c r="BN69" s="136" t="s">
        <v>175</v>
      </c>
      <c r="BO69" s="136">
        <v>0.43025245481959029</v>
      </c>
      <c r="BP69" s="137" t="s">
        <v>175</v>
      </c>
      <c r="BQ69" s="137" t="s">
        <v>175</v>
      </c>
      <c r="BR69" s="137" t="s">
        <v>175</v>
      </c>
      <c r="BS69" s="137" t="s">
        <v>175</v>
      </c>
      <c r="BT69" s="138">
        <f t="shared" si="29"/>
        <v>-50.833545326499994</v>
      </c>
      <c r="BU69" s="138">
        <f t="shared" si="30"/>
        <v>1.5952563000992657</v>
      </c>
      <c r="BV69" s="138">
        <f t="shared" si="31"/>
        <v>1.5952563000992657</v>
      </c>
      <c r="BW69" s="53" t="s">
        <v>175</v>
      </c>
      <c r="BX69" s="53" t="s">
        <v>175</v>
      </c>
      <c r="BY69" s="53" t="s">
        <v>175</v>
      </c>
      <c r="BZ69" s="53" t="s">
        <v>175</v>
      </c>
      <c r="CA69" s="147">
        <v>1</v>
      </c>
      <c r="CB69" s="54">
        <v>0</v>
      </c>
      <c r="CI69" s="116"/>
    </row>
    <row r="70" spans="1:87">
      <c r="A70" s="123" t="s">
        <v>329</v>
      </c>
      <c r="B70" s="124" t="s">
        <v>314</v>
      </c>
      <c r="C70" s="148" t="s">
        <v>674</v>
      </c>
      <c r="D70" s="125" t="s">
        <v>167</v>
      </c>
      <c r="E70" s="150">
        <v>22.201667</v>
      </c>
      <c r="F70" s="150">
        <v>113.896111</v>
      </c>
      <c r="G70" s="128" t="s">
        <v>168</v>
      </c>
      <c r="H70" s="129">
        <v>9350</v>
      </c>
      <c r="I70" s="129">
        <v>30</v>
      </c>
      <c r="J70" s="129">
        <v>10560</v>
      </c>
      <c r="K70" s="129">
        <v>101</v>
      </c>
      <c r="L70" s="129">
        <v>123</v>
      </c>
      <c r="M70" s="130" t="s">
        <v>325</v>
      </c>
      <c r="N70" s="146" t="s">
        <v>528</v>
      </c>
      <c r="O70" s="130" t="s">
        <v>326</v>
      </c>
      <c r="P70" s="130" t="s">
        <v>327</v>
      </c>
      <c r="Q70" s="130" t="s">
        <v>172</v>
      </c>
      <c r="R70" s="131">
        <v>42.099999999999994</v>
      </c>
      <c r="S70" s="131" t="s">
        <v>175</v>
      </c>
      <c r="T70" s="130">
        <v>0</v>
      </c>
      <c r="U70" s="132" t="s">
        <v>173</v>
      </c>
      <c r="V70" s="133">
        <v>0.05</v>
      </c>
      <c r="W70" s="132" t="s">
        <v>174</v>
      </c>
      <c r="X70" s="133">
        <v>0.05</v>
      </c>
      <c r="Y70" s="133">
        <v>2.5000000000000001E-2</v>
      </c>
      <c r="Z70" s="133">
        <v>0.01</v>
      </c>
      <c r="AA70" s="133">
        <v>0.15</v>
      </c>
      <c r="AB70" s="133">
        <f t="shared" si="26"/>
        <v>0.84199999999999986</v>
      </c>
      <c r="AC70" s="134">
        <v>0</v>
      </c>
      <c r="AD70" s="134">
        <v>0</v>
      </c>
      <c r="AE70" s="134">
        <v>0.03</v>
      </c>
      <c r="AF70" s="134">
        <v>0</v>
      </c>
      <c r="AG70" s="134">
        <v>0.1</v>
      </c>
      <c r="AH70" s="134">
        <v>0</v>
      </c>
      <c r="AI70" s="134">
        <v>0</v>
      </c>
      <c r="AJ70" s="134">
        <v>0</v>
      </c>
      <c r="AK70" s="134" t="s">
        <v>175</v>
      </c>
      <c r="AL70" s="122" t="s">
        <v>175</v>
      </c>
      <c r="AM70" s="122">
        <v>-51.9</v>
      </c>
      <c r="AN70" s="134" t="s">
        <v>176</v>
      </c>
      <c r="AO70" s="122" t="s">
        <v>177</v>
      </c>
      <c r="AP70" s="135">
        <f t="shared" si="27"/>
        <v>0.86202610169298233</v>
      </c>
      <c r="AQ70" s="135">
        <f t="shared" si="24"/>
        <v>0.86202610169298233</v>
      </c>
      <c r="AR70" s="117">
        <v>-1.214864725</v>
      </c>
      <c r="AS70" s="117">
        <v>0</v>
      </c>
      <c r="AT70" s="117">
        <v>0</v>
      </c>
      <c r="AU70" s="117">
        <v>-0.87452301600000004</v>
      </c>
      <c r="AV70" s="117">
        <v>-0.61645467399999998</v>
      </c>
      <c r="AW70" s="117">
        <v>-2.6937587999999998E-2</v>
      </c>
      <c r="AX70" s="117">
        <v>0.54161366799999999</v>
      </c>
      <c r="AY70" s="117">
        <v>0.84161366800000004</v>
      </c>
      <c r="AZ70" s="117">
        <v>0</v>
      </c>
      <c r="BA70" s="117">
        <v>0</v>
      </c>
      <c r="BB70" s="117">
        <v>1.2819553779999999</v>
      </c>
      <c r="BC70" s="136" t="str">
        <f t="shared" si="28"/>
        <v>0</v>
      </c>
      <c r="BD70" s="136" t="s">
        <v>178</v>
      </c>
      <c r="BE70" s="136" t="s">
        <v>689</v>
      </c>
      <c r="BF70" s="136" t="s">
        <v>226</v>
      </c>
      <c r="BG70" s="120" t="s">
        <v>657</v>
      </c>
      <c r="BH70" s="136" t="str">
        <f t="shared" si="12"/>
        <v>HAT-LAT</v>
      </c>
      <c r="BI70" s="136">
        <f t="shared" si="13"/>
        <v>3.3545326499999972E-2</v>
      </c>
      <c r="BJ70" s="136">
        <f t="shared" si="21"/>
        <v>1.2484100515000001</v>
      </c>
      <c r="BK70" s="136">
        <f t="shared" si="22"/>
        <v>0.27</v>
      </c>
      <c r="BL70" s="136">
        <v>0.14755619757191241</v>
      </c>
      <c r="BM70" s="136" t="s">
        <v>175</v>
      </c>
      <c r="BN70" s="136" t="s">
        <v>175</v>
      </c>
      <c r="BO70" s="136">
        <v>0.43025245481959029</v>
      </c>
      <c r="BP70" s="137" t="s">
        <v>175</v>
      </c>
      <c r="BQ70" s="137" t="s">
        <v>175</v>
      </c>
      <c r="BR70" s="137" t="s">
        <v>175</v>
      </c>
      <c r="BS70" s="137" t="s">
        <v>175</v>
      </c>
      <c r="BT70" s="138">
        <f t="shared" si="29"/>
        <v>-51.933545326499996</v>
      </c>
      <c r="BU70" s="138">
        <f t="shared" si="30"/>
        <v>1.6066756558205511</v>
      </c>
      <c r="BV70" s="138">
        <f t="shared" si="31"/>
        <v>1.6066756558205511</v>
      </c>
      <c r="BW70" s="53" t="s">
        <v>175</v>
      </c>
      <c r="BX70" s="53" t="s">
        <v>175</v>
      </c>
      <c r="BY70" s="53" t="s">
        <v>175</v>
      </c>
      <c r="BZ70" s="53" t="s">
        <v>175</v>
      </c>
      <c r="CA70" s="147">
        <v>1</v>
      </c>
      <c r="CB70" s="54">
        <v>0</v>
      </c>
    </row>
    <row r="71" spans="1:87">
      <c r="A71" s="123" t="s">
        <v>323</v>
      </c>
      <c r="B71" s="124" t="s">
        <v>314</v>
      </c>
      <c r="C71" s="148" t="s">
        <v>674</v>
      </c>
      <c r="D71" s="125" t="s">
        <v>167</v>
      </c>
      <c r="E71" s="127">
        <v>22.209</v>
      </c>
      <c r="F71" s="127">
        <v>113.892</v>
      </c>
      <c r="G71" s="128" t="s">
        <v>168</v>
      </c>
      <c r="H71" s="129">
        <v>8910</v>
      </c>
      <c r="I71" s="129">
        <v>40</v>
      </c>
      <c r="J71" s="129">
        <v>10037</v>
      </c>
      <c r="K71" s="129">
        <v>153</v>
      </c>
      <c r="L71" s="129">
        <v>137</v>
      </c>
      <c r="M71" s="130" t="s">
        <v>320</v>
      </c>
      <c r="N71" s="146" t="s">
        <v>528</v>
      </c>
      <c r="O71" s="130" t="s">
        <v>321</v>
      </c>
      <c r="P71" s="130" t="s">
        <v>322</v>
      </c>
      <c r="Q71" s="130" t="s">
        <v>172</v>
      </c>
      <c r="R71" s="131">
        <v>34.86</v>
      </c>
      <c r="S71" s="131" t="s">
        <v>175</v>
      </c>
      <c r="T71" s="130">
        <v>1</v>
      </c>
      <c r="U71" s="132" t="s">
        <v>173</v>
      </c>
      <c r="V71" s="133">
        <v>0.05</v>
      </c>
      <c r="W71" s="132" t="s">
        <v>174</v>
      </c>
      <c r="X71" s="133">
        <v>0.05</v>
      </c>
      <c r="Y71" s="133">
        <v>2.5000000000000001E-2</v>
      </c>
      <c r="Z71" s="133">
        <v>0.01</v>
      </c>
      <c r="AA71" s="133">
        <v>0.15</v>
      </c>
      <c r="AB71" s="133">
        <f t="shared" si="26"/>
        <v>0.69720000000000004</v>
      </c>
      <c r="AC71" s="134">
        <v>0</v>
      </c>
      <c r="AD71" s="134">
        <v>0</v>
      </c>
      <c r="AE71" s="134">
        <v>0.03</v>
      </c>
      <c r="AF71" s="134">
        <v>0</v>
      </c>
      <c r="AG71" s="134">
        <v>0.1</v>
      </c>
      <c r="AH71" s="134">
        <v>0</v>
      </c>
      <c r="AI71" s="134">
        <v>0</v>
      </c>
      <c r="AJ71" s="134">
        <v>0</v>
      </c>
      <c r="AK71" s="134" t="s">
        <v>175</v>
      </c>
      <c r="AL71" s="122" t="s">
        <v>175</v>
      </c>
      <c r="AM71" s="122">
        <v>-43.26</v>
      </c>
      <c r="AN71" s="134" t="s">
        <v>176</v>
      </c>
      <c r="AO71" s="122" t="s">
        <v>177</v>
      </c>
      <c r="AP71" s="135">
        <f t="shared" si="27"/>
        <v>0.72125781798189204</v>
      </c>
      <c r="AQ71" s="135">
        <f t="shared" si="24"/>
        <v>0.72125781798189204</v>
      </c>
      <c r="AR71" s="117">
        <v>-1.1852572589999999</v>
      </c>
      <c r="AS71" s="117">
        <v>0</v>
      </c>
      <c r="AT71" s="117">
        <v>0</v>
      </c>
      <c r="AU71" s="117">
        <v>-0.86668574499999995</v>
      </c>
      <c r="AV71" s="117">
        <v>-0.61297144199999998</v>
      </c>
      <c r="AW71" s="117">
        <v>-2.4542866999999999E-2</v>
      </c>
      <c r="AX71" s="117">
        <v>0.54074286100000002</v>
      </c>
      <c r="AY71" s="117">
        <v>0.84074286099999995</v>
      </c>
      <c r="AZ71" s="117">
        <v>0</v>
      </c>
      <c r="BA71" s="117">
        <v>0</v>
      </c>
      <c r="BB71" s="117">
        <v>1.2593143739999999</v>
      </c>
      <c r="BC71" s="136" t="str">
        <f t="shared" si="28"/>
        <v>0</v>
      </c>
      <c r="BD71" s="136" t="s">
        <v>178</v>
      </c>
      <c r="BE71" s="136" t="s">
        <v>689</v>
      </c>
      <c r="BF71" s="136" t="s">
        <v>226</v>
      </c>
      <c r="BG71" s="120" t="s">
        <v>657</v>
      </c>
      <c r="BH71" s="136" t="str">
        <f t="shared" si="12"/>
        <v>HAT-LAT</v>
      </c>
      <c r="BI71" s="136">
        <f t="shared" si="13"/>
        <v>3.7028557500000003E-2</v>
      </c>
      <c r="BJ71" s="136">
        <f t="shared" si="21"/>
        <v>1.2222858164999999</v>
      </c>
      <c r="BK71" s="136">
        <f t="shared" si="22"/>
        <v>0.27</v>
      </c>
      <c r="BL71" s="136">
        <v>0.14446843584134683</v>
      </c>
      <c r="BM71" s="136" t="s">
        <v>175</v>
      </c>
      <c r="BN71" s="136" t="s">
        <v>175</v>
      </c>
      <c r="BO71" s="136">
        <v>0.14131906532636496</v>
      </c>
      <c r="BP71" s="137" t="s">
        <v>175</v>
      </c>
      <c r="BQ71" s="137" t="s">
        <v>175</v>
      </c>
      <c r="BR71" s="137" t="s">
        <v>175</v>
      </c>
      <c r="BS71" s="137" t="s">
        <v>175</v>
      </c>
      <c r="BT71" s="138">
        <f t="shared" si="29"/>
        <v>-43.297028557499999</v>
      </c>
      <c r="BU71" s="138">
        <f t="shared" si="30"/>
        <v>1.4587452362891316</v>
      </c>
      <c r="BV71" s="138">
        <f t="shared" si="31"/>
        <v>1.4587452362891316</v>
      </c>
      <c r="BW71" s="53" t="s">
        <v>175</v>
      </c>
      <c r="BX71" s="53" t="s">
        <v>175</v>
      </c>
      <c r="BY71" s="53" t="s">
        <v>175</v>
      </c>
      <c r="BZ71" s="53" t="s">
        <v>175</v>
      </c>
      <c r="CA71" s="147">
        <v>1</v>
      </c>
      <c r="CB71" s="54">
        <v>0</v>
      </c>
    </row>
    <row r="72" spans="1:87">
      <c r="A72" s="123" t="s">
        <v>319</v>
      </c>
      <c r="B72" s="124" t="s">
        <v>314</v>
      </c>
      <c r="C72" s="148" t="s">
        <v>674</v>
      </c>
      <c r="D72" s="125" t="s">
        <v>167</v>
      </c>
      <c r="E72" s="150">
        <v>22.208611000000001</v>
      </c>
      <c r="F72" s="150">
        <v>113.891667</v>
      </c>
      <c r="G72" s="128" t="s">
        <v>168</v>
      </c>
      <c r="H72" s="129">
        <v>8880</v>
      </c>
      <c r="I72" s="129">
        <v>30</v>
      </c>
      <c r="J72" s="129">
        <v>10024</v>
      </c>
      <c r="K72" s="129">
        <v>152</v>
      </c>
      <c r="L72" s="129">
        <v>203</v>
      </c>
      <c r="M72" s="130" t="s">
        <v>320</v>
      </c>
      <c r="N72" s="146" t="s">
        <v>528</v>
      </c>
      <c r="O72" s="130" t="s">
        <v>321</v>
      </c>
      <c r="P72" s="130" t="s">
        <v>322</v>
      </c>
      <c r="Q72" s="130" t="s">
        <v>172</v>
      </c>
      <c r="R72" s="131">
        <v>34.54</v>
      </c>
      <c r="S72" s="131" t="s">
        <v>175</v>
      </c>
      <c r="T72" s="130">
        <v>1</v>
      </c>
      <c r="U72" s="132" t="s">
        <v>173</v>
      </c>
      <c r="V72" s="133">
        <v>0.05</v>
      </c>
      <c r="W72" s="132" t="s">
        <v>174</v>
      </c>
      <c r="X72" s="133">
        <v>0.05</v>
      </c>
      <c r="Y72" s="133">
        <v>2.5000000000000001E-2</v>
      </c>
      <c r="Z72" s="133">
        <v>0.01</v>
      </c>
      <c r="AA72" s="133">
        <v>0.15</v>
      </c>
      <c r="AB72" s="133">
        <f t="shared" si="26"/>
        <v>0.69079999999999997</v>
      </c>
      <c r="AC72" s="134">
        <v>0</v>
      </c>
      <c r="AD72" s="134">
        <v>0</v>
      </c>
      <c r="AE72" s="134">
        <v>0.03</v>
      </c>
      <c r="AF72" s="134">
        <v>0</v>
      </c>
      <c r="AG72" s="134">
        <v>0.1</v>
      </c>
      <c r="AH72" s="134">
        <v>0</v>
      </c>
      <c r="AI72" s="134">
        <v>0</v>
      </c>
      <c r="AJ72" s="134">
        <v>0</v>
      </c>
      <c r="AK72" s="134" t="s">
        <v>175</v>
      </c>
      <c r="AL72" s="122" t="s">
        <v>175</v>
      </c>
      <c r="AM72" s="122">
        <v>-42.94</v>
      </c>
      <c r="AN72" s="134" t="s">
        <v>176</v>
      </c>
      <c r="AO72" s="122" t="s">
        <v>177</v>
      </c>
      <c r="AP72" s="135">
        <f t="shared" si="27"/>
        <v>0.7150731710811139</v>
      </c>
      <c r="AQ72" s="135">
        <f t="shared" si="24"/>
        <v>0.7150731710811139</v>
      </c>
      <c r="AR72" s="117">
        <v>-1.185444038</v>
      </c>
      <c r="AS72" s="117">
        <v>0</v>
      </c>
      <c r="AT72" s="117">
        <v>0</v>
      </c>
      <c r="AU72" s="117">
        <v>-0.86673518699999996</v>
      </c>
      <c r="AV72" s="117">
        <v>-0.61299341600000001</v>
      </c>
      <c r="AW72" s="117">
        <v>-2.4557974E-2</v>
      </c>
      <c r="AX72" s="117">
        <v>0.54074835399999999</v>
      </c>
      <c r="AY72" s="117">
        <v>0.84074835400000003</v>
      </c>
      <c r="AZ72" s="117">
        <v>0</v>
      </c>
      <c r="BA72" s="117">
        <v>0</v>
      </c>
      <c r="BB72" s="117">
        <v>1.259457206</v>
      </c>
      <c r="BC72" s="136" t="str">
        <f t="shared" si="28"/>
        <v>0</v>
      </c>
      <c r="BD72" s="136" t="s">
        <v>178</v>
      </c>
      <c r="BE72" s="136" t="s">
        <v>689</v>
      </c>
      <c r="BF72" s="136" t="s">
        <v>226</v>
      </c>
      <c r="BG72" s="120" t="s">
        <v>657</v>
      </c>
      <c r="BH72" s="136" t="str">
        <f t="shared" si="12"/>
        <v>HAT-LAT</v>
      </c>
      <c r="BI72" s="136">
        <f t="shared" si="13"/>
        <v>3.7006584000000009E-2</v>
      </c>
      <c r="BJ72" s="136">
        <f t="shared" si="21"/>
        <v>1.222450622</v>
      </c>
      <c r="BK72" s="136">
        <f t="shared" si="22"/>
        <v>0.27</v>
      </c>
      <c r="BL72" s="136">
        <v>0.14448791507646686</v>
      </c>
      <c r="BM72" s="136" t="s">
        <v>175</v>
      </c>
      <c r="BN72" s="136" t="s">
        <v>175</v>
      </c>
      <c r="BO72" s="136">
        <v>0.14133811991973944</v>
      </c>
      <c r="BP72" s="137" t="s">
        <v>175</v>
      </c>
      <c r="BQ72" s="137" t="s">
        <v>175</v>
      </c>
      <c r="BR72" s="137" t="s">
        <v>175</v>
      </c>
      <c r="BS72" s="137" t="s">
        <v>175</v>
      </c>
      <c r="BT72" s="138">
        <f t="shared" si="29"/>
        <v>-42.977006583999994</v>
      </c>
      <c r="BU72" s="138">
        <f t="shared" si="30"/>
        <v>1.4558394090605522</v>
      </c>
      <c r="BV72" s="138">
        <f t="shared" si="31"/>
        <v>1.4558394090605522</v>
      </c>
      <c r="BW72" s="53" t="s">
        <v>175</v>
      </c>
      <c r="BX72" s="53" t="s">
        <v>175</v>
      </c>
      <c r="BY72" s="53" t="s">
        <v>175</v>
      </c>
      <c r="BZ72" s="53" t="s">
        <v>175</v>
      </c>
      <c r="CA72" s="147">
        <v>1</v>
      </c>
      <c r="CB72" s="54">
        <v>0</v>
      </c>
    </row>
    <row r="73" spans="1:87">
      <c r="A73" s="123" t="s">
        <v>313</v>
      </c>
      <c r="B73" s="124" t="s">
        <v>314</v>
      </c>
      <c r="C73" s="148" t="s">
        <v>674</v>
      </c>
      <c r="D73" s="125" t="s">
        <v>167</v>
      </c>
      <c r="E73" s="150">
        <v>22.21</v>
      </c>
      <c r="F73" s="150">
        <v>113.89</v>
      </c>
      <c r="G73" s="128" t="s">
        <v>168</v>
      </c>
      <c r="H73" s="129">
        <v>8570</v>
      </c>
      <c r="I73" s="129">
        <v>40</v>
      </c>
      <c r="J73" s="129">
        <v>9536</v>
      </c>
      <c r="K73" s="129">
        <v>121</v>
      </c>
      <c r="L73" s="129">
        <v>59</v>
      </c>
      <c r="M73" s="130" t="s">
        <v>315</v>
      </c>
      <c r="N73" s="146" t="s">
        <v>528</v>
      </c>
      <c r="O73" s="130" t="s">
        <v>175</v>
      </c>
      <c r="P73" s="130" t="s">
        <v>316</v>
      </c>
      <c r="Q73" s="130" t="s">
        <v>172</v>
      </c>
      <c r="R73" s="131">
        <v>24.91</v>
      </c>
      <c r="S73" s="131">
        <v>0.95999999999999375</v>
      </c>
      <c r="T73" s="130">
        <v>1</v>
      </c>
      <c r="U73" s="132" t="s">
        <v>173</v>
      </c>
      <c r="V73" s="133">
        <v>0.05</v>
      </c>
      <c r="W73" s="132" t="s">
        <v>174</v>
      </c>
      <c r="X73" s="133">
        <v>0.05</v>
      </c>
      <c r="Y73" s="133">
        <v>2.5000000000000001E-2</v>
      </c>
      <c r="Z73" s="133">
        <v>0.01</v>
      </c>
      <c r="AA73" s="133">
        <v>0.15</v>
      </c>
      <c r="AB73" s="133">
        <f t="shared" si="26"/>
        <v>0.49820000000000003</v>
      </c>
      <c r="AC73" s="134">
        <v>0</v>
      </c>
      <c r="AD73" s="134">
        <v>0</v>
      </c>
      <c r="AE73" s="134">
        <v>0.03</v>
      </c>
      <c r="AF73" s="134">
        <v>0</v>
      </c>
      <c r="AG73" s="134">
        <v>0.1</v>
      </c>
      <c r="AH73" s="134">
        <v>0</v>
      </c>
      <c r="AI73" s="134">
        <v>0</v>
      </c>
      <c r="AJ73" s="134">
        <v>0</v>
      </c>
      <c r="AK73" s="134" t="s">
        <v>175</v>
      </c>
      <c r="AL73" s="122" t="s">
        <v>175</v>
      </c>
      <c r="AM73" s="122">
        <v>-31.71</v>
      </c>
      <c r="AN73" s="134" t="s">
        <v>176</v>
      </c>
      <c r="AO73" s="122" t="s">
        <v>177</v>
      </c>
      <c r="AP73" s="135">
        <f t="shared" si="27"/>
        <v>0.53134568785302105</v>
      </c>
      <c r="AQ73" s="135">
        <f t="shared" si="24"/>
        <v>0.53134568785302105</v>
      </c>
      <c r="AR73" s="117">
        <v>-1.1783804330000001</v>
      </c>
      <c r="AS73" s="117">
        <v>0</v>
      </c>
      <c r="AT73" s="117">
        <v>0</v>
      </c>
      <c r="AU73" s="117">
        <v>-0.86486540899999997</v>
      </c>
      <c r="AV73" s="117">
        <v>-0.61216240399999999</v>
      </c>
      <c r="AW73" s="117">
        <v>-2.3986653E-2</v>
      </c>
      <c r="AX73" s="117">
        <v>0.54054060100000001</v>
      </c>
      <c r="AY73" s="117">
        <v>0.84054060100000005</v>
      </c>
      <c r="AZ73" s="117">
        <v>0</v>
      </c>
      <c r="BA73" s="117">
        <v>0</v>
      </c>
      <c r="BB73" s="117">
        <v>1.2540556249999999</v>
      </c>
      <c r="BC73" s="136" t="str">
        <f t="shared" si="28"/>
        <v>0</v>
      </c>
      <c r="BD73" s="136" t="s">
        <v>178</v>
      </c>
      <c r="BE73" s="136" t="s">
        <v>689</v>
      </c>
      <c r="BF73" s="136" t="s">
        <v>226</v>
      </c>
      <c r="BG73" s="120" t="s">
        <v>657</v>
      </c>
      <c r="BH73" s="136" t="str">
        <f t="shared" si="12"/>
        <v>HAT-LAT</v>
      </c>
      <c r="BI73" s="136">
        <f t="shared" si="13"/>
        <v>3.7837595999999918E-2</v>
      </c>
      <c r="BJ73" s="136">
        <f t="shared" si="21"/>
        <v>1.216218029</v>
      </c>
      <c r="BK73" s="136">
        <f t="shared" si="22"/>
        <v>0.27</v>
      </c>
      <c r="BL73" s="136">
        <v>0.14375125189197213</v>
      </c>
      <c r="BM73" s="136" t="s">
        <v>175</v>
      </c>
      <c r="BN73" s="136" t="s">
        <v>175</v>
      </c>
      <c r="BO73" s="136">
        <v>0.32792739620416445</v>
      </c>
      <c r="BP73" s="137" t="s">
        <v>175</v>
      </c>
      <c r="BQ73" s="137" t="s">
        <v>175</v>
      </c>
      <c r="BR73" s="137" t="s">
        <v>175</v>
      </c>
      <c r="BS73" s="137" t="s">
        <v>175</v>
      </c>
      <c r="BT73" s="138">
        <f t="shared" si="29"/>
        <v>-31.747837596</v>
      </c>
      <c r="BU73" s="138">
        <f t="shared" si="30"/>
        <v>1.4009337363581467</v>
      </c>
      <c r="BV73" s="138">
        <f t="shared" si="31"/>
        <v>1.4009337363581467</v>
      </c>
      <c r="BW73" s="53" t="s">
        <v>175</v>
      </c>
      <c r="BX73" s="53" t="s">
        <v>175</v>
      </c>
      <c r="BY73" s="53" t="s">
        <v>175</v>
      </c>
      <c r="BZ73" s="53" t="s">
        <v>175</v>
      </c>
      <c r="CA73" s="147">
        <v>1</v>
      </c>
      <c r="CB73" s="54">
        <v>0</v>
      </c>
    </row>
    <row r="74" spans="1:87">
      <c r="A74" s="123" t="s">
        <v>317</v>
      </c>
      <c r="B74" s="124" t="s">
        <v>314</v>
      </c>
      <c r="C74" s="148" t="s">
        <v>674</v>
      </c>
      <c r="D74" s="125" t="s">
        <v>167</v>
      </c>
      <c r="E74" s="127">
        <v>22.21</v>
      </c>
      <c r="F74" s="127">
        <v>113.89</v>
      </c>
      <c r="G74" s="128" t="s">
        <v>168</v>
      </c>
      <c r="H74" s="129">
        <v>8710</v>
      </c>
      <c r="I74" s="129">
        <v>30</v>
      </c>
      <c r="J74" s="129">
        <v>9641</v>
      </c>
      <c r="K74" s="129">
        <v>238</v>
      </c>
      <c r="L74" s="129">
        <v>93</v>
      </c>
      <c r="M74" s="130" t="s">
        <v>316</v>
      </c>
      <c r="N74" s="146" t="s">
        <v>528</v>
      </c>
      <c r="O74" s="130" t="s">
        <v>315</v>
      </c>
      <c r="P74" s="130" t="s">
        <v>318</v>
      </c>
      <c r="Q74" s="130" t="s">
        <v>172</v>
      </c>
      <c r="R74" s="131">
        <v>25.73</v>
      </c>
      <c r="S74" s="131">
        <v>0.13999999999999346</v>
      </c>
      <c r="T74" s="130">
        <v>0</v>
      </c>
      <c r="U74" s="132" t="s">
        <v>173</v>
      </c>
      <c r="V74" s="133">
        <v>0.05</v>
      </c>
      <c r="W74" s="132" t="s">
        <v>174</v>
      </c>
      <c r="X74" s="133">
        <v>0.05</v>
      </c>
      <c r="Y74" s="133">
        <v>2.5000000000000001E-2</v>
      </c>
      <c r="Z74" s="133">
        <v>0.01</v>
      </c>
      <c r="AA74" s="133">
        <v>0.15</v>
      </c>
      <c r="AB74" s="133">
        <f t="shared" si="26"/>
        <v>0.51460000000000006</v>
      </c>
      <c r="AC74" s="134">
        <v>0</v>
      </c>
      <c r="AD74" s="134">
        <v>0</v>
      </c>
      <c r="AE74" s="134">
        <v>0.03</v>
      </c>
      <c r="AF74" s="134">
        <v>0</v>
      </c>
      <c r="AG74" s="134">
        <v>0.1</v>
      </c>
      <c r="AH74" s="134">
        <v>0</v>
      </c>
      <c r="AI74" s="134">
        <v>0</v>
      </c>
      <c r="AJ74" s="134">
        <v>0</v>
      </c>
      <c r="AK74" s="134" t="s">
        <v>175</v>
      </c>
      <c r="AL74" s="122" t="s">
        <v>175</v>
      </c>
      <c r="AM74" s="122">
        <v>-32.53</v>
      </c>
      <c r="AN74" s="134" t="s">
        <v>176</v>
      </c>
      <c r="AO74" s="122" t="s">
        <v>177</v>
      </c>
      <c r="AP74" s="135">
        <f t="shared" si="27"/>
        <v>0.54675237539493149</v>
      </c>
      <c r="AQ74" s="135">
        <f t="shared" si="24"/>
        <v>0.54675237539493149</v>
      </c>
      <c r="AR74" s="117">
        <v>-1.1783804330000001</v>
      </c>
      <c r="AS74" s="117">
        <v>0</v>
      </c>
      <c r="AT74" s="117">
        <v>0</v>
      </c>
      <c r="AU74" s="117">
        <v>-0.86486540899999997</v>
      </c>
      <c r="AV74" s="117">
        <v>-0.61216240399999999</v>
      </c>
      <c r="AW74" s="117">
        <v>-2.3986653E-2</v>
      </c>
      <c r="AX74" s="117">
        <v>0.54054060100000001</v>
      </c>
      <c r="AY74" s="117">
        <v>0.84054060100000005</v>
      </c>
      <c r="AZ74" s="117">
        <v>0</v>
      </c>
      <c r="BA74" s="117">
        <v>0</v>
      </c>
      <c r="BB74" s="117">
        <v>1.2540556249999999</v>
      </c>
      <c r="BC74" s="136" t="str">
        <f t="shared" si="28"/>
        <v>0</v>
      </c>
      <c r="BD74" s="136" t="s">
        <v>178</v>
      </c>
      <c r="BE74" s="136" t="s">
        <v>689</v>
      </c>
      <c r="BF74" s="136" t="s">
        <v>226</v>
      </c>
      <c r="BG74" s="120" t="s">
        <v>657</v>
      </c>
      <c r="BH74" s="136" t="str">
        <f t="shared" si="12"/>
        <v>HAT-LAT</v>
      </c>
      <c r="BI74" s="136">
        <f t="shared" si="13"/>
        <v>3.7837595999999918E-2</v>
      </c>
      <c r="BJ74" s="136">
        <f t="shared" si="21"/>
        <v>1.216218029</v>
      </c>
      <c r="BK74" s="136">
        <f t="shared" si="22"/>
        <v>0.27</v>
      </c>
      <c r="BL74" s="136">
        <v>0.14375125189197213</v>
      </c>
      <c r="BM74" s="136" t="s">
        <v>175</v>
      </c>
      <c r="BN74" s="136" t="s">
        <v>175</v>
      </c>
      <c r="BO74" s="136">
        <v>0.32792739620416445</v>
      </c>
      <c r="BP74" s="137" t="s">
        <v>175</v>
      </c>
      <c r="BQ74" s="137" t="s">
        <v>175</v>
      </c>
      <c r="BR74" s="137" t="s">
        <v>175</v>
      </c>
      <c r="BS74" s="137" t="s">
        <v>175</v>
      </c>
      <c r="BT74" s="138">
        <f t="shared" si="29"/>
        <v>-32.567837596000004</v>
      </c>
      <c r="BU74" s="138">
        <f t="shared" si="30"/>
        <v>1.4068494068898765</v>
      </c>
      <c r="BV74" s="138">
        <f t="shared" si="31"/>
        <v>1.4068494068898765</v>
      </c>
      <c r="BW74" s="53" t="s">
        <v>175</v>
      </c>
      <c r="BX74" s="53" t="s">
        <v>175</v>
      </c>
      <c r="BY74" s="53" t="s">
        <v>175</v>
      </c>
      <c r="BZ74" s="53" t="s">
        <v>175</v>
      </c>
      <c r="CA74" s="147">
        <v>1</v>
      </c>
      <c r="CB74" s="54">
        <v>0</v>
      </c>
    </row>
    <row r="75" spans="1:87">
      <c r="A75" s="123" t="s">
        <v>488</v>
      </c>
      <c r="B75" s="124" t="s">
        <v>733</v>
      </c>
      <c r="C75" s="148" t="s">
        <v>674</v>
      </c>
      <c r="D75" s="125" t="s">
        <v>167</v>
      </c>
      <c r="E75" s="127">
        <v>22.45</v>
      </c>
      <c r="F75" s="127">
        <v>113.88333333333334</v>
      </c>
      <c r="G75" s="128" t="s">
        <v>168</v>
      </c>
      <c r="H75" s="129">
        <v>6498.8105623511883</v>
      </c>
      <c r="I75" s="129">
        <v>206.06923373106474</v>
      </c>
      <c r="J75" s="129">
        <v>7378</v>
      </c>
      <c r="K75" s="129">
        <v>397</v>
      </c>
      <c r="L75" s="129">
        <v>476</v>
      </c>
      <c r="M75" s="130" t="s">
        <v>489</v>
      </c>
      <c r="N75" s="149" t="s">
        <v>735</v>
      </c>
      <c r="O75" s="130" t="s">
        <v>490</v>
      </c>
      <c r="P75" s="130" t="s">
        <v>491</v>
      </c>
      <c r="Q75" s="130"/>
      <c r="R75" s="131">
        <v>8.9</v>
      </c>
      <c r="S75" s="131">
        <v>6.1</v>
      </c>
      <c r="T75" s="130">
        <v>1</v>
      </c>
      <c r="U75" s="132" t="s">
        <v>173</v>
      </c>
      <c r="V75" s="133">
        <v>0.1</v>
      </c>
      <c r="W75" s="132" t="s">
        <v>174</v>
      </c>
      <c r="X75" s="133">
        <v>0.1</v>
      </c>
      <c r="Y75" s="133">
        <v>0.05</v>
      </c>
      <c r="Z75" s="133">
        <v>0.01</v>
      </c>
      <c r="AA75" s="133">
        <v>0.15</v>
      </c>
      <c r="AB75" s="133">
        <f t="shared" si="26"/>
        <v>0.17800000000000002</v>
      </c>
      <c r="AC75" s="134">
        <v>0</v>
      </c>
      <c r="AD75" s="134">
        <v>0</v>
      </c>
      <c r="AE75" s="134">
        <v>0.5</v>
      </c>
      <c r="AF75" s="134">
        <v>0</v>
      </c>
      <c r="AG75" s="134">
        <v>0.1</v>
      </c>
      <c r="AH75" s="134">
        <v>0</v>
      </c>
      <c r="AI75" s="134">
        <v>0</v>
      </c>
      <c r="AJ75" s="134">
        <v>0</v>
      </c>
      <c r="AK75" s="134" t="s">
        <v>175</v>
      </c>
      <c r="AL75" s="122" t="s">
        <v>175</v>
      </c>
      <c r="AM75" s="122">
        <v>-10.1</v>
      </c>
      <c r="AN75" s="134" t="s">
        <v>176</v>
      </c>
      <c r="AO75" s="134" t="s">
        <v>177</v>
      </c>
      <c r="AP75" s="135">
        <f t="shared" si="27"/>
        <v>0.56283567761825481</v>
      </c>
      <c r="AQ75" s="135">
        <f t="shared" si="24"/>
        <v>0.56283567761825481</v>
      </c>
      <c r="AR75" s="117">
        <v>-1.6902048789999999</v>
      </c>
      <c r="AS75" s="117">
        <v>0</v>
      </c>
      <c r="AT75" s="117">
        <v>0</v>
      </c>
      <c r="AU75" s="117">
        <v>-1.1804097579999999</v>
      </c>
      <c r="AV75" s="117">
        <v>-0.64265365900000004</v>
      </c>
      <c r="AW75" s="117">
        <v>-3.5663414999999997E-2</v>
      </c>
      <c r="AX75" s="117">
        <v>0.59510243900000004</v>
      </c>
      <c r="AY75" s="117">
        <v>1.0853073179999999</v>
      </c>
      <c r="AZ75" s="117">
        <v>0</v>
      </c>
      <c r="BA75" s="117">
        <v>0</v>
      </c>
      <c r="BB75" s="117">
        <v>1.6042251160000001</v>
      </c>
      <c r="BC75" s="136" t="str">
        <f t="shared" si="28"/>
        <v>-1</v>
      </c>
      <c r="BD75" s="136" t="s">
        <v>178</v>
      </c>
      <c r="BE75" s="136" t="s">
        <v>518</v>
      </c>
      <c r="BF75" s="136" t="s">
        <v>301</v>
      </c>
      <c r="BG75" s="120" t="s">
        <v>678</v>
      </c>
      <c r="BH75" s="136" t="str">
        <f t="shared" si="12"/>
        <v>&lt;MTL</v>
      </c>
      <c r="BI75" s="136">
        <f t="shared" si="13"/>
        <v>-3.5663414999999997E-2</v>
      </c>
      <c r="BJ75" s="136" t="str">
        <f t="shared" si="21"/>
        <v>Nil</v>
      </c>
      <c r="BK75" s="136">
        <f t="shared" si="22"/>
        <v>0.05</v>
      </c>
      <c r="BL75" s="136" t="s">
        <v>736</v>
      </c>
      <c r="BM75" s="136" t="s">
        <v>175</v>
      </c>
      <c r="BN75" s="136" t="s">
        <v>175</v>
      </c>
      <c r="BO75" s="136" t="s">
        <v>736</v>
      </c>
      <c r="BP75" s="137" t="s">
        <v>175</v>
      </c>
      <c r="BQ75" s="137" t="s">
        <v>175</v>
      </c>
      <c r="BR75" s="137" t="s">
        <v>175</v>
      </c>
      <c r="BS75" s="137" t="s">
        <v>175</v>
      </c>
      <c r="BT75" s="138">
        <f t="shared" si="29"/>
        <v>-10.064336585</v>
      </c>
      <c r="BU75" s="138">
        <f t="shared" si="30"/>
        <v>0.56505220997709593</v>
      </c>
      <c r="BV75" s="138">
        <f t="shared" si="31"/>
        <v>0.56505220997709593</v>
      </c>
      <c r="BW75" s="53" t="s">
        <v>175</v>
      </c>
      <c r="BX75" s="53" t="s">
        <v>175</v>
      </c>
      <c r="BY75" s="53" t="s">
        <v>175</v>
      </c>
      <c r="BZ75" s="53" t="s">
        <v>175</v>
      </c>
      <c r="CA75" s="147">
        <v>2</v>
      </c>
      <c r="CB75" s="54">
        <v>0</v>
      </c>
    </row>
    <row r="76" spans="1:87">
      <c r="A76" s="123" t="s">
        <v>497</v>
      </c>
      <c r="B76" s="124" t="s">
        <v>731</v>
      </c>
      <c r="C76" s="148" t="s">
        <v>674</v>
      </c>
      <c r="D76" s="125" t="s">
        <v>167</v>
      </c>
      <c r="E76" s="127">
        <v>22.45</v>
      </c>
      <c r="F76" s="127">
        <v>113.88333333333334</v>
      </c>
      <c r="G76" s="128" t="s">
        <v>168</v>
      </c>
      <c r="H76" s="129">
        <v>7108.810562351191</v>
      </c>
      <c r="I76" s="129">
        <v>188.85054696904689</v>
      </c>
      <c r="J76" s="129">
        <v>7931</v>
      </c>
      <c r="K76" s="129">
        <v>394</v>
      </c>
      <c r="L76" s="129">
        <v>325</v>
      </c>
      <c r="M76" s="130" t="s">
        <v>498</v>
      </c>
      <c r="N76" s="149" t="s">
        <v>735</v>
      </c>
      <c r="O76" s="130" t="s">
        <v>499</v>
      </c>
      <c r="P76" s="130" t="s">
        <v>500</v>
      </c>
      <c r="Q76" s="130" t="s">
        <v>172</v>
      </c>
      <c r="R76" s="131">
        <v>14</v>
      </c>
      <c r="S76" s="131">
        <v>1.7</v>
      </c>
      <c r="T76" s="130">
        <v>0</v>
      </c>
      <c r="U76" s="132" t="s">
        <v>173</v>
      </c>
      <c r="V76" s="133">
        <v>0.1</v>
      </c>
      <c r="W76" s="132" t="s">
        <v>174</v>
      </c>
      <c r="X76" s="133">
        <v>0.1</v>
      </c>
      <c r="Y76" s="133">
        <v>0.05</v>
      </c>
      <c r="Z76" s="133">
        <v>0.01</v>
      </c>
      <c r="AA76" s="133">
        <v>0.15</v>
      </c>
      <c r="AB76" s="133">
        <f t="shared" si="26"/>
        <v>0.28000000000000003</v>
      </c>
      <c r="AC76" s="134">
        <v>0</v>
      </c>
      <c r="AD76" s="134">
        <v>0</v>
      </c>
      <c r="AE76" s="134">
        <v>0.5</v>
      </c>
      <c r="AF76" s="134">
        <v>0</v>
      </c>
      <c r="AG76" s="134">
        <v>0.1</v>
      </c>
      <c r="AH76" s="134">
        <v>0</v>
      </c>
      <c r="AI76" s="134">
        <v>0</v>
      </c>
      <c r="AJ76" s="134">
        <v>0</v>
      </c>
      <c r="AK76" s="134" t="s">
        <v>175</v>
      </c>
      <c r="AL76" s="122" t="s">
        <v>175</v>
      </c>
      <c r="AM76" s="122">
        <v>-15.1</v>
      </c>
      <c r="AN76" s="134" t="s">
        <v>176</v>
      </c>
      <c r="AO76" s="134" t="s">
        <v>177</v>
      </c>
      <c r="AP76" s="135">
        <f t="shared" si="27"/>
        <v>0.60290961179931446</v>
      </c>
      <c r="AQ76" s="135">
        <f t="shared" si="24"/>
        <v>0.60290961179931446</v>
      </c>
      <c r="AR76" s="117">
        <v>-1.6902048789999999</v>
      </c>
      <c r="AS76" s="117">
        <v>0</v>
      </c>
      <c r="AT76" s="117">
        <v>0</v>
      </c>
      <c r="AU76" s="117">
        <v>-1.1804097579999999</v>
      </c>
      <c r="AV76" s="117">
        <v>-0.64265365900000004</v>
      </c>
      <c r="AW76" s="117">
        <v>-3.5663414999999997E-2</v>
      </c>
      <c r="AX76" s="117">
        <v>0.59510243900000004</v>
      </c>
      <c r="AY76" s="117">
        <v>1.0853073179999999</v>
      </c>
      <c r="AZ76" s="117">
        <v>0</v>
      </c>
      <c r="BA76" s="117">
        <v>0</v>
      </c>
      <c r="BB76" s="117">
        <v>1.204802342</v>
      </c>
      <c r="BC76" s="136" t="str">
        <f t="shared" si="28"/>
        <v>-1</v>
      </c>
      <c r="BD76" s="136" t="s">
        <v>178</v>
      </c>
      <c r="BE76" s="136" t="s">
        <v>518</v>
      </c>
      <c r="BF76" s="136" t="s">
        <v>301</v>
      </c>
      <c r="BG76" s="120" t="s">
        <v>678</v>
      </c>
      <c r="BH76" s="136" t="str">
        <f t="shared" si="12"/>
        <v>&lt;MTL</v>
      </c>
      <c r="BI76" s="136">
        <f t="shared" si="13"/>
        <v>-3.5663414999999997E-2</v>
      </c>
      <c r="BJ76" s="136" t="str">
        <f t="shared" si="21"/>
        <v>Nil</v>
      </c>
      <c r="BK76" s="136">
        <f t="shared" si="22"/>
        <v>0.05</v>
      </c>
      <c r="BL76" s="136" t="s">
        <v>736</v>
      </c>
      <c r="BM76" s="136" t="s">
        <v>175</v>
      </c>
      <c r="BN76" s="136" t="s">
        <v>175</v>
      </c>
      <c r="BO76" s="136" t="s">
        <v>736</v>
      </c>
      <c r="BP76" s="137" t="s">
        <v>175</v>
      </c>
      <c r="BQ76" s="137" t="s">
        <v>175</v>
      </c>
      <c r="BR76" s="137" t="s">
        <v>175</v>
      </c>
      <c r="BS76" s="137" t="s">
        <v>175</v>
      </c>
      <c r="BT76" s="138">
        <f t="shared" si="29"/>
        <v>-15.064336585</v>
      </c>
      <c r="BU76" s="138">
        <f t="shared" si="30"/>
        <v>0.60497933849016694</v>
      </c>
      <c r="BV76" s="138">
        <f t="shared" si="31"/>
        <v>0.60497933849016694</v>
      </c>
      <c r="BW76" s="53" t="s">
        <v>175</v>
      </c>
      <c r="BX76" s="53" t="s">
        <v>175</v>
      </c>
      <c r="BY76" s="53" t="s">
        <v>175</v>
      </c>
      <c r="BZ76" s="53" t="s">
        <v>175</v>
      </c>
      <c r="CA76" s="147">
        <v>2</v>
      </c>
      <c r="CB76" s="54">
        <v>0</v>
      </c>
    </row>
    <row r="77" spans="1:87" ht="17" customHeight="1">
      <c r="A77" s="123" t="s">
        <v>375</v>
      </c>
      <c r="B77" s="124" t="s">
        <v>966</v>
      </c>
      <c r="C77" s="148" t="s">
        <v>674</v>
      </c>
      <c r="D77" s="125" t="s">
        <v>167</v>
      </c>
      <c r="E77" s="127">
        <v>22.45</v>
      </c>
      <c r="F77" s="127">
        <v>113.88</v>
      </c>
      <c r="G77" s="128" t="s">
        <v>168</v>
      </c>
      <c r="H77" s="129">
        <v>1308.8105623511881</v>
      </c>
      <c r="I77" s="129">
        <v>122.32959204750168</v>
      </c>
      <c r="J77" s="129">
        <v>1206</v>
      </c>
      <c r="K77" s="129">
        <v>205</v>
      </c>
      <c r="L77" s="129">
        <v>269</v>
      </c>
      <c r="M77" s="130" t="s">
        <v>725</v>
      </c>
      <c r="N77" s="149" t="s">
        <v>735</v>
      </c>
      <c r="O77" s="130" t="s">
        <v>175</v>
      </c>
      <c r="P77" s="130" t="s">
        <v>376</v>
      </c>
      <c r="Q77" s="130" t="s">
        <v>377</v>
      </c>
      <c r="R77" s="131">
        <v>0.5</v>
      </c>
      <c r="S77" s="131">
        <v>11.8</v>
      </c>
      <c r="T77" s="130">
        <v>1</v>
      </c>
      <c r="U77" s="132" t="s">
        <v>173</v>
      </c>
      <c r="V77" s="133">
        <v>0.1</v>
      </c>
      <c r="W77" s="132" t="s">
        <v>174</v>
      </c>
      <c r="X77" s="133">
        <v>0.1</v>
      </c>
      <c r="Y77" s="133">
        <v>0.05</v>
      </c>
      <c r="Z77" s="133">
        <v>0.01</v>
      </c>
      <c r="AA77" s="133">
        <v>0.15</v>
      </c>
      <c r="AB77" s="133">
        <f t="shared" si="26"/>
        <v>0.01</v>
      </c>
      <c r="AC77" s="134">
        <v>0</v>
      </c>
      <c r="AD77" s="134">
        <v>0</v>
      </c>
      <c r="AE77" s="134">
        <v>0.5</v>
      </c>
      <c r="AF77" s="134">
        <v>0</v>
      </c>
      <c r="AG77" s="134">
        <v>0.1</v>
      </c>
      <c r="AH77" s="134">
        <v>0</v>
      </c>
      <c r="AI77" s="134">
        <v>0</v>
      </c>
      <c r="AJ77" s="134">
        <v>0</v>
      </c>
      <c r="AK77" s="134" t="s">
        <v>175</v>
      </c>
      <c r="AL77" s="122" t="s">
        <v>175</v>
      </c>
      <c r="AM77" s="122">
        <v>2</v>
      </c>
      <c r="AN77" s="134" t="s">
        <v>176</v>
      </c>
      <c r="AO77" s="122" t="s">
        <v>177</v>
      </c>
      <c r="AP77" s="135">
        <f t="shared" si="27"/>
        <v>0.53404119691274754</v>
      </c>
      <c r="AQ77" s="135">
        <f t="shared" si="24"/>
        <v>0.53404119691274754</v>
      </c>
      <c r="AR77" s="117">
        <v>-1.690230082</v>
      </c>
      <c r="AS77" s="117">
        <v>0</v>
      </c>
      <c r="AT77" s="117">
        <v>0</v>
      </c>
      <c r="AU77" s="117">
        <v>-1.1804601640000001</v>
      </c>
      <c r="AV77" s="117">
        <v>-0.642672562</v>
      </c>
      <c r="AW77" s="117">
        <v>-3.5668140000000001E-2</v>
      </c>
      <c r="AX77" s="117">
        <v>0.59511504100000001</v>
      </c>
      <c r="AY77" s="117">
        <v>1.085345123</v>
      </c>
      <c r="AZ77" s="117">
        <v>0</v>
      </c>
      <c r="BA77" s="117">
        <v>0</v>
      </c>
      <c r="BB77" s="117">
        <v>1.5993774620000001</v>
      </c>
      <c r="BC77" s="136" t="str">
        <f t="shared" si="28"/>
        <v xml:space="preserve">-1 </v>
      </c>
      <c r="BD77" s="136" t="s">
        <v>178</v>
      </c>
      <c r="BE77" s="136" t="s">
        <v>690</v>
      </c>
      <c r="BF77" s="136" t="s">
        <v>724</v>
      </c>
      <c r="BG77" s="120" t="s">
        <v>661</v>
      </c>
      <c r="BH77" s="136" t="str">
        <f t="shared" si="12"/>
        <v>&lt;HAT</v>
      </c>
      <c r="BI77" s="136">
        <f t="shared" si="13"/>
        <v>1.5993774620000001</v>
      </c>
      <c r="BJ77" s="136" t="str">
        <f t="shared" si="21"/>
        <v>Nil</v>
      </c>
      <c r="BK77" s="136">
        <f t="shared" si="22"/>
        <v>0.18</v>
      </c>
      <c r="BL77" s="136" t="s">
        <v>736</v>
      </c>
      <c r="BM77" s="136" t="s">
        <v>175</v>
      </c>
      <c r="BN77" s="136" t="s">
        <v>175</v>
      </c>
      <c r="BO77" s="136" t="s">
        <v>736</v>
      </c>
      <c r="BP77" s="137" t="s">
        <v>175</v>
      </c>
      <c r="BQ77" s="137" t="s">
        <v>175</v>
      </c>
      <c r="BR77" s="137" t="s">
        <v>175</v>
      </c>
      <c r="BS77" s="137" t="s">
        <v>175</v>
      </c>
      <c r="BT77" s="138">
        <f t="shared" si="29"/>
        <v>0.40062253799999992</v>
      </c>
      <c r="BU77" s="138">
        <f t="shared" si="30"/>
        <v>0.56356011214421486</v>
      </c>
      <c r="BV77" s="138">
        <f t="shared" si="31"/>
        <v>0.56356011214421486</v>
      </c>
      <c r="BW77" s="53" t="s">
        <v>175</v>
      </c>
      <c r="BX77" s="53" t="s">
        <v>175</v>
      </c>
      <c r="BY77" s="53" t="s">
        <v>175</v>
      </c>
      <c r="BZ77" s="53" t="s">
        <v>175</v>
      </c>
      <c r="CA77" s="147">
        <v>2</v>
      </c>
      <c r="CB77" s="54">
        <v>0</v>
      </c>
    </row>
    <row r="78" spans="1:87">
      <c r="A78" s="123" t="s">
        <v>227</v>
      </c>
      <c r="B78" s="124" t="s">
        <v>228</v>
      </c>
      <c r="C78" s="148" t="s">
        <v>674</v>
      </c>
      <c r="D78" s="125" t="s">
        <v>167</v>
      </c>
      <c r="E78" s="150">
        <v>22.183157999999999</v>
      </c>
      <c r="F78" s="150">
        <v>113.86835000000001</v>
      </c>
      <c r="G78" s="128" t="s">
        <v>168</v>
      </c>
      <c r="H78" s="151">
        <v>390.68186471624904</v>
      </c>
      <c r="I78" s="151">
        <v>438.87986471624902</v>
      </c>
      <c r="J78" s="151">
        <v>245</v>
      </c>
      <c r="K78" s="151">
        <v>498</v>
      </c>
      <c r="L78" s="151">
        <v>244</v>
      </c>
      <c r="M78" s="153" t="s">
        <v>755</v>
      </c>
      <c r="N78" s="130" t="s">
        <v>339</v>
      </c>
      <c r="O78" s="130" t="s">
        <v>175</v>
      </c>
      <c r="P78" s="153" t="s">
        <v>230</v>
      </c>
      <c r="Q78" s="153" t="s">
        <v>172</v>
      </c>
      <c r="R78" s="131">
        <v>1.5</v>
      </c>
      <c r="S78" s="112" t="s">
        <v>231</v>
      </c>
      <c r="T78" s="130">
        <v>1</v>
      </c>
      <c r="U78" s="132" t="s">
        <v>173</v>
      </c>
      <c r="V78" s="133">
        <v>0.05</v>
      </c>
      <c r="W78" s="132" t="s">
        <v>174</v>
      </c>
      <c r="X78" s="133">
        <v>0.05</v>
      </c>
      <c r="Y78" s="133">
        <v>2.5000000000000001E-2</v>
      </c>
      <c r="Z78" s="133">
        <v>0.01</v>
      </c>
      <c r="AA78" s="133">
        <v>0.15</v>
      </c>
      <c r="AB78" s="133">
        <f>0.02*R78</f>
        <v>0.03</v>
      </c>
      <c r="AC78" s="134">
        <v>0</v>
      </c>
      <c r="AD78" s="134">
        <v>0</v>
      </c>
      <c r="AE78" s="134">
        <v>0.03</v>
      </c>
      <c r="AF78" s="134">
        <v>0</v>
      </c>
      <c r="AG78" s="134">
        <v>0.1</v>
      </c>
      <c r="AH78" s="134">
        <v>0</v>
      </c>
      <c r="AI78" s="134">
        <v>2.5</v>
      </c>
      <c r="AJ78" s="134">
        <v>0</v>
      </c>
      <c r="AK78" s="134" t="s">
        <v>175</v>
      </c>
      <c r="AL78" s="122" t="s">
        <v>175</v>
      </c>
      <c r="AM78" s="122">
        <v>-9.98</v>
      </c>
      <c r="AN78" s="134" t="s">
        <v>176</v>
      </c>
      <c r="AO78" s="134" t="s">
        <v>177</v>
      </c>
      <c r="AP78" s="135">
        <f t="shared" si="27"/>
        <v>2.5069952133979037</v>
      </c>
      <c r="AQ78" s="135">
        <f t="shared" si="24"/>
        <v>2.5069952133979037</v>
      </c>
      <c r="AR78" s="117">
        <v>-1.3073044110000001</v>
      </c>
      <c r="AS78" s="117">
        <v>0</v>
      </c>
      <c r="AT78" s="117">
        <v>0</v>
      </c>
      <c r="AU78" s="117">
        <v>-0.89899234400000005</v>
      </c>
      <c r="AV78" s="117">
        <v>-0.62732993100000001</v>
      </c>
      <c r="AW78" s="117">
        <v>-3.4414327000000001E-2</v>
      </c>
      <c r="AX78" s="117">
        <v>0.54433248300000003</v>
      </c>
      <c r="AY78" s="117">
        <v>0.84433248299999997</v>
      </c>
      <c r="AZ78" s="117">
        <v>0</v>
      </c>
      <c r="BA78" s="117">
        <v>0</v>
      </c>
      <c r="BB78" s="117">
        <v>1.3526445499999999</v>
      </c>
      <c r="BC78" s="136" t="str">
        <f t="shared" si="28"/>
        <v>-1</v>
      </c>
      <c r="BD78" s="136" t="s">
        <v>178</v>
      </c>
      <c r="BE78" s="136" t="s">
        <v>688</v>
      </c>
      <c r="BF78" s="152" t="s">
        <v>232</v>
      </c>
      <c r="BG78" s="120" t="s">
        <v>678</v>
      </c>
      <c r="BH78" s="136" t="str">
        <f t="shared" si="12"/>
        <v>&lt;MTL</v>
      </c>
      <c r="BI78" s="136">
        <f t="shared" si="13"/>
        <v>-3.4414327000000001E-2</v>
      </c>
      <c r="BJ78" s="136" t="str">
        <f t="shared" si="21"/>
        <v>Nil</v>
      </c>
      <c r="BK78" s="136">
        <f t="shared" si="22"/>
        <v>0.05</v>
      </c>
      <c r="BL78" s="136" t="s">
        <v>736</v>
      </c>
      <c r="BM78" s="136" t="s">
        <v>175</v>
      </c>
      <c r="BN78" s="136" t="s">
        <v>175</v>
      </c>
      <c r="BO78" s="136" t="s">
        <v>736</v>
      </c>
      <c r="BP78" s="137" t="s">
        <v>175</v>
      </c>
      <c r="BQ78" s="137" t="s">
        <v>175</v>
      </c>
      <c r="BR78" s="137" t="s">
        <v>175</v>
      </c>
      <c r="BS78" s="137" t="s">
        <v>175</v>
      </c>
      <c r="BT78" s="138">
        <f t="shared" si="29"/>
        <v>-9.9455856730000001</v>
      </c>
      <c r="BU78" s="138">
        <f t="shared" si="30"/>
        <v>2.5074937686861758</v>
      </c>
      <c r="BV78" s="138">
        <f t="shared" si="31"/>
        <v>2.5074937686861758</v>
      </c>
      <c r="BW78" s="53" t="s">
        <v>175</v>
      </c>
      <c r="BX78" s="53" t="s">
        <v>175</v>
      </c>
      <c r="BY78" s="53" t="s">
        <v>175</v>
      </c>
      <c r="BZ78" s="53" t="s">
        <v>175</v>
      </c>
      <c r="CA78" s="147">
        <v>1</v>
      </c>
      <c r="CB78" s="54">
        <v>0</v>
      </c>
    </row>
    <row r="79" spans="1:87">
      <c r="A79" s="123" t="s">
        <v>233</v>
      </c>
      <c r="B79" s="124" t="s">
        <v>228</v>
      </c>
      <c r="C79" s="148" t="s">
        <v>674</v>
      </c>
      <c r="D79" s="125" t="s">
        <v>167</v>
      </c>
      <c r="E79" s="150">
        <v>22.183157999999999</v>
      </c>
      <c r="F79" s="150">
        <v>113.86835000000001</v>
      </c>
      <c r="G79" s="128" t="s">
        <v>168</v>
      </c>
      <c r="H79" s="151">
        <v>390.68186471624813</v>
      </c>
      <c r="I79" s="151">
        <v>438.87986471624811</v>
      </c>
      <c r="J79" s="151">
        <v>245</v>
      </c>
      <c r="K79" s="151">
        <v>498</v>
      </c>
      <c r="L79" s="151">
        <v>244</v>
      </c>
      <c r="M79" s="153" t="s">
        <v>756</v>
      </c>
      <c r="N79" s="130" t="s">
        <v>339</v>
      </c>
      <c r="O79" s="130" t="s">
        <v>229</v>
      </c>
      <c r="P79" s="153" t="s">
        <v>229</v>
      </c>
      <c r="Q79" s="153" t="s">
        <v>172</v>
      </c>
      <c r="R79" s="131">
        <v>6</v>
      </c>
      <c r="S79" s="112" t="s">
        <v>235</v>
      </c>
      <c r="T79" s="130">
        <v>1</v>
      </c>
      <c r="U79" s="132" t="s">
        <v>173</v>
      </c>
      <c r="V79" s="133">
        <v>0.05</v>
      </c>
      <c r="W79" s="132" t="s">
        <v>174</v>
      </c>
      <c r="X79" s="133">
        <v>0.05</v>
      </c>
      <c r="Y79" s="133">
        <v>2.5000000000000001E-2</v>
      </c>
      <c r="Z79" s="133">
        <v>0.01</v>
      </c>
      <c r="AA79" s="133">
        <v>0.15</v>
      </c>
      <c r="AB79" s="133">
        <f t="shared" si="26"/>
        <v>0.12</v>
      </c>
      <c r="AC79" s="134">
        <v>0</v>
      </c>
      <c r="AD79" s="134">
        <v>0</v>
      </c>
      <c r="AE79" s="134">
        <v>0.03</v>
      </c>
      <c r="AF79" s="134">
        <v>0</v>
      </c>
      <c r="AG79" s="134">
        <v>0.1</v>
      </c>
      <c r="AH79" s="134">
        <v>0</v>
      </c>
      <c r="AI79" s="134">
        <v>2.5</v>
      </c>
      <c r="AJ79" s="134">
        <v>0</v>
      </c>
      <c r="AK79" s="134" t="s">
        <v>175</v>
      </c>
      <c r="AL79" s="122" t="s">
        <v>175</v>
      </c>
      <c r="AM79" s="122">
        <v>-14.48</v>
      </c>
      <c r="AN79" s="134" t="s">
        <v>176</v>
      </c>
      <c r="AO79" s="134" t="s">
        <v>177</v>
      </c>
      <c r="AP79" s="135">
        <f t="shared" si="27"/>
        <v>2.5096862353688758</v>
      </c>
      <c r="AQ79" s="135">
        <f t="shared" si="24"/>
        <v>2.5096862353688758</v>
      </c>
      <c r="AR79" s="117">
        <v>-1.3073044110000001</v>
      </c>
      <c r="AS79" s="117">
        <v>0</v>
      </c>
      <c r="AT79" s="117">
        <v>0</v>
      </c>
      <c r="AU79" s="117">
        <v>-0.89899234400000005</v>
      </c>
      <c r="AV79" s="117">
        <v>-0.62732993100000001</v>
      </c>
      <c r="AW79" s="117">
        <v>-3.4414327000000001E-2</v>
      </c>
      <c r="AX79" s="117">
        <v>0.54433248300000003</v>
      </c>
      <c r="AY79" s="117">
        <v>0.84433248299999997</v>
      </c>
      <c r="AZ79" s="117">
        <v>0</v>
      </c>
      <c r="BA79" s="117">
        <v>0</v>
      </c>
      <c r="BB79" s="117">
        <v>1.3526445499999999</v>
      </c>
      <c r="BC79" s="136" t="str">
        <f t="shared" si="28"/>
        <v>-1</v>
      </c>
      <c r="BD79" s="136" t="s">
        <v>178</v>
      </c>
      <c r="BE79" s="152" t="s">
        <v>696</v>
      </c>
      <c r="BF79" s="152" t="s">
        <v>232</v>
      </c>
      <c r="BG79" s="120" t="s">
        <v>678</v>
      </c>
      <c r="BH79" s="136" t="str">
        <f t="shared" si="12"/>
        <v>&lt;MTL</v>
      </c>
      <c r="BI79" s="136">
        <f t="shared" si="13"/>
        <v>-3.4414327000000001E-2</v>
      </c>
      <c r="BJ79" s="136" t="str">
        <f t="shared" si="21"/>
        <v>Nil</v>
      </c>
      <c r="BK79" s="136">
        <f t="shared" si="22"/>
        <v>0.05</v>
      </c>
      <c r="BL79" s="136" t="s">
        <v>736</v>
      </c>
      <c r="BM79" s="136" t="s">
        <v>175</v>
      </c>
      <c r="BN79" s="136" t="s">
        <v>175</v>
      </c>
      <c r="BO79" s="136" t="s">
        <v>736</v>
      </c>
      <c r="BP79" s="137" t="s">
        <v>175</v>
      </c>
      <c r="BQ79" s="137" t="s">
        <v>175</v>
      </c>
      <c r="BR79" s="137" t="s">
        <v>175</v>
      </c>
      <c r="BS79" s="137" t="s">
        <v>175</v>
      </c>
      <c r="BT79" s="138">
        <f t="shared" si="29"/>
        <v>-14.445585673</v>
      </c>
      <c r="BU79" s="138">
        <f t="shared" si="30"/>
        <v>2.510184256185191</v>
      </c>
      <c r="BV79" s="138">
        <f t="shared" si="31"/>
        <v>2.510184256185191</v>
      </c>
      <c r="BW79" s="53" t="s">
        <v>175</v>
      </c>
      <c r="BX79" s="53" t="s">
        <v>175</v>
      </c>
      <c r="BY79" s="53" t="s">
        <v>175</v>
      </c>
      <c r="BZ79" s="53" t="s">
        <v>175</v>
      </c>
      <c r="CA79" s="147">
        <v>1</v>
      </c>
      <c r="CB79" s="54">
        <v>0</v>
      </c>
    </row>
    <row r="80" spans="1:87">
      <c r="A80" s="123" t="s">
        <v>236</v>
      </c>
      <c r="B80" s="124" t="s">
        <v>228</v>
      </c>
      <c r="C80" s="148" t="s">
        <v>674</v>
      </c>
      <c r="D80" s="125" t="s">
        <v>167</v>
      </c>
      <c r="E80" s="150">
        <v>22.183157999999999</v>
      </c>
      <c r="F80" s="150">
        <v>113.86835000000001</v>
      </c>
      <c r="G80" s="128" t="s">
        <v>168</v>
      </c>
      <c r="H80" s="151">
        <v>390.68186471624904</v>
      </c>
      <c r="I80" s="151">
        <v>438.87986471624902</v>
      </c>
      <c r="J80" s="151">
        <v>245</v>
      </c>
      <c r="K80" s="151">
        <v>498</v>
      </c>
      <c r="L80" s="151">
        <v>244</v>
      </c>
      <c r="M80" s="153" t="s">
        <v>755</v>
      </c>
      <c r="N80" s="130" t="s">
        <v>339</v>
      </c>
      <c r="O80" s="130" t="s">
        <v>234</v>
      </c>
      <c r="P80" s="153" t="s">
        <v>237</v>
      </c>
      <c r="Q80" s="153" t="s">
        <v>172</v>
      </c>
      <c r="R80" s="131">
        <v>7</v>
      </c>
      <c r="S80" s="112" t="s">
        <v>238</v>
      </c>
      <c r="T80" s="130">
        <v>1</v>
      </c>
      <c r="U80" s="132" t="s">
        <v>173</v>
      </c>
      <c r="V80" s="133">
        <v>0.05</v>
      </c>
      <c r="W80" s="132" t="s">
        <v>174</v>
      </c>
      <c r="X80" s="133">
        <v>0.05</v>
      </c>
      <c r="Y80" s="133">
        <v>2.5000000000000001E-2</v>
      </c>
      <c r="Z80" s="133">
        <v>0.01</v>
      </c>
      <c r="AA80" s="133">
        <v>0.15</v>
      </c>
      <c r="AB80" s="133">
        <f t="shared" si="26"/>
        <v>0.14000000000000001</v>
      </c>
      <c r="AC80" s="134">
        <v>0</v>
      </c>
      <c r="AD80" s="134">
        <v>0</v>
      </c>
      <c r="AE80" s="134">
        <v>0.03</v>
      </c>
      <c r="AF80" s="134">
        <v>0</v>
      </c>
      <c r="AG80" s="134">
        <v>0.1</v>
      </c>
      <c r="AH80" s="134">
        <v>0</v>
      </c>
      <c r="AI80" s="134">
        <v>2.5</v>
      </c>
      <c r="AJ80" s="134">
        <v>0</v>
      </c>
      <c r="AK80" s="134" t="s">
        <v>175</v>
      </c>
      <c r="AL80" s="122" t="s">
        <v>175</v>
      </c>
      <c r="AM80" s="122">
        <v>-15.48</v>
      </c>
      <c r="AN80" s="134" t="s">
        <v>176</v>
      </c>
      <c r="AO80" s="134" t="s">
        <v>177</v>
      </c>
      <c r="AP80" s="135">
        <f t="shared" si="27"/>
        <v>2.5107220077101329</v>
      </c>
      <c r="AQ80" s="135">
        <f t="shared" si="24"/>
        <v>2.5107220077101329</v>
      </c>
      <c r="AR80" s="117">
        <v>-1.3073044110000001</v>
      </c>
      <c r="AS80" s="117">
        <v>0</v>
      </c>
      <c r="AT80" s="117">
        <v>0</v>
      </c>
      <c r="AU80" s="117">
        <v>-0.89899234400000005</v>
      </c>
      <c r="AV80" s="117">
        <v>-0.62732993100000001</v>
      </c>
      <c r="AW80" s="117">
        <v>-3.4414327000000001E-2</v>
      </c>
      <c r="AX80" s="117">
        <v>0.54433248300000003</v>
      </c>
      <c r="AY80" s="117">
        <v>0.84433248299999997</v>
      </c>
      <c r="AZ80" s="117">
        <v>0</v>
      </c>
      <c r="BA80" s="117">
        <v>0</v>
      </c>
      <c r="BB80" s="117">
        <v>1.3526445499999999</v>
      </c>
      <c r="BC80" s="136" t="str">
        <f t="shared" si="28"/>
        <v>-1</v>
      </c>
      <c r="BD80" s="136" t="s">
        <v>178</v>
      </c>
      <c r="BE80" s="152" t="s">
        <v>696</v>
      </c>
      <c r="BF80" s="152" t="s">
        <v>232</v>
      </c>
      <c r="BG80" s="120" t="s">
        <v>678</v>
      </c>
      <c r="BH80" s="136" t="str">
        <f t="shared" si="12"/>
        <v>&lt;MTL</v>
      </c>
      <c r="BI80" s="136">
        <f t="shared" si="13"/>
        <v>-3.4414327000000001E-2</v>
      </c>
      <c r="BJ80" s="136" t="str">
        <f t="shared" si="21"/>
        <v>Nil</v>
      </c>
      <c r="BK80" s="136">
        <f t="shared" si="22"/>
        <v>0.05</v>
      </c>
      <c r="BL80" s="136" t="s">
        <v>736</v>
      </c>
      <c r="BM80" s="136" t="s">
        <v>175</v>
      </c>
      <c r="BN80" s="136" t="s">
        <v>175</v>
      </c>
      <c r="BO80" s="136" t="s">
        <v>736</v>
      </c>
      <c r="BP80" s="137" t="s">
        <v>175</v>
      </c>
      <c r="BQ80" s="137" t="s">
        <v>175</v>
      </c>
      <c r="BR80" s="137" t="s">
        <v>175</v>
      </c>
      <c r="BS80" s="137" t="s">
        <v>175</v>
      </c>
      <c r="BT80" s="138">
        <f t="shared" si="29"/>
        <v>-15.445585673</v>
      </c>
      <c r="BU80" s="138">
        <f>SQRT(SUMSQ(AP80,BJ80,IF(OR(BK80="nd",BK80="nd"),0,BK80),IF(OR(BL80="nd",BL80="nd"),0,BL80),IF(OR(BO80="nd",BO80="nd"),0,BO80)))</f>
        <v>2.5112198231138589</v>
      </c>
      <c r="BV80" s="138">
        <f t="shared" si="31"/>
        <v>2.5112198231138589</v>
      </c>
      <c r="BW80" s="53" t="s">
        <v>175</v>
      </c>
      <c r="BX80" s="53" t="s">
        <v>175</v>
      </c>
      <c r="BY80" s="53" t="s">
        <v>175</v>
      </c>
      <c r="BZ80" s="53" t="s">
        <v>175</v>
      </c>
      <c r="CA80" s="147">
        <v>1</v>
      </c>
      <c r="CB80" s="54">
        <v>0</v>
      </c>
    </row>
    <row r="81" spans="1:81">
      <c r="A81" s="123" t="s">
        <v>750</v>
      </c>
      <c r="B81" s="124" t="s">
        <v>753</v>
      </c>
      <c r="C81" s="148" t="s">
        <v>674</v>
      </c>
      <c r="D81" s="125" t="s">
        <v>167</v>
      </c>
      <c r="E81" s="150">
        <v>22.241329</v>
      </c>
      <c r="F81" s="150">
        <v>113.978983</v>
      </c>
      <c r="G81" s="128" t="s">
        <v>168</v>
      </c>
      <c r="H81" s="151">
        <v>3210.6818647162472</v>
      </c>
      <c r="I81" s="151">
        <v>449.04402418176261</v>
      </c>
      <c r="J81" s="151">
        <v>2877</v>
      </c>
      <c r="K81" s="151">
        <v>1124</v>
      </c>
      <c r="L81" s="151">
        <v>1144</v>
      </c>
      <c r="M81" s="153" t="s">
        <v>763</v>
      </c>
      <c r="N81" s="130" t="s">
        <v>339</v>
      </c>
      <c r="O81" s="130" t="s">
        <v>759</v>
      </c>
      <c r="P81" s="153" t="s">
        <v>760</v>
      </c>
      <c r="Q81" s="153" t="s">
        <v>377</v>
      </c>
      <c r="R81" s="131">
        <f>7-1.81-0.05/2</f>
        <v>5.1649999999999991</v>
      </c>
      <c r="S81" s="112" t="s">
        <v>175</v>
      </c>
      <c r="T81" s="130">
        <v>1</v>
      </c>
      <c r="U81" s="132" t="s">
        <v>281</v>
      </c>
      <c r="V81" s="133">
        <v>0.1</v>
      </c>
      <c r="W81" s="132" t="s">
        <v>174</v>
      </c>
      <c r="X81" s="133">
        <v>0.1</v>
      </c>
      <c r="Y81" s="133">
        <v>0.05</v>
      </c>
      <c r="Z81" s="133">
        <f>0.05/2</f>
        <v>2.5000000000000001E-2</v>
      </c>
      <c r="AA81" s="133">
        <v>0</v>
      </c>
      <c r="AB81" s="133">
        <v>0</v>
      </c>
      <c r="AC81" s="134">
        <v>0</v>
      </c>
      <c r="AD81" s="134">
        <v>0</v>
      </c>
      <c r="AE81" s="134">
        <v>0.5</v>
      </c>
      <c r="AF81" s="134">
        <v>0</v>
      </c>
      <c r="AG81" s="134">
        <v>0.1</v>
      </c>
      <c r="AH81" s="134">
        <v>0</v>
      </c>
      <c r="AI81" s="134">
        <v>0</v>
      </c>
      <c r="AJ81" s="134">
        <v>0</v>
      </c>
      <c r="AK81" s="134" t="s">
        <v>175</v>
      </c>
      <c r="AL81" s="122" t="s">
        <v>175</v>
      </c>
      <c r="AM81" s="122">
        <f>1.81-(0.05/2)-0.88</f>
        <v>0.90500000000000014</v>
      </c>
      <c r="AN81" s="134" t="s">
        <v>176</v>
      </c>
      <c r="AO81" s="134" t="s">
        <v>177</v>
      </c>
      <c r="AP81" s="135">
        <f t="shared" ref="AP81:AP93" si="32">SQRT(SUMSQ(IF(OR(Y81="nd",Y81="nd"),0,Y81),IF(OR(Z81="nd",Z81="nd"),0,Z81),IF(OR(AA81="nd",AA81="nd"),0,AA81),IF(OR(AB81="nd",AB81="nd"),0,AB81),IF(OR(AC81="nd",AC81="nd"),0,AC81),IF(OR(AD81="nd",AD81="nd"),0,AD81),IF(OR(AE81="nd",AE81="nd"),0,AE81),IF(OR(AF81="nd",AF81="nd"),0,AF81),IF(OR(AG81="nd",AG81="nd"),0,AG81),IF(OR(AH81="nd",AH81="nd"),0,AH81),IF(OR(AI81="nd",AI81="nd"),0,AI81),IF(OR(AJ81="nd",AJ81="nd"),0,AJ81)))</f>
        <v>0.51295711321707982</v>
      </c>
      <c r="AQ81" s="135">
        <f t="shared" si="24"/>
        <v>0.51295711321707982</v>
      </c>
      <c r="AR81" s="117">
        <v>-1.4355692460982801</v>
      </c>
      <c r="AS81" s="117">
        <v>0</v>
      </c>
      <c r="AT81" s="117">
        <v>0</v>
      </c>
      <c r="AU81" s="117">
        <v>-0.85049761220350695</v>
      </c>
      <c r="AV81" s="117">
        <v>-0.60049761220350695</v>
      </c>
      <c r="AW81" s="117">
        <v>-1.2997612203507401E-2</v>
      </c>
      <c r="AX81" s="117">
        <v>0.54950238779649196</v>
      </c>
      <c r="AY81" s="117">
        <v>0.84950238779649201</v>
      </c>
      <c r="AZ81" s="117">
        <v>0</v>
      </c>
      <c r="BA81" s="117">
        <v>0</v>
      </c>
      <c r="BB81" s="117">
        <v>1.53457402169127</v>
      </c>
      <c r="BC81" s="136">
        <v>0</v>
      </c>
      <c r="BD81" s="136" t="s">
        <v>209</v>
      </c>
      <c r="BE81" s="152" t="s">
        <v>671</v>
      </c>
      <c r="BF81" s="152" t="s">
        <v>761</v>
      </c>
      <c r="BG81" s="120" t="s">
        <v>676</v>
      </c>
      <c r="BH81" s="136" t="str">
        <f t="shared" si="12"/>
        <v>HAT-LAT</v>
      </c>
      <c r="BI81" s="136">
        <f t="shared" si="13"/>
        <v>4.9502387796494962E-2</v>
      </c>
      <c r="BJ81" s="136">
        <f t="shared" si="21"/>
        <v>1.4850716338947749</v>
      </c>
      <c r="BK81" s="136">
        <f t="shared" si="22"/>
        <v>0.27</v>
      </c>
      <c r="BL81" s="136">
        <v>0.17552848373507368</v>
      </c>
      <c r="BM81" s="136" t="s">
        <v>175</v>
      </c>
      <c r="BN81" s="136" t="s">
        <v>175</v>
      </c>
      <c r="BO81" s="136">
        <v>0.14856765448129305</v>
      </c>
      <c r="BP81" s="137" t="s">
        <v>175</v>
      </c>
      <c r="BQ81" s="137" t="s">
        <v>175</v>
      </c>
      <c r="BR81" s="137" t="s">
        <v>175</v>
      </c>
      <c r="BS81" s="137" t="s">
        <v>175</v>
      </c>
      <c r="BT81" s="138">
        <f t="shared" ref="BT81:BT93" si="33">AM81-BI81</f>
        <v>0.85549761220350518</v>
      </c>
      <c r="BU81" s="138">
        <f>SQRT(SUMSQ(AP81,BJ81,IF(OR(BK81="nd",BK81="nd"),0,BK81),IF(OR(BL81="nd",BL81="nd"),0,BL81),IF(OR(BO81="nd",BO81="nd"),0,BO81)))</f>
        <v>1.6106971640750174</v>
      </c>
      <c r="BV81" s="138">
        <f t="shared" ref="BV81" si="34">SQRT(SUMSQ(AP81,BJ81,IF(OR(BK81="nd",BK81="nd"),0,BK81),IF(OR(BL81="nd",BL81="nd"),0,BL81),IF(OR(BO81="nd",BO81="nd"),0,BO81)))</f>
        <v>1.6106971640750174</v>
      </c>
      <c r="BW81" s="53" t="s">
        <v>175</v>
      </c>
      <c r="BX81" s="53" t="s">
        <v>175</v>
      </c>
      <c r="BY81" s="53" t="s">
        <v>175</v>
      </c>
      <c r="BZ81" s="53" t="s">
        <v>175</v>
      </c>
      <c r="CA81" s="147">
        <v>2</v>
      </c>
      <c r="CB81" s="54">
        <v>0</v>
      </c>
    </row>
    <row r="82" spans="1:81">
      <c r="A82" s="123" t="s">
        <v>751</v>
      </c>
      <c r="B82" s="124" t="s">
        <v>753</v>
      </c>
      <c r="C82" s="148" t="s">
        <v>674</v>
      </c>
      <c r="D82" s="125" t="s">
        <v>167</v>
      </c>
      <c r="E82" s="150">
        <v>22.241329</v>
      </c>
      <c r="F82" s="150">
        <v>113.978983</v>
      </c>
      <c r="G82" s="128" t="s">
        <v>168</v>
      </c>
      <c r="H82" s="151">
        <v>2770.6818647162486</v>
      </c>
      <c r="I82" s="151">
        <v>448.01287442812696</v>
      </c>
      <c r="J82" s="151">
        <v>2341</v>
      </c>
      <c r="K82" s="151">
        <v>1081</v>
      </c>
      <c r="L82" s="151">
        <v>1057</v>
      </c>
      <c r="M82" s="153" t="s">
        <v>760</v>
      </c>
      <c r="N82" s="130" t="s">
        <v>339</v>
      </c>
      <c r="O82" s="153" t="s">
        <v>763</v>
      </c>
      <c r="P82" s="153"/>
      <c r="Q82" s="153" t="s">
        <v>377</v>
      </c>
      <c r="R82" s="131">
        <f>7-1.66-0.12/2</f>
        <v>5.28</v>
      </c>
      <c r="S82" s="112" t="s">
        <v>175</v>
      </c>
      <c r="T82" s="130">
        <v>1</v>
      </c>
      <c r="U82" s="132" t="s">
        <v>281</v>
      </c>
      <c r="V82" s="133">
        <v>0.1</v>
      </c>
      <c r="W82" s="132" t="s">
        <v>174</v>
      </c>
      <c r="X82" s="133">
        <v>0.1</v>
      </c>
      <c r="Y82" s="133">
        <v>0.05</v>
      </c>
      <c r="Z82" s="133">
        <f>0.12/2</f>
        <v>0.06</v>
      </c>
      <c r="AA82" s="133">
        <v>0</v>
      </c>
      <c r="AB82" s="133">
        <v>0</v>
      </c>
      <c r="AC82" s="134">
        <v>0</v>
      </c>
      <c r="AD82" s="134">
        <v>0</v>
      </c>
      <c r="AE82" s="134">
        <v>0.5</v>
      </c>
      <c r="AF82" s="134">
        <v>0</v>
      </c>
      <c r="AG82" s="134">
        <v>0.1</v>
      </c>
      <c r="AH82" s="134">
        <v>0</v>
      </c>
      <c r="AI82" s="134">
        <v>0</v>
      </c>
      <c r="AJ82" s="134">
        <v>0</v>
      </c>
      <c r="AK82" s="134" t="s">
        <v>175</v>
      </c>
      <c r="AL82" s="122" t="s">
        <v>175</v>
      </c>
      <c r="AM82" s="122">
        <f>1.66-(0.12/2)-0.88</f>
        <v>0.71999999999999986</v>
      </c>
      <c r="AN82" s="134" t="s">
        <v>176</v>
      </c>
      <c r="AO82" s="134" t="s">
        <v>177</v>
      </c>
      <c r="AP82" s="135">
        <f t="shared" si="32"/>
        <v>0.51584881506115721</v>
      </c>
      <c r="AQ82" s="135">
        <f t="shared" ref="AQ82:AQ94" si="35">SQRT(SUMSQ(IF(OR(Y82="nd",Y82="nd"),0,Y82),IF(OR(Z82="nd",Z82="nd"),0,Z82),IF(OR(AA82="nd",AA82="nd"),0,AA82),IF(OR(AB82="nd",AB82="nd"),0,AB82),IF(OR(AC82="nd",AC82="nd"),0,AC82),IF(OR(AD82="nd",AD82="nd"),0,AD82),IF(OR(AE82="nd",AE82="nd"),0,AE82),IF(OR(AF82="nd",AF82="nd"),0,AF82),IF(OR(AG82="nd",AG82="nd"),0,AG82),IF(OR(AH82="nd",AH82="nd"),0,AH82),IF(OR(AI82="nd",AI82="nd"),0,AI82),IF(OR(AJ82="nd",AJ82="nd"),0,AJ82)))</f>
        <v>0.51584881506115721</v>
      </c>
      <c r="AR82" s="117">
        <v>-1.4355692460982801</v>
      </c>
      <c r="AS82" s="117">
        <v>0</v>
      </c>
      <c r="AT82" s="117">
        <v>0</v>
      </c>
      <c r="AU82" s="117">
        <v>-0.85049761220350695</v>
      </c>
      <c r="AV82" s="117">
        <v>-0.60049761220350695</v>
      </c>
      <c r="AW82" s="117">
        <v>-1.2997612203507401E-2</v>
      </c>
      <c r="AX82" s="117">
        <v>0.54950238779649196</v>
      </c>
      <c r="AY82" s="117">
        <v>0.84950238779649201</v>
      </c>
      <c r="AZ82" s="117">
        <v>0</v>
      </c>
      <c r="BA82" s="117">
        <v>0</v>
      </c>
      <c r="BB82" s="117">
        <v>1.53457402169127</v>
      </c>
      <c r="BC82" s="136">
        <v>0</v>
      </c>
      <c r="BD82" s="136" t="s">
        <v>209</v>
      </c>
      <c r="BE82" s="152" t="s">
        <v>671</v>
      </c>
      <c r="BF82" s="152" t="s">
        <v>761</v>
      </c>
      <c r="BG82" s="120" t="s">
        <v>676</v>
      </c>
      <c r="BH82" s="136" t="str">
        <f t="shared" si="12"/>
        <v>HAT-LAT</v>
      </c>
      <c r="BI82" s="136">
        <f t="shared" si="13"/>
        <v>4.9502387796494962E-2</v>
      </c>
      <c r="BJ82" s="136">
        <f t="shared" si="21"/>
        <v>1.4850716338947749</v>
      </c>
      <c r="BK82" s="136">
        <f t="shared" si="22"/>
        <v>0.27</v>
      </c>
      <c r="BL82" s="136">
        <v>0.17552848373507368</v>
      </c>
      <c r="BM82" s="136" t="s">
        <v>175</v>
      </c>
      <c r="BN82" s="136" t="s">
        <v>175</v>
      </c>
      <c r="BO82" s="47">
        <v>0.148567654481293</v>
      </c>
      <c r="BP82" s="137" t="s">
        <v>175</v>
      </c>
      <c r="BQ82" s="137" t="s">
        <v>175</v>
      </c>
      <c r="BR82" s="137" t="s">
        <v>175</v>
      </c>
      <c r="BS82" s="137" t="s">
        <v>175</v>
      </c>
      <c r="BT82" s="138">
        <f t="shared" si="33"/>
        <v>0.6704976122035049</v>
      </c>
      <c r="BU82" s="138">
        <f>SQRT(SUMSQ(AP82,BJ82,IF(OR(BK82="nd",BK82="nd"),0,BK82),IF(OR(BL82="nd",BL82="nd"),0,BL82),IF(OR(BO81="nd",BO81="nd"),0,BO81)))</f>
        <v>1.6116204126156082</v>
      </c>
      <c r="BV82" s="138">
        <f>SQRT(SUMSQ(AP82,BJ82,IF(OR(BK82="nd",BK82="nd"),0,BK82),IF(OR(BL82="nd",BL82="nd"),0,BL82),IF(OR(BO81="nd",BO81="nd"),0,BO81)))</f>
        <v>1.6116204126156082</v>
      </c>
      <c r="BW82" s="53" t="s">
        <v>175</v>
      </c>
      <c r="BX82" s="53" t="s">
        <v>175</v>
      </c>
      <c r="BY82" s="53" t="s">
        <v>175</v>
      </c>
      <c r="BZ82" s="53" t="s">
        <v>175</v>
      </c>
      <c r="CA82" s="147">
        <v>2</v>
      </c>
      <c r="CB82" s="54">
        <v>0</v>
      </c>
    </row>
    <row r="83" spans="1:81">
      <c r="A83" s="123" t="s">
        <v>752</v>
      </c>
      <c r="B83" s="124" t="s">
        <v>753</v>
      </c>
      <c r="C83" s="148" t="s">
        <v>674</v>
      </c>
      <c r="D83" s="125" t="s">
        <v>167</v>
      </c>
      <c r="E83" s="150">
        <v>22.241329</v>
      </c>
      <c r="F83" s="150">
        <v>113.978983</v>
      </c>
      <c r="G83" s="128" t="s">
        <v>168</v>
      </c>
      <c r="H83" s="151">
        <v>2090.6818647162486</v>
      </c>
      <c r="I83" s="151">
        <v>446.11157309954723</v>
      </c>
      <c r="J83" s="151">
        <v>1565</v>
      </c>
      <c r="K83" s="151">
        <v>1054</v>
      </c>
      <c r="L83" s="151">
        <v>934</v>
      </c>
      <c r="M83" s="153" t="s">
        <v>764</v>
      </c>
      <c r="N83" s="130" t="s">
        <v>339</v>
      </c>
      <c r="O83" s="153" t="s">
        <v>760</v>
      </c>
      <c r="P83" s="130" t="s">
        <v>175</v>
      </c>
      <c r="Q83" s="153" t="s">
        <v>377</v>
      </c>
      <c r="R83" s="131">
        <f>7-1.1-0.25/2</f>
        <v>5.7750000000000004</v>
      </c>
      <c r="S83" s="112" t="s">
        <v>175</v>
      </c>
      <c r="T83" s="130">
        <v>1</v>
      </c>
      <c r="U83" s="132" t="s">
        <v>281</v>
      </c>
      <c r="V83" s="133">
        <v>0.1</v>
      </c>
      <c r="W83" s="132" t="s">
        <v>174</v>
      </c>
      <c r="X83" s="133">
        <v>0.1</v>
      </c>
      <c r="Y83" s="133">
        <v>0.05</v>
      </c>
      <c r="Z83" s="133">
        <f>0.25/2</f>
        <v>0.125</v>
      </c>
      <c r="AA83" s="133">
        <v>0</v>
      </c>
      <c r="AB83" s="133">
        <v>0</v>
      </c>
      <c r="AC83" s="134">
        <v>0</v>
      </c>
      <c r="AD83" s="134">
        <v>0</v>
      </c>
      <c r="AE83" s="134">
        <v>0.5</v>
      </c>
      <c r="AF83" s="134">
        <v>0</v>
      </c>
      <c r="AG83" s="134">
        <v>0.1</v>
      </c>
      <c r="AH83" s="134">
        <v>0</v>
      </c>
      <c r="AI83" s="134">
        <v>0</v>
      </c>
      <c r="AJ83" s="134">
        <v>0</v>
      </c>
      <c r="AK83" s="134" t="s">
        <v>175</v>
      </c>
      <c r="AL83" s="122" t="s">
        <v>175</v>
      </c>
      <c r="AM83" s="122">
        <f>1.1-(0.25/2)-0.88</f>
        <v>9.5000000000000084E-2</v>
      </c>
      <c r="AN83" s="134" t="s">
        <v>176</v>
      </c>
      <c r="AO83" s="134" t="s">
        <v>177</v>
      </c>
      <c r="AP83" s="135">
        <f t="shared" si="32"/>
        <v>0.52737557774322463</v>
      </c>
      <c r="AQ83" s="135">
        <f t="shared" si="35"/>
        <v>0.52737557774322463</v>
      </c>
      <c r="AR83" s="117">
        <v>-1.4355692460982801</v>
      </c>
      <c r="AS83" s="117">
        <v>0</v>
      </c>
      <c r="AT83" s="117">
        <v>0</v>
      </c>
      <c r="AU83" s="117">
        <v>-0.85049761220350695</v>
      </c>
      <c r="AV83" s="117">
        <v>-0.60049761220350695</v>
      </c>
      <c r="AW83" s="117">
        <v>-1.2997612203507401E-2</v>
      </c>
      <c r="AX83" s="117">
        <v>0.54950238779649196</v>
      </c>
      <c r="AY83" s="117">
        <v>0.84950238779649201</v>
      </c>
      <c r="AZ83" s="117">
        <v>0</v>
      </c>
      <c r="BA83" s="117">
        <v>0</v>
      </c>
      <c r="BB83" s="117">
        <v>1.53457402169127</v>
      </c>
      <c r="BC83" s="136">
        <v>0</v>
      </c>
      <c r="BD83" s="136" t="s">
        <v>209</v>
      </c>
      <c r="BE83" s="152" t="s">
        <v>671</v>
      </c>
      <c r="BF83" s="152" t="s">
        <v>761</v>
      </c>
      <c r="BG83" s="120" t="s">
        <v>676</v>
      </c>
      <c r="BH83" s="136" t="str">
        <f t="shared" si="12"/>
        <v>HAT-LAT</v>
      </c>
      <c r="BI83" s="136">
        <f t="shared" si="13"/>
        <v>4.9502387796494962E-2</v>
      </c>
      <c r="BJ83" s="136">
        <f t="shared" si="21"/>
        <v>1.4850716338947749</v>
      </c>
      <c r="BK83" s="136">
        <f t="shared" si="22"/>
        <v>0.27</v>
      </c>
      <c r="BL83" s="136">
        <v>0.17552848373507368</v>
      </c>
      <c r="BM83" s="136" t="s">
        <v>175</v>
      </c>
      <c r="BN83" s="136" t="s">
        <v>175</v>
      </c>
      <c r="BO83" s="136">
        <v>0.15672945865523502</v>
      </c>
      <c r="BP83" s="137" t="s">
        <v>175</v>
      </c>
      <c r="BQ83" s="137" t="s">
        <v>175</v>
      </c>
      <c r="BR83" s="137" t="s">
        <v>175</v>
      </c>
      <c r="BS83" s="137" t="s">
        <v>175</v>
      </c>
      <c r="BT83" s="138">
        <f t="shared" si="33"/>
        <v>4.5497612203505122E-2</v>
      </c>
      <c r="BU83" s="138">
        <f t="shared" ref="BU83:BU92" si="36">SQRT(SUMSQ(AP83,BJ83,IF(OR(BK83="nd",BK83="nd"),0,BK83),IF(OR(BL83="nd",BL83="nd"),0,BL83),IF(OR(BO83="nd",BO83="nd"),0,BO83)))</f>
        <v>1.6161179194636739</v>
      </c>
      <c r="BV83" s="138">
        <f t="shared" ref="BV83:BV92" si="37">SQRT(SUMSQ(AP83,BJ83,IF(OR(BK83="nd",BK83="nd"),0,BK83),IF(OR(BL83="nd",BL83="nd"),0,BL83),IF(OR(BO83="nd",BO83="nd"),0,BO83)))</f>
        <v>1.6161179194636739</v>
      </c>
      <c r="BW83" s="53" t="s">
        <v>175</v>
      </c>
      <c r="BX83" s="53" t="s">
        <v>175</v>
      </c>
      <c r="BY83" s="53" t="s">
        <v>175</v>
      </c>
      <c r="BZ83" s="53" t="s">
        <v>175</v>
      </c>
      <c r="CA83" s="147">
        <v>2</v>
      </c>
      <c r="CB83" s="54">
        <v>0</v>
      </c>
    </row>
    <row r="84" spans="1:81" ht="17" customHeight="1">
      <c r="A84" s="123" t="s">
        <v>754</v>
      </c>
      <c r="B84" s="124" t="s">
        <v>762</v>
      </c>
      <c r="C84" s="148" t="s">
        <v>674</v>
      </c>
      <c r="D84" s="125" t="s">
        <v>167</v>
      </c>
      <c r="E84" s="150">
        <v>22.233827000000002</v>
      </c>
      <c r="F84" s="150">
        <v>113.957272</v>
      </c>
      <c r="G84" s="128" t="s">
        <v>168</v>
      </c>
      <c r="H84" s="151">
        <v>1690.6818647162481</v>
      </c>
      <c r="I84" s="151">
        <v>442.96222824677955</v>
      </c>
      <c r="J84" s="151">
        <v>1136</v>
      </c>
      <c r="K84" s="151">
        <v>987</v>
      </c>
      <c r="L84" s="151">
        <v>871</v>
      </c>
      <c r="M84" s="153" t="s">
        <v>765</v>
      </c>
      <c r="N84" s="130" t="s">
        <v>339</v>
      </c>
      <c r="O84" s="130" t="s">
        <v>766</v>
      </c>
      <c r="P84" s="153" t="s">
        <v>175</v>
      </c>
      <c r="Q84" s="153" t="s">
        <v>377</v>
      </c>
      <c r="R84" s="131" t="s">
        <v>175</v>
      </c>
      <c r="S84" s="112" t="s">
        <v>175</v>
      </c>
      <c r="T84" s="130">
        <v>1</v>
      </c>
      <c r="U84" s="132" t="s">
        <v>281</v>
      </c>
      <c r="V84" s="133">
        <v>0.1</v>
      </c>
      <c r="W84" s="132" t="s">
        <v>174</v>
      </c>
      <c r="X84" s="133">
        <v>0.1</v>
      </c>
      <c r="Y84" s="133">
        <v>0.05</v>
      </c>
      <c r="Z84" s="133">
        <f>0.15/2</f>
        <v>7.4999999999999997E-2</v>
      </c>
      <c r="AA84" s="133">
        <v>0</v>
      </c>
      <c r="AB84" s="133">
        <v>0</v>
      </c>
      <c r="AC84" s="134">
        <v>1</v>
      </c>
      <c r="AD84" s="134">
        <v>0</v>
      </c>
      <c r="AE84" s="134">
        <v>0.5</v>
      </c>
      <c r="AF84" s="134">
        <v>0</v>
      </c>
      <c r="AG84" s="134">
        <v>0.1</v>
      </c>
      <c r="AH84" s="134">
        <v>0</v>
      </c>
      <c r="AI84" s="134">
        <v>0</v>
      </c>
      <c r="AJ84" s="134">
        <v>0</v>
      </c>
      <c r="AK84" s="134" t="s">
        <v>175</v>
      </c>
      <c r="AL84" s="122" t="s">
        <v>175</v>
      </c>
      <c r="AM84" s="122">
        <v>0</v>
      </c>
      <c r="AN84" s="134" t="s">
        <v>176</v>
      </c>
      <c r="AO84" s="134" t="s">
        <v>177</v>
      </c>
      <c r="AP84" s="135">
        <f t="shared" si="32"/>
        <v>1.1261105629555208</v>
      </c>
      <c r="AQ84" s="135">
        <f t="shared" si="35"/>
        <v>1.1261105629555208</v>
      </c>
      <c r="AR84" s="117">
        <v>-1.3806646274013199</v>
      </c>
      <c r="AS84" s="117">
        <v>0</v>
      </c>
      <c r="AT84" s="117">
        <v>0</v>
      </c>
      <c r="AU84" s="117">
        <v>-0.85239087491719501</v>
      </c>
      <c r="AV84" s="117">
        <v>-0.60239087491719501</v>
      </c>
      <c r="AW84" s="117">
        <v>-1.48908749171958E-2</v>
      </c>
      <c r="AX84" s="117">
        <v>0.54760912508280402</v>
      </c>
      <c r="AY84" s="117">
        <v>0.84760912508280395</v>
      </c>
      <c r="AZ84" s="117">
        <v>0</v>
      </c>
      <c r="BA84" s="117">
        <v>0</v>
      </c>
      <c r="BB84" s="117">
        <v>1.4758828775669199</v>
      </c>
      <c r="BC84" s="136">
        <v>0</v>
      </c>
      <c r="BD84" s="136" t="s">
        <v>209</v>
      </c>
      <c r="BE84" s="152" t="s">
        <v>671</v>
      </c>
      <c r="BF84" s="152" t="s">
        <v>761</v>
      </c>
      <c r="BG84" s="120" t="s">
        <v>676</v>
      </c>
      <c r="BH84" s="136" t="str">
        <f t="shared" ref="BH84:BH144" si="38">IF(BG84="1","&gt;MTL",
IF(BG84="2a","HAT-LAT",
IF(BG84="2b","&gt;MLLW",
IF(BG84="3a","&lt;HAT",
IF(BG84="3b","MLLW-LAT",
IF(BG84="3c","(MLLW)-(MLLW-8)",
IF(BG84="3d","&lt;HAT",
IF(BG84="3e","&gt;MLLW",
IF(BG84="4","&gt;MTL",
IF(BG84="5","&gt;MTL",
IF(BG84="6","&lt;HAT",
IF(BG84="7","&lt;HAT",
IF(BG84="8","HAT-MTL",
IF(BG84="9","&lt;MTL",
IF(BG84="10a","&lt;MTL",
IF(BG84="10b","MHHW-MLLW",
IF(BG84="11","&gt;MHHW",
IF(BG84="12a","HAT-LAT",
IF(BG84="12b","&lt;HAT","")))))))))))))))))))</f>
        <v>HAT-LAT</v>
      </c>
      <c r="BI84" s="136">
        <f t="shared" ref="BI84:BI144" si="39">IF(BG84="1",AW84,
IF(BG84="2a",(AR84+BB84)/2,
IF(BG84="2b",AU84,
IF(BG84="3a",BB84,
IF(BG84="3b",(AU84+AR84)/2,
IF(BG84="3c",(AU84+(AU84-8))/2,
IF(BG84="3d",BB84,
IF(BG84="3e",AU84,
IF(BG84="4",AW84,
IF(BG84="5",AW84,
IF(BG84="6",BB84,
IF(BG84="7",BB84,
IF(BG84="8",(AW84+BB84)/2,
IF(BG84="9",AW84,
IF(BG84="10a",AW84,
IF(BG84="10b",(AU84+AY84)/2,
IF(BG84="11",AY84,
IF(BG84="12a",(AR84+BB84)/2,
IF(BG84="12b",BB84,"")))))))))))))))))))</f>
        <v>4.7609125082800019E-2</v>
      </c>
      <c r="BJ84" s="136">
        <f t="shared" si="21"/>
        <v>1.4282737524841198</v>
      </c>
      <c r="BK84" s="136">
        <f t="shared" si="22"/>
        <v>0.27</v>
      </c>
      <c r="BL84" s="136">
        <v>0.17552848373507368</v>
      </c>
      <c r="BM84" s="136" t="s">
        <v>175</v>
      </c>
      <c r="BN84" s="136" t="s">
        <v>175</v>
      </c>
      <c r="BO84" s="136">
        <v>0.1679671040226256</v>
      </c>
      <c r="BP84" s="137" t="s">
        <v>175</v>
      </c>
      <c r="BQ84" s="137" t="s">
        <v>175</v>
      </c>
      <c r="BR84" s="137" t="s">
        <v>175</v>
      </c>
      <c r="BS84" s="137" t="s">
        <v>175</v>
      </c>
      <c r="BT84" s="138">
        <f t="shared" si="33"/>
        <v>-4.7609125082800019E-2</v>
      </c>
      <c r="BU84" s="138">
        <f>SQRT(SUMSQ(AP84,BJ84,IF(OR(BK84="nd",BK84="nd"),0,BK84),IF(OR(BL84="nd",BL84="nd"),0,BL84),IF(OR(BO84="nd",BO84="nd"),0,BO84)))</f>
        <v>1.8547275025380818</v>
      </c>
      <c r="BV84" s="138">
        <f>SQRT(SUMSQ(AP84,BJ84,IF(OR(BK84="nd",BK84="nd"),0,BK84),IF(OR(BL84="nd",BL84="nd"),0,BL84),IF(OR(BO84="nd",BO84="nd"),0,BO84)))</f>
        <v>1.8547275025380818</v>
      </c>
      <c r="BW84" s="53" t="s">
        <v>175</v>
      </c>
      <c r="BX84" s="53" t="s">
        <v>175</v>
      </c>
      <c r="BY84" s="53" t="s">
        <v>175</v>
      </c>
      <c r="BZ84" s="53" t="s">
        <v>175</v>
      </c>
      <c r="CA84" s="147">
        <v>2</v>
      </c>
      <c r="CB84" s="54">
        <v>0</v>
      </c>
    </row>
    <row r="85" spans="1:81">
      <c r="A85" s="123" t="s">
        <v>768</v>
      </c>
      <c r="B85" s="124" t="s">
        <v>767</v>
      </c>
      <c r="C85" s="148" t="s">
        <v>674</v>
      </c>
      <c r="D85" s="125" t="s">
        <v>167</v>
      </c>
      <c r="E85" s="150">
        <v>22.2989</v>
      </c>
      <c r="F85" s="150">
        <v>113.89035</v>
      </c>
      <c r="G85" s="128" t="s">
        <v>168</v>
      </c>
      <c r="H85" s="151">
        <v>4480</v>
      </c>
      <c r="I85" s="151">
        <v>172.04650534085255</v>
      </c>
      <c r="J85" s="151">
        <v>5124</v>
      </c>
      <c r="K85" s="151">
        <v>459</v>
      </c>
      <c r="L85" s="151">
        <v>477</v>
      </c>
      <c r="M85" s="153" t="s">
        <v>818</v>
      </c>
      <c r="N85" s="130" t="s">
        <v>735</v>
      </c>
      <c r="O85" s="153" t="s">
        <v>818</v>
      </c>
      <c r="P85" s="153" t="s">
        <v>819</v>
      </c>
      <c r="Q85" s="153" t="s">
        <v>172</v>
      </c>
      <c r="R85" s="131">
        <v>0.85</v>
      </c>
      <c r="S85" s="112">
        <v>11.15</v>
      </c>
      <c r="T85" s="130">
        <v>1</v>
      </c>
      <c r="U85" s="132" t="s">
        <v>173</v>
      </c>
      <c r="V85" s="133">
        <v>0.1</v>
      </c>
      <c r="W85" s="132" t="s">
        <v>174</v>
      </c>
      <c r="X85" s="133">
        <v>0.1</v>
      </c>
      <c r="Y85" s="133">
        <v>0.05</v>
      </c>
      <c r="Z85" s="133">
        <v>0.01</v>
      </c>
      <c r="AA85" s="133">
        <v>0.15</v>
      </c>
      <c r="AB85" s="133">
        <f t="shared" ref="AB85:AB97" si="40">0.02*R85</f>
        <v>1.7000000000000001E-2</v>
      </c>
      <c r="AC85" s="134">
        <v>0</v>
      </c>
      <c r="AD85" s="134">
        <v>0</v>
      </c>
      <c r="AE85" s="134">
        <v>0.5</v>
      </c>
      <c r="AF85" s="134">
        <v>0</v>
      </c>
      <c r="AG85" s="134">
        <v>0.1</v>
      </c>
      <c r="AH85" s="134">
        <v>0</v>
      </c>
      <c r="AI85" s="134">
        <v>0</v>
      </c>
      <c r="AJ85" s="134">
        <v>0</v>
      </c>
      <c r="AK85" s="134" t="s">
        <v>175</v>
      </c>
      <c r="AL85" s="122" t="s">
        <v>175</v>
      </c>
      <c r="AM85" s="122">
        <f>-6.2-0.85-0.88-0.146</f>
        <v>-8.0760000000000005</v>
      </c>
      <c r="AN85" s="134" t="s">
        <v>176</v>
      </c>
      <c r="AO85" s="134" t="s">
        <v>177</v>
      </c>
      <c r="AP85" s="135">
        <f t="shared" si="32"/>
        <v>0.53421812024677706</v>
      </c>
      <c r="AQ85" s="135">
        <f t="shared" si="35"/>
        <v>0.53421812024677706</v>
      </c>
      <c r="AR85" s="117">
        <v>-1.7563489983970999</v>
      </c>
      <c r="AS85" s="117">
        <v>0</v>
      </c>
      <c r="AT85" s="117">
        <v>0</v>
      </c>
      <c r="AU85" s="117">
        <v>-0.95634899839710397</v>
      </c>
      <c r="AV85" s="117">
        <v>-0.64437218094387505</v>
      </c>
      <c r="AW85" s="117">
        <v>-4.6130874398914001E-2</v>
      </c>
      <c r="AX85" s="117">
        <v>0.54859304523596797</v>
      </c>
      <c r="AY85" s="117">
        <v>0.86760463650935404</v>
      </c>
      <c r="AZ85" s="117">
        <v>0</v>
      </c>
      <c r="BA85" s="117">
        <v>0</v>
      </c>
      <c r="BB85" s="117">
        <v>1.6915582714158099</v>
      </c>
      <c r="BC85" s="136">
        <v>-1</v>
      </c>
      <c r="BD85" s="136" t="s">
        <v>178</v>
      </c>
      <c r="BE85" s="152" t="s">
        <v>702</v>
      </c>
      <c r="BF85" s="152" t="s">
        <v>820</v>
      </c>
      <c r="BG85" s="120" t="s">
        <v>678</v>
      </c>
      <c r="BH85" s="136" t="str">
        <f t="shared" si="38"/>
        <v>&lt;MTL</v>
      </c>
      <c r="BI85" s="136">
        <f t="shared" si="39"/>
        <v>-4.6130874398914001E-2</v>
      </c>
      <c r="BJ85" s="136" t="str">
        <f t="shared" si="21"/>
        <v>Nil</v>
      </c>
      <c r="BK85" s="136">
        <f t="shared" si="22"/>
        <v>0.05</v>
      </c>
      <c r="BL85" s="136" t="s">
        <v>736</v>
      </c>
      <c r="BM85" s="136" t="s">
        <v>175</v>
      </c>
      <c r="BN85" s="136" t="s">
        <v>175</v>
      </c>
      <c r="BO85" s="136" t="s">
        <v>736</v>
      </c>
      <c r="BP85" s="137" t="s">
        <v>175</v>
      </c>
      <c r="BQ85" s="137" t="s">
        <v>175</v>
      </c>
      <c r="BR85" s="137" t="s">
        <v>175</v>
      </c>
      <c r="BS85" s="137" t="s">
        <v>175</v>
      </c>
      <c r="BT85" s="138">
        <f t="shared" si="33"/>
        <v>-8.0298691256010866</v>
      </c>
      <c r="BU85" s="138">
        <f t="shared" si="36"/>
        <v>0.53655288648930033</v>
      </c>
      <c r="BV85" s="138">
        <f t="shared" si="37"/>
        <v>0.53655288648930033</v>
      </c>
      <c r="BW85" s="53" t="s">
        <v>175</v>
      </c>
      <c r="BX85" s="53" t="s">
        <v>175</v>
      </c>
      <c r="BY85" s="53" t="s">
        <v>175</v>
      </c>
      <c r="BZ85" s="53" t="s">
        <v>175</v>
      </c>
      <c r="CA85" s="147">
        <v>1</v>
      </c>
      <c r="CB85" s="54">
        <v>0</v>
      </c>
    </row>
    <row r="86" spans="1:81">
      <c r="A86" s="123" t="s">
        <v>769</v>
      </c>
      <c r="B86" s="124" t="s">
        <v>767</v>
      </c>
      <c r="C86" s="148" t="s">
        <v>674</v>
      </c>
      <c r="D86" s="125" t="s">
        <v>167</v>
      </c>
      <c r="E86" s="150">
        <v>22.2989</v>
      </c>
      <c r="F86" s="150">
        <v>113.89035</v>
      </c>
      <c r="G86" s="128" t="s">
        <v>168</v>
      </c>
      <c r="H86" s="151">
        <v>4540</v>
      </c>
      <c r="I86" s="151">
        <v>214.70910553583889</v>
      </c>
      <c r="J86" s="151">
        <v>5182</v>
      </c>
      <c r="K86" s="151">
        <v>523</v>
      </c>
      <c r="L86" s="151">
        <v>602</v>
      </c>
      <c r="M86" s="153" t="s">
        <v>818</v>
      </c>
      <c r="N86" s="130" t="s">
        <v>735</v>
      </c>
      <c r="O86" s="153" t="s">
        <v>818</v>
      </c>
      <c r="P86" s="153" t="s">
        <v>819</v>
      </c>
      <c r="Q86" s="153" t="s">
        <v>172</v>
      </c>
      <c r="R86" s="131">
        <v>6.05</v>
      </c>
      <c r="S86" s="112">
        <f>-6.05--12</f>
        <v>5.95</v>
      </c>
      <c r="T86" s="130">
        <v>1</v>
      </c>
      <c r="U86" s="132" t="s">
        <v>173</v>
      </c>
      <c r="V86" s="133">
        <v>0.1</v>
      </c>
      <c r="W86" s="132" t="s">
        <v>174</v>
      </c>
      <c r="X86" s="133">
        <v>0.1</v>
      </c>
      <c r="Y86" s="133">
        <v>0.05</v>
      </c>
      <c r="Z86" s="133">
        <v>0.01</v>
      </c>
      <c r="AA86" s="133">
        <v>0.15</v>
      </c>
      <c r="AB86" s="133">
        <f t="shared" si="40"/>
        <v>0.121</v>
      </c>
      <c r="AC86" s="134">
        <v>0</v>
      </c>
      <c r="AD86" s="134">
        <v>0</v>
      </c>
      <c r="AE86" s="134">
        <v>0.5</v>
      </c>
      <c r="AF86" s="134">
        <v>0</v>
      </c>
      <c r="AG86" s="134">
        <v>0.1</v>
      </c>
      <c r="AH86" s="134">
        <v>0</v>
      </c>
      <c r="AI86" s="134">
        <v>0</v>
      </c>
      <c r="AJ86" s="134">
        <v>0</v>
      </c>
      <c r="AK86" s="134" t="s">
        <v>175</v>
      </c>
      <c r="AL86" s="122" t="s">
        <v>175</v>
      </c>
      <c r="AM86" s="122">
        <f>-6.2-6.05-0.88-0.146</f>
        <v>-13.276000000000002</v>
      </c>
      <c r="AN86" s="134" t="s">
        <v>176</v>
      </c>
      <c r="AO86" s="134" t="s">
        <v>177</v>
      </c>
      <c r="AP86" s="135">
        <f t="shared" si="32"/>
        <v>0.54748607288222417</v>
      </c>
      <c r="AQ86" s="135">
        <f t="shared" si="35"/>
        <v>0.54748607288222417</v>
      </c>
      <c r="AR86" s="117">
        <v>-1.7563489983970999</v>
      </c>
      <c r="AS86" s="117">
        <v>0</v>
      </c>
      <c r="AT86" s="117">
        <v>0</v>
      </c>
      <c r="AU86" s="117">
        <v>-0.95634899839710397</v>
      </c>
      <c r="AV86" s="117">
        <v>-0.64437218094387505</v>
      </c>
      <c r="AW86" s="117">
        <v>-4.6130874398914001E-2</v>
      </c>
      <c r="AX86" s="117">
        <v>0.54859304523596797</v>
      </c>
      <c r="AY86" s="117">
        <v>0.86760463650935404</v>
      </c>
      <c r="AZ86" s="117">
        <v>0</v>
      </c>
      <c r="BA86" s="117">
        <v>0</v>
      </c>
      <c r="BB86" s="117">
        <v>1.6915582714158099</v>
      </c>
      <c r="BC86" s="136">
        <v>-1</v>
      </c>
      <c r="BD86" s="136" t="s">
        <v>178</v>
      </c>
      <c r="BE86" s="152" t="s">
        <v>702</v>
      </c>
      <c r="BF86" s="152" t="s">
        <v>820</v>
      </c>
      <c r="BG86" s="120" t="s">
        <v>678</v>
      </c>
      <c r="BH86" s="136" t="str">
        <f t="shared" si="38"/>
        <v>&lt;MTL</v>
      </c>
      <c r="BI86" s="136">
        <f t="shared" si="39"/>
        <v>-4.6130874398914001E-2</v>
      </c>
      <c r="BJ86" s="136" t="str">
        <f t="shared" si="21"/>
        <v>Nil</v>
      </c>
      <c r="BK86" s="136">
        <f t="shared" si="22"/>
        <v>0.05</v>
      </c>
      <c r="BL86" s="136" t="s">
        <v>736</v>
      </c>
      <c r="BM86" s="136" t="s">
        <v>175</v>
      </c>
      <c r="BN86" s="136" t="s">
        <v>175</v>
      </c>
      <c r="BO86" s="136" t="s">
        <v>736</v>
      </c>
      <c r="BP86" s="137" t="s">
        <v>175</v>
      </c>
      <c r="BQ86" s="137" t="s">
        <v>175</v>
      </c>
      <c r="BR86" s="137" t="s">
        <v>175</v>
      </c>
      <c r="BS86" s="137" t="s">
        <v>175</v>
      </c>
      <c r="BT86" s="138">
        <f t="shared" si="33"/>
        <v>-13.229869125601088</v>
      </c>
      <c r="BU86" s="138">
        <f t="shared" si="36"/>
        <v>0.54976449503401004</v>
      </c>
      <c r="BV86" s="138">
        <f t="shared" si="37"/>
        <v>0.54976449503401004</v>
      </c>
      <c r="BW86" s="53" t="s">
        <v>175</v>
      </c>
      <c r="BX86" s="53" t="s">
        <v>175</v>
      </c>
      <c r="BY86" s="53" t="s">
        <v>175</v>
      </c>
      <c r="BZ86" s="53" t="s">
        <v>175</v>
      </c>
      <c r="CA86" s="147">
        <v>1</v>
      </c>
      <c r="CB86" s="54">
        <v>0</v>
      </c>
    </row>
    <row r="87" spans="1:81">
      <c r="A87" s="123" t="s">
        <v>770</v>
      </c>
      <c r="B87" s="124" t="s">
        <v>767</v>
      </c>
      <c r="C87" s="148" t="s">
        <v>674</v>
      </c>
      <c r="D87" s="125" t="s">
        <v>167</v>
      </c>
      <c r="E87" s="150">
        <v>22.2989</v>
      </c>
      <c r="F87" s="150">
        <v>113.89035</v>
      </c>
      <c r="G87" s="128" t="s">
        <v>168</v>
      </c>
      <c r="H87" s="151">
        <v>4740</v>
      </c>
      <c r="I87" s="151">
        <v>30</v>
      </c>
      <c r="J87" s="151">
        <v>4809</v>
      </c>
      <c r="K87" s="151">
        <v>248</v>
      </c>
      <c r="L87" s="151">
        <v>276</v>
      </c>
      <c r="M87" s="153" t="s">
        <v>818</v>
      </c>
      <c r="N87" s="130" t="s">
        <v>339</v>
      </c>
      <c r="O87" s="153" t="s">
        <v>818</v>
      </c>
      <c r="P87" s="153" t="s">
        <v>819</v>
      </c>
      <c r="Q87" s="153" t="s">
        <v>172</v>
      </c>
      <c r="R87" s="131">
        <v>10.199999999999999</v>
      </c>
      <c r="S87" s="112">
        <f>-10.2--12</f>
        <v>1.8000000000000007</v>
      </c>
      <c r="T87" s="130">
        <v>1</v>
      </c>
      <c r="U87" s="132" t="s">
        <v>173</v>
      </c>
      <c r="V87" s="133">
        <v>0.01</v>
      </c>
      <c r="W87" s="132" t="s">
        <v>174</v>
      </c>
      <c r="X87" s="133">
        <v>0.01</v>
      </c>
      <c r="Y87" s="133">
        <v>5.0000000000000001E-3</v>
      </c>
      <c r="Z87" s="133">
        <v>0.01</v>
      </c>
      <c r="AA87" s="133">
        <v>0.15</v>
      </c>
      <c r="AB87" s="133">
        <f t="shared" si="40"/>
        <v>0.20399999999999999</v>
      </c>
      <c r="AC87" s="134">
        <v>0</v>
      </c>
      <c r="AD87" s="134">
        <v>0</v>
      </c>
      <c r="AE87" s="134">
        <v>0.5</v>
      </c>
      <c r="AF87" s="134">
        <v>0</v>
      </c>
      <c r="AG87" s="134">
        <v>0.1</v>
      </c>
      <c r="AH87" s="134">
        <v>0</v>
      </c>
      <c r="AI87" s="134">
        <v>0</v>
      </c>
      <c r="AJ87" s="134">
        <v>0</v>
      </c>
      <c r="AK87" s="134" t="s">
        <v>175</v>
      </c>
      <c r="AL87" s="122" t="s">
        <v>175</v>
      </c>
      <c r="AM87" s="122">
        <f>-6.2-10.2-0.88-0.146</f>
        <v>-17.425999999999998</v>
      </c>
      <c r="AN87" s="134" t="s">
        <v>176</v>
      </c>
      <c r="AO87" s="134" t="s">
        <v>177</v>
      </c>
      <c r="AP87" s="135">
        <f t="shared" si="32"/>
        <v>0.56942163639960153</v>
      </c>
      <c r="AQ87" s="135">
        <f t="shared" si="35"/>
        <v>0.56942163639960153</v>
      </c>
      <c r="AR87" s="117">
        <v>-1.7563489983970999</v>
      </c>
      <c r="AS87" s="117">
        <v>0</v>
      </c>
      <c r="AT87" s="117">
        <v>0</v>
      </c>
      <c r="AU87" s="117">
        <v>-0.95634899839710397</v>
      </c>
      <c r="AV87" s="117">
        <v>-0.64437218094387505</v>
      </c>
      <c r="AW87" s="117">
        <v>-4.6130874398914001E-2</v>
      </c>
      <c r="AX87" s="117">
        <v>0.54859304523596797</v>
      </c>
      <c r="AY87" s="117">
        <v>0.86760463650935404</v>
      </c>
      <c r="AZ87" s="117">
        <v>0</v>
      </c>
      <c r="BA87" s="117">
        <v>0</v>
      </c>
      <c r="BB87" s="117">
        <v>1.6915582714158099</v>
      </c>
      <c r="BC87" s="136">
        <v>-1</v>
      </c>
      <c r="BD87" s="136" t="s">
        <v>178</v>
      </c>
      <c r="BE87" s="152" t="s">
        <v>702</v>
      </c>
      <c r="BF87" s="152" t="s">
        <v>820</v>
      </c>
      <c r="BG87" s="120" t="s">
        <v>678</v>
      </c>
      <c r="BH87" s="136" t="str">
        <f t="shared" si="38"/>
        <v>&lt;MTL</v>
      </c>
      <c r="BI87" s="136">
        <f t="shared" si="39"/>
        <v>-4.6130874398914001E-2</v>
      </c>
      <c r="BJ87" s="136" t="str">
        <f t="shared" si="21"/>
        <v>Nil</v>
      </c>
      <c r="BK87" s="136">
        <f t="shared" si="22"/>
        <v>0.05</v>
      </c>
      <c r="BL87" s="136" t="s">
        <v>736</v>
      </c>
      <c r="BM87" s="136" t="s">
        <v>175</v>
      </c>
      <c r="BN87" s="136" t="s">
        <v>175</v>
      </c>
      <c r="BO87" s="136" t="s">
        <v>736</v>
      </c>
      <c r="BP87" s="137" t="s">
        <v>175</v>
      </c>
      <c r="BQ87" s="137" t="s">
        <v>175</v>
      </c>
      <c r="BR87" s="137" t="s">
        <v>175</v>
      </c>
      <c r="BS87" s="137" t="s">
        <v>175</v>
      </c>
      <c r="BT87" s="138">
        <f t="shared" si="33"/>
        <v>-17.379869125601083</v>
      </c>
      <c r="BU87" s="138">
        <f t="shared" si="36"/>
        <v>0.57161263107107774</v>
      </c>
      <c r="BV87" s="138">
        <f t="shared" si="37"/>
        <v>0.57161263107107774</v>
      </c>
      <c r="BW87" s="53" t="s">
        <v>175</v>
      </c>
      <c r="BX87" s="53" t="s">
        <v>175</v>
      </c>
      <c r="BY87" s="53" t="s">
        <v>175</v>
      </c>
      <c r="BZ87" s="53" t="s">
        <v>175</v>
      </c>
      <c r="CA87" s="147">
        <v>1</v>
      </c>
      <c r="CB87" s="54">
        <v>0</v>
      </c>
    </row>
    <row r="88" spans="1:81">
      <c r="A88" s="123" t="s">
        <v>771</v>
      </c>
      <c r="B88" s="124" t="s">
        <v>767</v>
      </c>
      <c r="C88" s="148" t="s">
        <v>674</v>
      </c>
      <c r="D88" s="125" t="s">
        <v>167</v>
      </c>
      <c r="E88" s="150">
        <v>22.2989</v>
      </c>
      <c r="F88" s="150">
        <v>113.89035</v>
      </c>
      <c r="G88" s="128" t="s">
        <v>168</v>
      </c>
      <c r="H88" s="151">
        <v>5440</v>
      </c>
      <c r="I88" s="151">
        <v>141.42135623730951</v>
      </c>
      <c r="J88" s="151">
        <v>6216</v>
      </c>
      <c r="K88" s="151">
        <v>314</v>
      </c>
      <c r="L88" s="151">
        <v>306</v>
      </c>
      <c r="M88" s="153" t="s">
        <v>819</v>
      </c>
      <c r="N88" s="130" t="s">
        <v>735</v>
      </c>
      <c r="O88" s="153" t="s">
        <v>818</v>
      </c>
      <c r="P88" s="153" t="s">
        <v>821</v>
      </c>
      <c r="Q88" s="153" t="s">
        <v>172</v>
      </c>
      <c r="R88" s="131">
        <v>11.45</v>
      </c>
      <c r="S88" s="112">
        <f>-11.45--12</f>
        <v>0.55000000000000071</v>
      </c>
      <c r="T88" s="130">
        <v>1</v>
      </c>
      <c r="U88" s="132" t="s">
        <v>173</v>
      </c>
      <c r="V88" s="133">
        <v>0.1</v>
      </c>
      <c r="W88" s="132" t="s">
        <v>174</v>
      </c>
      <c r="X88" s="133">
        <v>0.1</v>
      </c>
      <c r="Y88" s="133">
        <v>0.05</v>
      </c>
      <c r="Z88" s="133">
        <v>0.01</v>
      </c>
      <c r="AA88" s="133">
        <v>0.15</v>
      </c>
      <c r="AB88" s="133">
        <f t="shared" si="40"/>
        <v>0.22899999999999998</v>
      </c>
      <c r="AC88" s="134">
        <v>0</v>
      </c>
      <c r="AD88" s="134">
        <v>0</v>
      </c>
      <c r="AE88" s="134">
        <v>0.5</v>
      </c>
      <c r="AF88" s="134">
        <v>0</v>
      </c>
      <c r="AG88" s="134">
        <v>0.1</v>
      </c>
      <c r="AH88" s="134">
        <v>0</v>
      </c>
      <c r="AI88" s="134">
        <v>0</v>
      </c>
      <c r="AJ88" s="134">
        <v>0</v>
      </c>
      <c r="AK88" s="134" t="s">
        <v>175</v>
      </c>
      <c r="AL88" s="122" t="s">
        <v>175</v>
      </c>
      <c r="AM88" s="122">
        <f>-6.2-11.45-0.88-0.146</f>
        <v>-18.675999999999998</v>
      </c>
      <c r="AN88" s="134" t="s">
        <v>176</v>
      </c>
      <c r="AO88" s="134" t="s">
        <v>177</v>
      </c>
      <c r="AP88" s="135">
        <f t="shared" si="32"/>
        <v>0.5809827880410916</v>
      </c>
      <c r="AQ88" s="135">
        <f t="shared" si="35"/>
        <v>0.5809827880410916</v>
      </c>
      <c r="AR88" s="117">
        <v>-1.7563489983970999</v>
      </c>
      <c r="AS88" s="117">
        <v>0</v>
      </c>
      <c r="AT88" s="117">
        <v>0</v>
      </c>
      <c r="AU88" s="117">
        <v>-0.95634899839710397</v>
      </c>
      <c r="AV88" s="117">
        <v>-0.64437218094387505</v>
      </c>
      <c r="AW88" s="117">
        <v>-4.6130874398914001E-2</v>
      </c>
      <c r="AX88" s="117">
        <v>0.54859304523596797</v>
      </c>
      <c r="AY88" s="117">
        <v>0.86760463650935404</v>
      </c>
      <c r="AZ88" s="117">
        <v>0</v>
      </c>
      <c r="BA88" s="117">
        <v>0</v>
      </c>
      <c r="BB88" s="117">
        <v>1.6915582714158099</v>
      </c>
      <c r="BC88" s="136">
        <v>-1</v>
      </c>
      <c r="BD88" s="136" t="s">
        <v>178</v>
      </c>
      <c r="BE88" s="152" t="s">
        <v>843</v>
      </c>
      <c r="BF88" s="152" t="s">
        <v>822</v>
      </c>
      <c r="BG88" s="120" t="s">
        <v>662</v>
      </c>
      <c r="BH88" s="136" t="str">
        <f t="shared" si="38"/>
        <v>&lt;HAT</v>
      </c>
      <c r="BI88" s="136">
        <f t="shared" si="39"/>
        <v>1.6915582714158099</v>
      </c>
      <c r="BJ88" s="136" t="str">
        <f t="shared" si="21"/>
        <v>Nil</v>
      </c>
      <c r="BK88" s="136">
        <f t="shared" si="22"/>
        <v>0.18</v>
      </c>
      <c r="BL88" s="136" t="s">
        <v>736</v>
      </c>
      <c r="BM88" s="136" t="s">
        <v>175</v>
      </c>
      <c r="BN88" s="136" t="s">
        <v>175</v>
      </c>
      <c r="BO88" s="136" t="s">
        <v>736</v>
      </c>
      <c r="BP88" s="137" t="s">
        <v>175</v>
      </c>
      <c r="BQ88" s="137" t="s">
        <v>175</v>
      </c>
      <c r="BR88" s="137" t="s">
        <v>175</v>
      </c>
      <c r="BS88" s="137" t="s">
        <v>175</v>
      </c>
      <c r="BT88" s="138">
        <f t="shared" si="33"/>
        <v>-20.36755827141581</v>
      </c>
      <c r="BU88" s="138">
        <f t="shared" si="36"/>
        <v>0.60822775339505841</v>
      </c>
      <c r="BV88" s="138">
        <f t="shared" si="37"/>
        <v>0.60822775339505841</v>
      </c>
      <c r="BW88" s="53" t="s">
        <v>175</v>
      </c>
      <c r="BX88" s="53" t="s">
        <v>175</v>
      </c>
      <c r="BY88" s="53" t="s">
        <v>175</v>
      </c>
      <c r="BZ88" s="53" t="s">
        <v>175</v>
      </c>
      <c r="CA88" s="147">
        <v>1</v>
      </c>
      <c r="CB88" s="54">
        <v>0</v>
      </c>
    </row>
    <row r="89" spans="1:81">
      <c r="A89" s="123" t="s">
        <v>772</v>
      </c>
      <c r="B89" s="124" t="s">
        <v>767</v>
      </c>
      <c r="C89" s="148" t="s">
        <v>674</v>
      </c>
      <c r="D89" s="125" t="s">
        <v>167</v>
      </c>
      <c r="E89" s="150">
        <v>22.2989</v>
      </c>
      <c r="F89" s="150">
        <v>113.89035</v>
      </c>
      <c r="G89" s="128" t="s">
        <v>168</v>
      </c>
      <c r="H89" s="151">
        <v>19430</v>
      </c>
      <c r="I89" s="151">
        <v>392.93765408777</v>
      </c>
      <c r="J89" s="151">
        <v>23409</v>
      </c>
      <c r="K89" s="151">
        <v>825</v>
      </c>
      <c r="L89" s="151">
        <v>909</v>
      </c>
      <c r="M89" s="153" t="s">
        <v>821</v>
      </c>
      <c r="N89" s="130" t="s">
        <v>735</v>
      </c>
      <c r="O89" s="153" t="s">
        <v>819</v>
      </c>
      <c r="P89" s="153" t="s">
        <v>175</v>
      </c>
      <c r="Q89" s="153" t="s">
        <v>172</v>
      </c>
      <c r="R89" s="131">
        <v>12.15</v>
      </c>
      <c r="S89" s="112" t="s">
        <v>175</v>
      </c>
      <c r="T89" s="130">
        <v>1</v>
      </c>
      <c r="U89" s="132" t="s">
        <v>173</v>
      </c>
      <c r="V89" s="133">
        <v>0.1</v>
      </c>
      <c r="W89" s="132" t="s">
        <v>174</v>
      </c>
      <c r="X89" s="133">
        <v>0.1</v>
      </c>
      <c r="Y89" s="133">
        <v>0.05</v>
      </c>
      <c r="Z89" s="133">
        <v>0.01</v>
      </c>
      <c r="AA89" s="133">
        <v>0.15</v>
      </c>
      <c r="AB89" s="133">
        <f t="shared" si="40"/>
        <v>0.24300000000000002</v>
      </c>
      <c r="AC89" s="134">
        <v>0</v>
      </c>
      <c r="AD89" s="134">
        <v>0</v>
      </c>
      <c r="AE89" s="134">
        <v>0.5</v>
      </c>
      <c r="AF89" s="134">
        <v>0</v>
      </c>
      <c r="AG89" s="134">
        <v>0.1</v>
      </c>
      <c r="AH89" s="134">
        <v>0</v>
      </c>
      <c r="AI89" s="134">
        <v>0</v>
      </c>
      <c r="AJ89" s="134">
        <v>0</v>
      </c>
      <c r="AK89" s="134" t="s">
        <v>175</v>
      </c>
      <c r="AL89" s="122" t="s">
        <v>175</v>
      </c>
      <c r="AM89" s="122">
        <f>-6.2-12.15-0.88-0.146</f>
        <v>-19.376000000000001</v>
      </c>
      <c r="AN89" s="134" t="s">
        <v>176</v>
      </c>
      <c r="AO89" s="134" t="s">
        <v>177</v>
      </c>
      <c r="AP89" s="135">
        <f t="shared" si="32"/>
        <v>0.58664213963880918</v>
      </c>
      <c r="AQ89" s="135">
        <f t="shared" si="35"/>
        <v>0.58664213963880918</v>
      </c>
      <c r="AR89" s="117">
        <v>-1.7563489983970999</v>
      </c>
      <c r="AS89" s="117">
        <v>0</v>
      </c>
      <c r="AT89" s="117">
        <v>0</v>
      </c>
      <c r="AU89" s="117">
        <v>-0.95634899839710397</v>
      </c>
      <c r="AV89" s="117">
        <v>-0.64437218094387505</v>
      </c>
      <c r="AW89" s="117">
        <v>-4.6130874398914001E-2</v>
      </c>
      <c r="AX89" s="117">
        <v>0.54859304523596797</v>
      </c>
      <c r="AY89" s="117">
        <v>0.86760463650935404</v>
      </c>
      <c r="AZ89" s="117">
        <v>0</v>
      </c>
      <c r="BA89" s="117">
        <v>0</v>
      </c>
      <c r="BB89" s="117">
        <v>1.6915582714158099</v>
      </c>
      <c r="BC89" s="136">
        <v>1</v>
      </c>
      <c r="BD89" s="136" t="s">
        <v>178</v>
      </c>
      <c r="BE89" s="152" t="s">
        <v>714</v>
      </c>
      <c r="BF89" s="152" t="s">
        <v>824</v>
      </c>
      <c r="BG89" s="120" t="s">
        <v>660</v>
      </c>
      <c r="BH89" s="136" t="str">
        <f t="shared" si="38"/>
        <v>&gt;MTL</v>
      </c>
      <c r="BI89" s="136">
        <f t="shared" si="39"/>
        <v>-4.6130874398914001E-2</v>
      </c>
      <c r="BJ89" s="136" t="str">
        <f t="shared" si="21"/>
        <v>Nil</v>
      </c>
      <c r="BK89" s="136">
        <f t="shared" si="22"/>
        <v>0.05</v>
      </c>
      <c r="BL89" s="136" t="s">
        <v>736</v>
      </c>
      <c r="BM89" s="136" t="s">
        <v>175</v>
      </c>
      <c r="BN89" s="136" t="s">
        <v>175</v>
      </c>
      <c r="BO89" s="136" t="s">
        <v>736</v>
      </c>
      <c r="BP89" s="137" t="s">
        <v>175</v>
      </c>
      <c r="BQ89" s="137" t="s">
        <v>175</v>
      </c>
      <c r="BR89" s="137" t="s">
        <v>175</v>
      </c>
      <c r="BS89" s="137" t="s">
        <v>175</v>
      </c>
      <c r="BT89" s="138">
        <f t="shared" si="33"/>
        <v>-19.329869125601085</v>
      </c>
      <c r="BU89" s="138">
        <f t="shared" si="36"/>
        <v>0.58876905489334275</v>
      </c>
      <c r="BV89" s="138">
        <f t="shared" si="37"/>
        <v>0.58876905489334275</v>
      </c>
      <c r="BW89" s="53" t="s">
        <v>175</v>
      </c>
      <c r="BX89" s="53" t="s">
        <v>175</v>
      </c>
      <c r="BY89" s="53" t="s">
        <v>175</v>
      </c>
      <c r="BZ89" s="53" t="s">
        <v>175</v>
      </c>
      <c r="CA89" s="147">
        <v>1</v>
      </c>
      <c r="CB89" s="54">
        <v>0</v>
      </c>
    </row>
    <row r="90" spans="1:81">
      <c r="A90" s="123" t="s">
        <v>773</v>
      </c>
      <c r="B90" s="124" t="s">
        <v>767</v>
      </c>
      <c r="C90" s="148" t="s">
        <v>674</v>
      </c>
      <c r="D90" s="125" t="s">
        <v>167</v>
      </c>
      <c r="E90" s="150">
        <v>22.331022999999998</v>
      </c>
      <c r="F90" s="150">
        <v>114.47753899999999</v>
      </c>
      <c r="G90" s="128" t="s">
        <v>168</v>
      </c>
      <c r="H90" s="151">
        <v>780</v>
      </c>
      <c r="I90" s="151">
        <v>30</v>
      </c>
      <c r="J90" s="151">
        <v>249</v>
      </c>
      <c r="K90" s="151">
        <v>198</v>
      </c>
      <c r="L90" s="151">
        <v>210</v>
      </c>
      <c r="M90" s="153" t="s">
        <v>818</v>
      </c>
      <c r="N90" s="130" t="s">
        <v>339</v>
      </c>
      <c r="O90" s="153" t="s">
        <v>818</v>
      </c>
      <c r="P90" s="153" t="s">
        <v>819</v>
      </c>
      <c r="Q90" s="153" t="s">
        <v>172</v>
      </c>
      <c r="R90" s="131">
        <v>0.5</v>
      </c>
      <c r="S90" s="112" t="s">
        <v>175</v>
      </c>
      <c r="T90" s="130">
        <v>1</v>
      </c>
      <c r="U90" s="132" t="s">
        <v>173</v>
      </c>
      <c r="V90" s="133">
        <v>0.01</v>
      </c>
      <c r="W90" s="132" t="s">
        <v>174</v>
      </c>
      <c r="X90" s="133">
        <v>0.01</v>
      </c>
      <c r="Y90" s="133">
        <v>5.0000000000000001E-3</v>
      </c>
      <c r="Z90" s="133">
        <v>0.01</v>
      </c>
      <c r="AA90" s="133">
        <v>0.15</v>
      </c>
      <c r="AB90" s="133">
        <f t="shared" si="40"/>
        <v>0.01</v>
      </c>
      <c r="AC90" s="134">
        <v>0</v>
      </c>
      <c r="AD90" s="134">
        <v>0</v>
      </c>
      <c r="AE90" s="134">
        <v>0.5</v>
      </c>
      <c r="AF90" s="134">
        <v>0</v>
      </c>
      <c r="AG90" s="134">
        <v>0.1</v>
      </c>
      <c r="AH90" s="134">
        <v>0</v>
      </c>
      <c r="AI90" s="134">
        <v>0</v>
      </c>
      <c r="AJ90" s="134">
        <v>0</v>
      </c>
      <c r="AK90" s="134" t="s">
        <v>175</v>
      </c>
      <c r="AL90" s="122" t="s">
        <v>175</v>
      </c>
      <c r="AM90" s="122">
        <f>-26-0.5-0.88-0.146</f>
        <v>-27.526</v>
      </c>
      <c r="AN90" s="134" t="s">
        <v>176</v>
      </c>
      <c r="AO90" s="134" t="s">
        <v>177</v>
      </c>
      <c r="AP90" s="135">
        <f t="shared" si="32"/>
        <v>0.53171891070376653</v>
      </c>
      <c r="AQ90" s="135">
        <f t="shared" si="35"/>
        <v>0.53171891070376653</v>
      </c>
      <c r="AR90" s="117">
        <v>-1.19402120112523</v>
      </c>
      <c r="AS90" s="117">
        <v>0</v>
      </c>
      <c r="AT90" s="117">
        <v>0</v>
      </c>
      <c r="AU90" s="117">
        <v>-0.683151943339387</v>
      </c>
      <c r="AV90" s="117">
        <v>-0.46086925778584997</v>
      </c>
      <c r="AW90" s="117">
        <v>-1.1005300281309501E-2</v>
      </c>
      <c r="AX90" s="117">
        <v>0.42771731444646199</v>
      </c>
      <c r="AY90" s="117">
        <v>0.67228268555353698</v>
      </c>
      <c r="AZ90" s="117">
        <v>0</v>
      </c>
      <c r="BA90" s="117">
        <v>0</v>
      </c>
      <c r="BB90" s="117">
        <v>1.18315194333938</v>
      </c>
      <c r="BC90" s="136">
        <v>-1</v>
      </c>
      <c r="BD90" s="136" t="s">
        <v>178</v>
      </c>
      <c r="BE90" s="152" t="s">
        <v>702</v>
      </c>
      <c r="BF90" s="152" t="s">
        <v>820</v>
      </c>
      <c r="BG90" s="120" t="s">
        <v>678</v>
      </c>
      <c r="BH90" s="136" t="str">
        <f t="shared" si="38"/>
        <v>&lt;MTL</v>
      </c>
      <c r="BI90" s="136">
        <f t="shared" si="39"/>
        <v>-1.1005300281309501E-2</v>
      </c>
      <c r="BJ90" s="136" t="str">
        <f t="shared" si="21"/>
        <v>Nil</v>
      </c>
      <c r="BK90" s="136">
        <f t="shared" si="22"/>
        <v>0.05</v>
      </c>
      <c r="BL90" s="136" t="s">
        <v>736</v>
      </c>
      <c r="BM90" s="136" t="s">
        <v>175</v>
      </c>
      <c r="BN90" s="136" t="s">
        <v>175</v>
      </c>
      <c r="BO90" s="136" t="s">
        <v>736</v>
      </c>
      <c r="BP90" s="137" t="s">
        <v>175</v>
      </c>
      <c r="BQ90" s="137" t="s">
        <v>175</v>
      </c>
      <c r="BR90" s="137" t="s">
        <v>175</v>
      </c>
      <c r="BS90" s="137" t="s">
        <v>175</v>
      </c>
      <c r="BT90" s="138">
        <f t="shared" si="33"/>
        <v>-27.514994699718692</v>
      </c>
      <c r="BU90" s="138">
        <f t="shared" si="36"/>
        <v>0.5340646028337771</v>
      </c>
      <c r="BV90" s="138">
        <f t="shared" si="37"/>
        <v>0.5340646028337771</v>
      </c>
      <c r="BW90" s="53" t="s">
        <v>175</v>
      </c>
      <c r="BX90" s="53" t="s">
        <v>175</v>
      </c>
      <c r="BY90" s="53" t="s">
        <v>175</v>
      </c>
      <c r="BZ90" s="53" t="s">
        <v>175</v>
      </c>
      <c r="CA90" s="147">
        <v>1</v>
      </c>
      <c r="CB90" s="54">
        <v>0</v>
      </c>
    </row>
    <row r="91" spans="1:81">
      <c r="A91" s="123" t="s">
        <v>774</v>
      </c>
      <c r="B91" s="124" t="s">
        <v>767</v>
      </c>
      <c r="C91" s="148" t="s">
        <v>674</v>
      </c>
      <c r="D91" s="125" t="s">
        <v>167</v>
      </c>
      <c r="E91" s="150">
        <v>22.331022999999998</v>
      </c>
      <c r="F91" s="150">
        <v>114.47753899999999</v>
      </c>
      <c r="G91" s="128" t="s">
        <v>168</v>
      </c>
      <c r="H91" s="151">
        <v>1880</v>
      </c>
      <c r="I91" s="151">
        <v>30</v>
      </c>
      <c r="J91" s="151">
        <v>1288</v>
      </c>
      <c r="K91" s="151">
        <v>210</v>
      </c>
      <c r="L91" s="151">
        <v>201</v>
      </c>
      <c r="M91" s="153" t="s">
        <v>818</v>
      </c>
      <c r="N91" s="130" t="s">
        <v>339</v>
      </c>
      <c r="O91" s="153" t="s">
        <v>818</v>
      </c>
      <c r="P91" s="153" t="s">
        <v>819</v>
      </c>
      <c r="Q91" s="153" t="s">
        <v>172</v>
      </c>
      <c r="R91" s="131">
        <v>1.5</v>
      </c>
      <c r="S91" s="112" t="s">
        <v>175</v>
      </c>
      <c r="T91" s="130">
        <v>1</v>
      </c>
      <c r="U91" s="132" t="s">
        <v>173</v>
      </c>
      <c r="V91" s="133">
        <v>0.01</v>
      </c>
      <c r="W91" s="132" t="s">
        <v>174</v>
      </c>
      <c r="X91" s="133">
        <v>0.01</v>
      </c>
      <c r="Y91" s="133">
        <v>5.0000000000000001E-3</v>
      </c>
      <c r="Z91" s="133">
        <v>0.01</v>
      </c>
      <c r="AA91" s="133">
        <v>0.15</v>
      </c>
      <c r="AB91" s="133">
        <f t="shared" si="40"/>
        <v>0.03</v>
      </c>
      <c r="AC91" s="134">
        <v>0</v>
      </c>
      <c r="AD91" s="134">
        <v>0</v>
      </c>
      <c r="AE91" s="134">
        <v>0.5</v>
      </c>
      <c r="AF91" s="134">
        <v>0</v>
      </c>
      <c r="AG91" s="134">
        <v>0.1</v>
      </c>
      <c r="AH91" s="134">
        <v>0</v>
      </c>
      <c r="AI91" s="134">
        <v>0</v>
      </c>
      <c r="AJ91" s="134">
        <v>0</v>
      </c>
      <c r="AK91" s="134" t="s">
        <v>175</v>
      </c>
      <c r="AL91" s="122" t="s">
        <v>175</v>
      </c>
      <c r="AM91" s="122">
        <f>-26-1.5-0.88-0.146</f>
        <v>-28.526</v>
      </c>
      <c r="AN91" s="134" t="s">
        <v>176</v>
      </c>
      <c r="AO91" s="134" t="s">
        <v>177</v>
      </c>
      <c r="AP91" s="135">
        <f t="shared" si="32"/>
        <v>0.53247065646850444</v>
      </c>
      <c r="AQ91" s="135">
        <f t="shared" si="35"/>
        <v>0.53247065646850444</v>
      </c>
      <c r="AR91" s="117">
        <v>-1.19402120112523</v>
      </c>
      <c r="AS91" s="117">
        <v>0</v>
      </c>
      <c r="AT91" s="117">
        <v>0</v>
      </c>
      <c r="AU91" s="117">
        <v>-0.683151943339387</v>
      </c>
      <c r="AV91" s="117">
        <v>-0.46086925778584997</v>
      </c>
      <c r="AW91" s="117">
        <v>-1.1005300281309501E-2</v>
      </c>
      <c r="AX91" s="117">
        <v>0.42771731444646199</v>
      </c>
      <c r="AY91" s="117">
        <v>0.67228268555353698</v>
      </c>
      <c r="AZ91" s="117">
        <v>0</v>
      </c>
      <c r="BA91" s="117">
        <v>0</v>
      </c>
      <c r="BB91" s="117">
        <v>1.18315194333938</v>
      </c>
      <c r="BC91" s="136">
        <v>-1</v>
      </c>
      <c r="BD91" s="136" t="s">
        <v>178</v>
      </c>
      <c r="BE91" s="152" t="s">
        <v>702</v>
      </c>
      <c r="BF91" s="152" t="s">
        <v>820</v>
      </c>
      <c r="BG91" s="120" t="s">
        <v>678</v>
      </c>
      <c r="BH91" s="136" t="str">
        <f t="shared" si="38"/>
        <v>&lt;MTL</v>
      </c>
      <c r="BI91" s="136">
        <f t="shared" si="39"/>
        <v>-1.1005300281309501E-2</v>
      </c>
      <c r="BJ91" s="136" t="str">
        <f t="shared" si="21"/>
        <v>Nil</v>
      </c>
      <c r="BK91" s="136">
        <f t="shared" si="22"/>
        <v>0.05</v>
      </c>
      <c r="BL91" s="136" t="s">
        <v>736</v>
      </c>
      <c r="BM91" s="136" t="s">
        <v>175</v>
      </c>
      <c r="BN91" s="136" t="s">
        <v>175</v>
      </c>
      <c r="BO91" s="136" t="s">
        <v>736</v>
      </c>
      <c r="BP91" s="137" t="s">
        <v>175</v>
      </c>
      <c r="BQ91" s="137" t="s">
        <v>175</v>
      </c>
      <c r="BR91" s="137" t="s">
        <v>175</v>
      </c>
      <c r="BS91" s="137" t="s">
        <v>175</v>
      </c>
      <c r="BT91" s="138">
        <f t="shared" si="33"/>
        <v>-28.514994699718692</v>
      </c>
      <c r="BU91" s="138">
        <f t="shared" si="36"/>
        <v>0.53481305144882174</v>
      </c>
      <c r="BV91" s="138">
        <f t="shared" si="37"/>
        <v>0.53481305144882174</v>
      </c>
      <c r="BW91" s="53" t="s">
        <v>175</v>
      </c>
      <c r="BX91" s="53" t="s">
        <v>175</v>
      </c>
      <c r="BY91" s="53" t="s">
        <v>175</v>
      </c>
      <c r="BZ91" s="53" t="s">
        <v>175</v>
      </c>
      <c r="CA91" s="147">
        <v>1</v>
      </c>
      <c r="CB91" s="54">
        <v>0</v>
      </c>
    </row>
    <row r="92" spans="1:81">
      <c r="A92" s="123" t="s">
        <v>775</v>
      </c>
      <c r="B92" s="124" t="s">
        <v>767</v>
      </c>
      <c r="C92" s="148" t="s">
        <v>674</v>
      </c>
      <c r="D92" s="125" t="s">
        <v>167</v>
      </c>
      <c r="E92" s="150">
        <v>22.331022999999998</v>
      </c>
      <c r="F92" s="150">
        <v>114.47753899999999</v>
      </c>
      <c r="G92" s="128" t="s">
        <v>168</v>
      </c>
      <c r="H92" s="151">
        <v>2940</v>
      </c>
      <c r="I92" s="151">
        <v>30</v>
      </c>
      <c r="J92" s="151">
        <v>2550</v>
      </c>
      <c r="K92" s="151">
        <v>199</v>
      </c>
      <c r="L92" s="151">
        <v>224</v>
      </c>
      <c r="M92" s="153" t="s">
        <v>818</v>
      </c>
      <c r="N92" s="130" t="s">
        <v>339</v>
      </c>
      <c r="O92" s="153" t="s">
        <v>818</v>
      </c>
      <c r="P92" s="153" t="s">
        <v>819</v>
      </c>
      <c r="Q92" s="153" t="s">
        <v>172</v>
      </c>
      <c r="R92" s="131">
        <v>3.3</v>
      </c>
      <c r="S92" s="112" t="s">
        <v>175</v>
      </c>
      <c r="T92" s="130">
        <v>1</v>
      </c>
      <c r="U92" s="132" t="s">
        <v>173</v>
      </c>
      <c r="V92" s="133">
        <v>0.01</v>
      </c>
      <c r="W92" s="132" t="s">
        <v>174</v>
      </c>
      <c r="X92" s="133">
        <v>0.01</v>
      </c>
      <c r="Y92" s="133">
        <v>5.0000000000000001E-3</v>
      </c>
      <c r="Z92" s="133">
        <v>0.01</v>
      </c>
      <c r="AA92" s="133">
        <v>0.15</v>
      </c>
      <c r="AB92" s="133">
        <f t="shared" si="40"/>
        <v>6.6000000000000003E-2</v>
      </c>
      <c r="AC92" s="134">
        <v>0</v>
      </c>
      <c r="AD92" s="134">
        <v>0</v>
      </c>
      <c r="AE92" s="134">
        <v>0.5</v>
      </c>
      <c r="AF92" s="134">
        <v>0</v>
      </c>
      <c r="AG92" s="134">
        <v>0.1</v>
      </c>
      <c r="AH92" s="134">
        <v>0</v>
      </c>
      <c r="AI92" s="134">
        <v>0</v>
      </c>
      <c r="AJ92" s="134">
        <v>0</v>
      </c>
      <c r="AK92" s="134" t="s">
        <v>175</v>
      </c>
      <c r="AL92" s="122" t="s">
        <v>175</v>
      </c>
      <c r="AM92" s="122">
        <f>-26-3.3-0.88-0.146</f>
        <v>-30.326000000000001</v>
      </c>
      <c r="AN92" s="134" t="s">
        <v>176</v>
      </c>
      <c r="AO92" s="134" t="s">
        <v>177</v>
      </c>
      <c r="AP92" s="135">
        <f t="shared" si="32"/>
        <v>0.53570607612757204</v>
      </c>
      <c r="AQ92" s="135">
        <f t="shared" si="35"/>
        <v>0.53570607612757204</v>
      </c>
      <c r="AR92" s="117">
        <v>-1.19402120112523</v>
      </c>
      <c r="AS92" s="117">
        <v>0</v>
      </c>
      <c r="AT92" s="117">
        <v>0</v>
      </c>
      <c r="AU92" s="117">
        <v>-0.683151943339387</v>
      </c>
      <c r="AV92" s="117">
        <v>-0.46086925778584997</v>
      </c>
      <c r="AW92" s="117">
        <v>-1.1005300281309501E-2</v>
      </c>
      <c r="AX92" s="117">
        <v>0.42771731444646199</v>
      </c>
      <c r="AY92" s="117">
        <v>0.67228268555353698</v>
      </c>
      <c r="AZ92" s="117">
        <v>0</v>
      </c>
      <c r="BA92" s="117">
        <v>0</v>
      </c>
      <c r="BB92" s="117">
        <v>1.18315194333938</v>
      </c>
      <c r="BC92" s="136">
        <v>-1</v>
      </c>
      <c r="BD92" s="136" t="s">
        <v>178</v>
      </c>
      <c r="BE92" s="152" t="s">
        <v>702</v>
      </c>
      <c r="BF92" s="152" t="s">
        <v>820</v>
      </c>
      <c r="BG92" s="120" t="s">
        <v>678</v>
      </c>
      <c r="BH92" s="136" t="str">
        <f t="shared" si="38"/>
        <v>&lt;MTL</v>
      </c>
      <c r="BI92" s="136">
        <f t="shared" si="39"/>
        <v>-1.1005300281309501E-2</v>
      </c>
      <c r="BJ92" s="136" t="str">
        <f t="shared" si="21"/>
        <v>Nil</v>
      </c>
      <c r="BK92" s="136">
        <f t="shared" si="22"/>
        <v>0.05</v>
      </c>
      <c r="BL92" s="136" t="s">
        <v>736</v>
      </c>
      <c r="BM92" s="136" t="s">
        <v>175</v>
      </c>
      <c r="BN92" s="136" t="s">
        <v>175</v>
      </c>
      <c r="BO92" s="136" t="s">
        <v>736</v>
      </c>
      <c r="BP92" s="137" t="s">
        <v>175</v>
      </c>
      <c r="BQ92" s="137" t="s">
        <v>175</v>
      </c>
      <c r="BR92" s="137" t="s">
        <v>175</v>
      </c>
      <c r="BS92" s="137" t="s">
        <v>175</v>
      </c>
      <c r="BT92" s="138">
        <f t="shared" si="33"/>
        <v>-30.314994699718692</v>
      </c>
      <c r="BU92" s="138">
        <f t="shared" si="36"/>
        <v>0.53803438551824923</v>
      </c>
      <c r="BV92" s="138">
        <f t="shared" si="37"/>
        <v>0.53803438551824923</v>
      </c>
      <c r="BW92" s="53" t="s">
        <v>175</v>
      </c>
      <c r="BX92" s="53" t="s">
        <v>175</v>
      </c>
      <c r="BY92" s="53" t="s">
        <v>175</v>
      </c>
      <c r="BZ92" s="53" t="s">
        <v>175</v>
      </c>
      <c r="CA92" s="147">
        <v>1</v>
      </c>
      <c r="CB92" s="54">
        <v>0</v>
      </c>
    </row>
    <row r="93" spans="1:81">
      <c r="A93" s="123" t="s">
        <v>776</v>
      </c>
      <c r="B93" s="124" t="s">
        <v>767</v>
      </c>
      <c r="C93" s="148" t="s">
        <v>674</v>
      </c>
      <c r="D93" s="125" t="s">
        <v>167</v>
      </c>
      <c r="E93" s="150">
        <v>22.331022999999998</v>
      </c>
      <c r="F93" s="150">
        <v>114.47753899999999</v>
      </c>
      <c r="G93" s="128" t="s">
        <v>168</v>
      </c>
      <c r="H93" s="151">
        <v>7490</v>
      </c>
      <c r="I93" s="151">
        <v>50</v>
      </c>
      <c r="J93" s="151">
        <v>7779</v>
      </c>
      <c r="K93" s="151">
        <v>198</v>
      </c>
      <c r="L93" s="151">
        <v>207</v>
      </c>
      <c r="M93" s="153" t="s">
        <v>819</v>
      </c>
      <c r="N93" s="130" t="s">
        <v>339</v>
      </c>
      <c r="O93" s="153" t="s">
        <v>818</v>
      </c>
      <c r="P93" s="153" t="s">
        <v>821</v>
      </c>
      <c r="Q93" s="153" t="s">
        <v>172</v>
      </c>
      <c r="R93" s="131">
        <v>7.25</v>
      </c>
      <c r="S93" s="112" t="s">
        <v>175</v>
      </c>
      <c r="T93" s="130">
        <v>1</v>
      </c>
      <c r="U93" s="132" t="s">
        <v>173</v>
      </c>
      <c r="V93" s="133">
        <v>0.01</v>
      </c>
      <c r="W93" s="132" t="s">
        <v>174</v>
      </c>
      <c r="X93" s="133">
        <v>0.01</v>
      </c>
      <c r="Y93" s="133">
        <v>5.0000000000000001E-3</v>
      </c>
      <c r="Z93" s="133">
        <v>0.01</v>
      </c>
      <c r="AA93" s="133">
        <v>0.15</v>
      </c>
      <c r="AB93" s="133">
        <f t="shared" si="40"/>
        <v>0.14499999999999999</v>
      </c>
      <c r="AC93" s="134">
        <v>0</v>
      </c>
      <c r="AD93" s="134">
        <v>0</v>
      </c>
      <c r="AE93" s="134">
        <v>0.5</v>
      </c>
      <c r="AF93" s="134">
        <v>0</v>
      </c>
      <c r="AG93" s="134">
        <v>0.1</v>
      </c>
      <c r="AH93" s="134">
        <v>0</v>
      </c>
      <c r="AI93" s="134">
        <v>0</v>
      </c>
      <c r="AJ93" s="134">
        <v>0</v>
      </c>
      <c r="AK93" s="134" t="s">
        <v>175</v>
      </c>
      <c r="AL93" s="122" t="s">
        <v>175</v>
      </c>
      <c r="AM93" s="122">
        <f>-26-7.25-0.88-0.146</f>
        <v>-34.276000000000003</v>
      </c>
      <c r="AN93" s="134" t="s">
        <v>176</v>
      </c>
      <c r="AO93" s="134" t="s">
        <v>177</v>
      </c>
      <c r="AP93" s="135">
        <f t="shared" si="32"/>
        <v>0.55104446281584207</v>
      </c>
      <c r="AQ93" s="135">
        <f t="shared" si="35"/>
        <v>0.55104446281584207</v>
      </c>
      <c r="AR93" s="117">
        <v>-1.19402120112523</v>
      </c>
      <c r="AS93" s="117">
        <v>0</v>
      </c>
      <c r="AT93" s="117">
        <v>0</v>
      </c>
      <c r="AU93" s="117">
        <v>-0.683151943339387</v>
      </c>
      <c r="AV93" s="117">
        <v>-0.46086925778584997</v>
      </c>
      <c r="AW93" s="117">
        <v>-1.1005300281309501E-2</v>
      </c>
      <c r="AX93" s="117">
        <v>0.42771731444646199</v>
      </c>
      <c r="AY93" s="117">
        <v>0.67228268555353698</v>
      </c>
      <c r="AZ93" s="117">
        <v>0</v>
      </c>
      <c r="BA93" s="117">
        <v>0</v>
      </c>
      <c r="BB93" s="117">
        <v>1.18315194333938</v>
      </c>
      <c r="BC93" s="136">
        <v>-1</v>
      </c>
      <c r="BD93" s="136" t="s">
        <v>178</v>
      </c>
      <c r="BE93" s="152" t="s">
        <v>702</v>
      </c>
      <c r="BF93" s="152" t="s">
        <v>820</v>
      </c>
      <c r="BG93" s="120" t="s">
        <v>678</v>
      </c>
      <c r="BH93" s="136" t="str">
        <f t="shared" si="38"/>
        <v>&lt;MTL</v>
      </c>
      <c r="BI93" s="136">
        <f t="shared" si="39"/>
        <v>-1.1005300281309501E-2</v>
      </c>
      <c r="BJ93" s="136" t="str">
        <f t="shared" ref="BJ93:BJ145" si="41">IF(BG93="1","Nil",
IF(BG93="2a",(BB93-AR93)/2,
IF(BG93="2b","Nil",
IF(BG93="3a","Nil",
IF(BG93="3b",(AU93 -AR93)/2,
IF(BG93="3c",4,
IF(BG93="3d","Nil",
IF(BG93="3e","Nil",
IF(BG93="4","Nil",
IF(BG93="5","Nil",
IF(BG93="6","Nil",
IF(BG93="7","Nil",
IF(BG93="8",(BB93-AW93)/2,
IF(BG93="9","Nil",
IF(BG93="10a","Nil",
IF(BG93="10b",(AY93-AU93)/2,
IF(BG93="11","Nil",
IF(BG93="12a",(BB93-AR93)/2,
IF(BG93="12b","Nil","")))))))))))))))))))</f>
        <v>Nil</v>
      </c>
      <c r="BK93" s="136">
        <f t="shared" ref="BK93:BK145" si="42">IF(BH93="HAT-LAT",0.27,
IF(BH93="HAT-MTL",0.09,
IF(BH93="MHHW-MLLW",0.27,IF(BH93="MLLW-LAT",0.27,
IF(BH93="(MLLW)-(MLLW-8)",0.4,
IF(BH93="&lt;HAT",0.18,
IF(BH93="&gt;MHHW",0.44,
IF(BH93="&gt;MTL",0.05,
IF(BH93="&lt;MTL",0.05,
IF(BH93="&gt;MLLW",0.4,
IF(BH93="&lt;MLLW",0.4,"Nil")))))))))))</f>
        <v>0.05</v>
      </c>
      <c r="BL93" s="136" t="s">
        <v>736</v>
      </c>
      <c r="BM93" s="136" t="s">
        <v>175</v>
      </c>
      <c r="BN93" s="136" t="s">
        <v>175</v>
      </c>
      <c r="BO93" s="136" t="s">
        <v>736</v>
      </c>
      <c r="BP93" s="137" t="s">
        <v>175</v>
      </c>
      <c r="BQ93" s="137" t="s">
        <v>175</v>
      </c>
      <c r="BR93" s="137" t="s">
        <v>175</v>
      </c>
      <c r="BS93" s="137" t="s">
        <v>175</v>
      </c>
      <c r="BT93" s="138">
        <f t="shared" si="33"/>
        <v>-34.264994699718692</v>
      </c>
      <c r="BU93" s="138">
        <f t="shared" ref="BU93" si="43">SQRT(SUMSQ(AP93,BJ93,IF(OR(BK93="nd",BK93="nd"),0,BK93),IF(OR(BL93="nd",BL93="nd"),0,BL93),IF(OR(BO93="nd",BO93="nd"),0,BO93)))</f>
        <v>0.55330823236239668</v>
      </c>
      <c r="BV93" s="138">
        <f t="shared" ref="BV93" si="44">SQRT(SUMSQ(AP93,BJ93,IF(OR(BK93="nd",BK93="nd"),0,BK93),IF(OR(BL93="nd",BL93="nd"),0,BL93),IF(OR(BO93="nd",BO93="nd"),0,BO93)))</f>
        <v>0.55330823236239668</v>
      </c>
      <c r="BW93" s="53" t="s">
        <v>175</v>
      </c>
      <c r="BX93" s="53" t="s">
        <v>175</v>
      </c>
      <c r="BY93" s="53" t="s">
        <v>175</v>
      </c>
      <c r="BZ93" s="53" t="s">
        <v>175</v>
      </c>
      <c r="CA93" s="147">
        <v>1</v>
      </c>
      <c r="CB93" s="54">
        <v>0</v>
      </c>
    </row>
    <row r="94" spans="1:81">
      <c r="A94" s="123" t="s">
        <v>777</v>
      </c>
      <c r="B94" s="124" t="s">
        <v>767</v>
      </c>
      <c r="C94" s="148" t="s">
        <v>674</v>
      </c>
      <c r="D94" s="125" t="s">
        <v>167</v>
      </c>
      <c r="E94" s="150">
        <v>21.664967000000001</v>
      </c>
      <c r="F94" s="150">
        <v>114.191867</v>
      </c>
      <c r="G94" s="128" t="s">
        <v>168</v>
      </c>
      <c r="H94" s="151">
        <v>5820</v>
      </c>
      <c r="I94" s="151">
        <v>70</v>
      </c>
      <c r="J94" s="151">
        <v>6049</v>
      </c>
      <c r="K94" s="151">
        <v>239</v>
      </c>
      <c r="L94" s="151">
        <v>267</v>
      </c>
      <c r="M94" s="153" t="s">
        <v>818</v>
      </c>
      <c r="N94" s="130" t="s">
        <v>339</v>
      </c>
      <c r="O94" s="153" t="s">
        <v>818</v>
      </c>
      <c r="P94" s="153" t="s">
        <v>819</v>
      </c>
      <c r="Q94" s="153" t="s">
        <v>172</v>
      </c>
      <c r="R94" s="131">
        <v>2.125</v>
      </c>
      <c r="S94" s="112" t="s">
        <v>175</v>
      </c>
      <c r="T94" s="130">
        <v>1</v>
      </c>
      <c r="U94" s="132" t="s">
        <v>173</v>
      </c>
      <c r="V94" s="133">
        <v>0.01</v>
      </c>
      <c r="W94" s="132" t="s">
        <v>174</v>
      </c>
      <c r="X94" s="133">
        <v>0.01</v>
      </c>
      <c r="Y94" s="133">
        <v>5.0000000000000001E-3</v>
      </c>
      <c r="Z94" s="133">
        <f>0.25/2</f>
        <v>0.125</v>
      </c>
      <c r="AA94" s="133">
        <v>0.15</v>
      </c>
      <c r="AB94" s="133">
        <f t="shared" si="40"/>
        <v>4.2500000000000003E-2</v>
      </c>
      <c r="AC94" s="134">
        <v>0</v>
      </c>
      <c r="AD94" s="134">
        <v>0</v>
      </c>
      <c r="AE94" s="134">
        <v>0.5</v>
      </c>
      <c r="AF94" s="134">
        <v>0</v>
      </c>
      <c r="AG94" s="134">
        <v>0.1</v>
      </c>
      <c r="AH94" s="134">
        <v>0</v>
      </c>
      <c r="AI94" s="134">
        <v>0</v>
      </c>
      <c r="AJ94" s="134">
        <v>0</v>
      </c>
      <c r="AK94" s="134" t="s">
        <v>175</v>
      </c>
      <c r="AL94" s="122" t="s">
        <v>175</v>
      </c>
      <c r="AM94" s="122">
        <f>-52-2.13-0.88-0.146</f>
        <v>-55.156000000000006</v>
      </c>
      <c r="AN94" s="134" t="s">
        <v>176</v>
      </c>
      <c r="AO94" s="134" t="s">
        <v>177</v>
      </c>
      <c r="AP94" s="135">
        <f t="shared" ref="AP94:AP95" si="45">SQRT(SUMSQ(IF(OR(Y94="nd",Y94="nd"),0,Y94),IF(OR(Z94="nd",Z94="nd"),0,Z94),IF(OR(AA94="nd",AA94="nd"),0,AA94),IF(OR(AB94="nd",AB94="nd"),0,AB94),IF(OR(AC94="nd",AC94="nd"),0,AC94),IF(OR(AD94="nd",AD94="nd"),0,AD94),IF(OR(AE94="nd",AE94="nd"),0,AE94),IF(OR(AF94="nd",AF94="nd"),0,AF94),IF(OR(AG94="nd",AG94="nd"),0,AG94),IF(OR(AH94="nd",AH94="nd"),0,AH94),IF(OR(AI94="nd",AI94="nd"),0,AI94),IF(OR(AJ94="nd",AJ94="nd"),0,AJ94)))</f>
        <v>0.54768261794583184</v>
      </c>
      <c r="AQ94" s="135">
        <f t="shared" si="35"/>
        <v>0.54768261794583184</v>
      </c>
      <c r="AR94" s="117">
        <v>-0.97194417047239201</v>
      </c>
      <c r="AS94" s="117">
        <v>0</v>
      </c>
      <c r="AT94" s="117">
        <v>0</v>
      </c>
      <c r="AU94" s="117">
        <v>-0.67194417047239197</v>
      </c>
      <c r="AV94" s="117">
        <v>-0.38043791827678097</v>
      </c>
      <c r="AW94" s="117">
        <v>-4.8905204308046703E-3</v>
      </c>
      <c r="AX94" s="117">
        <v>0.33873916871590298</v>
      </c>
      <c r="AY94" s="117">
        <v>0.69408083831005096</v>
      </c>
      <c r="AZ94" s="117">
        <v>0</v>
      </c>
      <c r="BA94" s="117">
        <v>0</v>
      </c>
      <c r="BB94" s="117">
        <v>1.06641000351297</v>
      </c>
      <c r="BC94" s="136">
        <v>-1</v>
      </c>
      <c r="BD94" s="136" t="s">
        <v>178</v>
      </c>
      <c r="BE94" s="152" t="s">
        <v>702</v>
      </c>
      <c r="BF94" s="152" t="s">
        <v>820</v>
      </c>
      <c r="BG94" s="120" t="s">
        <v>662</v>
      </c>
      <c r="BH94" s="136" t="str">
        <f t="shared" si="38"/>
        <v>&lt;HAT</v>
      </c>
      <c r="BI94" s="136">
        <f t="shared" si="39"/>
        <v>1.06641000351297</v>
      </c>
      <c r="BJ94" s="136" t="str">
        <f t="shared" si="41"/>
        <v>Nil</v>
      </c>
      <c r="BK94" s="136">
        <f t="shared" si="42"/>
        <v>0.18</v>
      </c>
      <c r="BL94" s="136" t="s">
        <v>736</v>
      </c>
      <c r="BM94" s="136" t="s">
        <v>175</v>
      </c>
      <c r="BN94" s="136" t="s">
        <v>175</v>
      </c>
      <c r="BO94" s="136" t="s">
        <v>736</v>
      </c>
      <c r="BP94" s="137" t="s">
        <v>175</v>
      </c>
      <c r="BQ94" s="137" t="s">
        <v>175</v>
      </c>
      <c r="BR94" s="137" t="s">
        <v>175</v>
      </c>
      <c r="BS94" s="137" t="s">
        <v>175</v>
      </c>
      <c r="BT94" s="138">
        <f t="shared" ref="BT94:BT145" si="46">AM94-BI94</f>
        <v>-56.222410003512977</v>
      </c>
      <c r="BU94" s="138">
        <f t="shared" ref="BU94:BU145" si="47">SQRT(SUMSQ(AP94,BJ94,IF(OR(BK94="nd",BK94="nd"),0,BK94),IF(OR(BL94="nd",BL94="nd"),0,BL94),IF(OR(BO94="nd",BO94="nd"),0,BO94)))</f>
        <v>0.57650346920031625</v>
      </c>
      <c r="BV94" s="138">
        <f t="shared" ref="BV94:BV145" si="48">SQRT(SUMSQ(AP94,BJ94,IF(OR(BK94="nd",BK94="nd"),0,BK94),IF(OR(BL94="nd",BL94="nd"),0,BL94),IF(OR(BO94="nd",BO94="nd"),0,BO94)))</f>
        <v>0.57650346920031625</v>
      </c>
      <c r="BW94" s="53" t="s">
        <v>175</v>
      </c>
      <c r="BX94" s="53" t="s">
        <v>175</v>
      </c>
      <c r="BY94" s="53" t="s">
        <v>175</v>
      </c>
      <c r="BZ94" s="53" t="s">
        <v>175</v>
      </c>
      <c r="CA94" s="147">
        <v>1</v>
      </c>
      <c r="CB94" s="54">
        <v>0</v>
      </c>
    </row>
    <row r="95" spans="1:81" ht="17" customHeight="1">
      <c r="A95" s="123" t="s">
        <v>778</v>
      </c>
      <c r="B95" s="124" t="s">
        <v>767</v>
      </c>
      <c r="C95" s="148" t="s">
        <v>674</v>
      </c>
      <c r="D95" s="125" t="s">
        <v>167</v>
      </c>
      <c r="E95" s="150">
        <v>21.664967000000001</v>
      </c>
      <c r="F95" s="150">
        <v>114.191867</v>
      </c>
      <c r="G95" s="128" t="s">
        <v>168</v>
      </c>
      <c r="H95" s="151">
        <v>9740</v>
      </c>
      <c r="I95" s="151">
        <v>100</v>
      </c>
      <c r="J95" s="151">
        <v>10519</v>
      </c>
      <c r="K95" s="151">
        <v>453</v>
      </c>
      <c r="L95" s="151">
        <v>341</v>
      </c>
      <c r="M95" s="153" t="s">
        <v>819</v>
      </c>
      <c r="N95" s="130" t="s">
        <v>339</v>
      </c>
      <c r="O95" s="153" t="s">
        <v>818</v>
      </c>
      <c r="P95" s="153" t="s">
        <v>821</v>
      </c>
      <c r="Q95" s="153" t="s">
        <v>172</v>
      </c>
      <c r="R95" s="131">
        <v>2.375</v>
      </c>
      <c r="S95" s="112" t="s">
        <v>175</v>
      </c>
      <c r="T95" s="130">
        <v>1</v>
      </c>
      <c r="U95" s="132" t="s">
        <v>173</v>
      </c>
      <c r="V95" s="133">
        <v>0.01</v>
      </c>
      <c r="W95" s="132" t="s">
        <v>174</v>
      </c>
      <c r="X95" s="133">
        <v>0.01</v>
      </c>
      <c r="Y95" s="133">
        <v>5.0000000000000001E-3</v>
      </c>
      <c r="Z95" s="133">
        <f>0.25/2</f>
        <v>0.125</v>
      </c>
      <c r="AA95" s="133">
        <v>0.15</v>
      </c>
      <c r="AB95" s="133">
        <f t="shared" si="40"/>
        <v>4.7500000000000001E-2</v>
      </c>
      <c r="AC95" s="134">
        <v>0</v>
      </c>
      <c r="AD95" s="134">
        <v>0</v>
      </c>
      <c r="AE95" s="134">
        <v>0.5</v>
      </c>
      <c r="AF95" s="134">
        <v>0</v>
      </c>
      <c r="AG95" s="134">
        <v>0.1</v>
      </c>
      <c r="AH95" s="134">
        <v>0</v>
      </c>
      <c r="AI95" s="134">
        <v>0</v>
      </c>
      <c r="AJ95" s="134">
        <v>0</v>
      </c>
      <c r="AK95" s="134" t="s">
        <v>175</v>
      </c>
      <c r="AL95" s="122" t="s">
        <v>175</v>
      </c>
      <c r="AM95" s="122">
        <f>-52-2.38-0.88-0.146</f>
        <v>-55.406000000000006</v>
      </c>
      <c r="AN95" s="134" t="s">
        <v>176</v>
      </c>
      <c r="AO95" s="134" t="s">
        <v>177</v>
      </c>
      <c r="AP95" s="135">
        <f t="shared" si="45"/>
        <v>0.54809328585561057</v>
      </c>
      <c r="AQ95" s="135">
        <f t="shared" ref="AQ95" si="49">SQRT(SUMSQ(IF(OR(Y95="nd",Y95="nd"),0,Y95),IF(OR(Z95="nd",Z95="nd"),0,Z95),IF(OR(AA95="nd",AA95="nd"),0,AA95),IF(OR(AB95="nd",AB95="nd"),0,AB95),IF(OR(AC95="nd",AC95="nd"),0,AC95),IF(OR(AD95="nd",AD95="nd"),0,AD95),IF(OR(AE95="nd",AE95="nd"),0,AE95),IF(OR(AF95="nd",AF95="nd"),0,AF95),IF(OR(AG95="nd",AG95="nd"),0,AG95),IF(OR(AH95="nd",AH95="nd"),0,AH95),IF(OR(AI95="nd",AI95="nd"),0,AI95),IF(OR(AJ95="nd",AJ95="nd"),0,AJ95)))</f>
        <v>0.54809328585561057</v>
      </c>
      <c r="AR95" s="117">
        <v>-0.97194417047239201</v>
      </c>
      <c r="AS95" s="117">
        <v>0</v>
      </c>
      <c r="AT95" s="117">
        <v>0</v>
      </c>
      <c r="AU95" s="117">
        <v>-0.67194417047239197</v>
      </c>
      <c r="AV95" s="117">
        <v>-0.38043791827678097</v>
      </c>
      <c r="AW95" s="117">
        <v>-4.8905204308046703E-3</v>
      </c>
      <c r="AX95" s="117">
        <v>0.33873916871590298</v>
      </c>
      <c r="AY95" s="117">
        <v>0.69408083831005096</v>
      </c>
      <c r="AZ95" s="117">
        <v>0</v>
      </c>
      <c r="BA95" s="117">
        <v>0</v>
      </c>
      <c r="BB95" s="117">
        <v>1.06641000351297</v>
      </c>
      <c r="BC95" s="136">
        <v>-1</v>
      </c>
      <c r="BD95" s="136" t="s">
        <v>178</v>
      </c>
      <c r="BE95" s="152" t="s">
        <v>823</v>
      </c>
      <c r="BF95" s="152" t="s">
        <v>822</v>
      </c>
      <c r="BG95" s="120" t="s">
        <v>678</v>
      </c>
      <c r="BH95" s="136" t="str">
        <f t="shared" si="38"/>
        <v>&lt;MTL</v>
      </c>
      <c r="BI95" s="136">
        <f t="shared" si="39"/>
        <v>-4.8905204308046703E-3</v>
      </c>
      <c r="BJ95" s="136" t="str">
        <f t="shared" si="41"/>
        <v>Nil</v>
      </c>
      <c r="BK95" s="136">
        <f t="shared" si="42"/>
        <v>0.05</v>
      </c>
      <c r="BL95" s="136" t="s">
        <v>736</v>
      </c>
      <c r="BM95" s="136" t="s">
        <v>175</v>
      </c>
      <c r="BN95" s="136" t="s">
        <v>175</v>
      </c>
      <c r="BO95" s="136" t="s">
        <v>736</v>
      </c>
      <c r="BP95" s="137" t="s">
        <v>175</v>
      </c>
      <c r="BQ95" s="137" t="s">
        <v>175</v>
      </c>
      <c r="BR95" s="137" t="s">
        <v>175</v>
      </c>
      <c r="BS95" s="137" t="s">
        <v>175</v>
      </c>
      <c r="BT95" s="138">
        <f t="shared" si="46"/>
        <v>-55.4011094795692</v>
      </c>
      <c r="BU95" s="138">
        <f t="shared" si="47"/>
        <v>0.55036919426872</v>
      </c>
      <c r="BV95" s="138">
        <f t="shared" si="48"/>
        <v>0.55036919426872</v>
      </c>
      <c r="BW95" s="53" t="s">
        <v>175</v>
      </c>
      <c r="BX95" s="53" t="s">
        <v>175</v>
      </c>
      <c r="BY95" s="53" t="s">
        <v>175</v>
      </c>
      <c r="BZ95" s="53" t="s">
        <v>175</v>
      </c>
      <c r="CA95" s="147">
        <v>1</v>
      </c>
      <c r="CB95" s="54">
        <v>0</v>
      </c>
    </row>
    <row r="96" spans="1:81">
      <c r="A96" s="123" t="s">
        <v>779</v>
      </c>
      <c r="B96" s="124" t="s">
        <v>767</v>
      </c>
      <c r="C96" s="148" t="s">
        <v>674</v>
      </c>
      <c r="D96" s="125" t="s">
        <v>167</v>
      </c>
      <c r="E96" s="150">
        <v>21.665367</v>
      </c>
      <c r="F96" s="150">
        <v>114.300667</v>
      </c>
      <c r="G96" s="128" t="s">
        <v>168</v>
      </c>
      <c r="H96" s="151">
        <v>2150</v>
      </c>
      <c r="I96" s="151">
        <v>60</v>
      </c>
      <c r="J96" s="151">
        <v>1576</v>
      </c>
      <c r="K96" s="151">
        <v>248</v>
      </c>
      <c r="L96" s="151">
        <v>242</v>
      </c>
      <c r="M96" s="153" t="s">
        <v>825</v>
      </c>
      <c r="N96" s="130" t="s">
        <v>339</v>
      </c>
      <c r="O96" s="153" t="s">
        <v>825</v>
      </c>
      <c r="P96" s="153" t="s">
        <v>175</v>
      </c>
      <c r="Q96" s="153" t="s">
        <v>175</v>
      </c>
      <c r="R96" s="131">
        <v>0.125</v>
      </c>
      <c r="S96" s="112" t="s">
        <v>175</v>
      </c>
      <c r="T96" s="130">
        <v>1</v>
      </c>
      <c r="U96" s="132" t="s">
        <v>173</v>
      </c>
      <c r="V96" s="133">
        <v>0.01</v>
      </c>
      <c r="W96" s="132" t="s">
        <v>174</v>
      </c>
      <c r="X96" s="133">
        <v>0.01</v>
      </c>
      <c r="Y96" s="133">
        <v>5.0000000000000001E-3</v>
      </c>
      <c r="Z96" s="133">
        <f t="shared" ref="Z96:Z101" si="50">0.25/2</f>
        <v>0.125</v>
      </c>
      <c r="AA96" s="133">
        <v>0.15</v>
      </c>
      <c r="AB96" s="133">
        <f t="shared" si="40"/>
        <v>2.5000000000000001E-3</v>
      </c>
      <c r="AC96" s="134">
        <v>0</v>
      </c>
      <c r="AD96" s="134">
        <v>0</v>
      </c>
      <c r="AE96" s="134">
        <v>0.5</v>
      </c>
      <c r="AF96" s="134">
        <v>0</v>
      </c>
      <c r="AG96" s="134">
        <v>0.1</v>
      </c>
      <c r="AH96" s="134">
        <v>0</v>
      </c>
      <c r="AI96" s="134">
        <v>0</v>
      </c>
      <c r="AJ96" s="134">
        <v>0</v>
      </c>
      <c r="AK96" s="134" t="s">
        <v>175</v>
      </c>
      <c r="AL96" s="122" t="s">
        <v>175</v>
      </c>
      <c r="AM96" s="122">
        <f>-51-0.13-0.88-0.146</f>
        <v>-52.156000000000006</v>
      </c>
      <c r="AN96" s="134" t="s">
        <v>176</v>
      </c>
      <c r="AO96" s="134" t="s">
        <v>177</v>
      </c>
      <c r="AP96" s="135">
        <f t="shared" ref="AP96:AP100" si="51">SQRT(SUMSQ(IF(OR(Y96="nd",Y96="nd"),0,Y96),IF(OR(Z96="nd",Z96="nd"),0,Z96),IF(OR(AA96="nd",AA96="nd"),0,AA96),IF(OR(AB96="nd",AB96="nd"),0,AB96),IF(OR(AC96="nd",AC96="nd"),0,AC96),IF(OR(AD96="nd",AD96="nd"),0,AD96),IF(OR(AE96="nd",AE96="nd"),0,AE96),IF(OR(AF96="nd",AF96="nd"),0,AF96),IF(OR(AG96="nd",AG96="nd"),0,AG96),IF(OR(AH96="nd",AH96="nd"),0,AH96),IF(OR(AI96="nd",AI96="nd"),0,AI96),IF(OR(AJ96="nd",AJ96="nd"),0,AJ96)))</f>
        <v>0.5460368577303184</v>
      </c>
      <c r="AQ96" s="135">
        <f t="shared" ref="AQ96:AQ100" si="52">SQRT(SUMSQ(IF(OR(Y96="nd",Y96="nd"),0,Y96),IF(OR(Z96="nd",Z96="nd"),0,Z96),IF(OR(AA96="nd",AA96="nd"),0,AA96),IF(OR(AB96="nd",AB96="nd"),0,AB96),IF(OR(AC96="nd",AC96="nd"),0,AC96),IF(OR(AD96="nd",AD96="nd"),0,AD96),IF(OR(AE96="nd",AE96="nd"),0,AE96),IF(OR(AF96="nd",AF96="nd"),0,AF96),IF(OR(AG96="nd",AG96="nd"),0,AG96),IF(OR(AH96="nd",AH96="nd"),0,AH96),IF(OR(AI96="nd",AI96="nd"),0,AI96),IF(OR(AJ96="nd",AJ96="nd"),0,AJ96)))</f>
        <v>0.5460368577303184</v>
      </c>
      <c r="AR96" s="117">
        <v>-0.99293248607647</v>
      </c>
      <c r="AS96" s="117">
        <v>0</v>
      </c>
      <c r="AT96" s="117">
        <v>0</v>
      </c>
      <c r="AU96" s="117">
        <v>-0.69293248607646996</v>
      </c>
      <c r="AV96" s="117">
        <v>-0.38931759026312202</v>
      </c>
      <c r="AW96" s="117">
        <v>-2.6706024342194202E-3</v>
      </c>
      <c r="AX96" s="117">
        <v>0.35004056942579198</v>
      </c>
      <c r="AY96" s="117">
        <v>0.72152709717692298</v>
      </c>
      <c r="AZ96" s="117">
        <v>0</v>
      </c>
      <c r="BA96" s="117">
        <v>0</v>
      </c>
      <c r="BB96" s="117">
        <v>1.0857838333013501</v>
      </c>
      <c r="BC96" s="136">
        <v>-1</v>
      </c>
      <c r="BD96" s="136" t="s">
        <v>178</v>
      </c>
      <c r="BE96" s="152" t="s">
        <v>826</v>
      </c>
      <c r="BF96" s="152" t="s">
        <v>827</v>
      </c>
      <c r="BG96" s="120" t="s">
        <v>662</v>
      </c>
      <c r="BH96" s="136" t="str">
        <f t="shared" si="38"/>
        <v>&lt;HAT</v>
      </c>
      <c r="BI96" s="136">
        <f t="shared" si="39"/>
        <v>1.0857838333013501</v>
      </c>
      <c r="BJ96" s="136" t="str">
        <f t="shared" si="41"/>
        <v>Nil</v>
      </c>
      <c r="BK96" s="136">
        <f t="shared" si="42"/>
        <v>0.18</v>
      </c>
      <c r="BL96" s="136" t="s">
        <v>736</v>
      </c>
      <c r="BM96" s="136" t="s">
        <v>175</v>
      </c>
      <c r="BN96" s="136" t="s">
        <v>175</v>
      </c>
      <c r="BO96" s="136" t="s">
        <v>736</v>
      </c>
      <c r="BP96" s="137" t="s">
        <v>175</v>
      </c>
      <c r="BQ96" s="137" t="s">
        <v>175</v>
      </c>
      <c r="BR96" s="137" t="s">
        <v>175</v>
      </c>
      <c r="BS96" s="137" t="s">
        <v>175</v>
      </c>
      <c r="BT96" s="138">
        <f t="shared" si="46"/>
        <v>-53.241783833301355</v>
      </c>
      <c r="BU96" s="138">
        <f t="shared" si="47"/>
        <v>0.57494021428318953</v>
      </c>
      <c r="BV96" s="138">
        <f t="shared" si="48"/>
        <v>0.57494021428318953</v>
      </c>
      <c r="BW96" s="53" t="s">
        <v>175</v>
      </c>
      <c r="BX96" s="53" t="s">
        <v>175</v>
      </c>
      <c r="BY96" s="53" t="s">
        <v>175</v>
      </c>
      <c r="BZ96" s="53" t="s">
        <v>175</v>
      </c>
      <c r="CA96" s="147">
        <v>3</v>
      </c>
      <c r="CB96" s="54">
        <v>1</v>
      </c>
      <c r="CC96" s="54" t="s">
        <v>994</v>
      </c>
    </row>
    <row r="97" spans="1:81">
      <c r="A97" s="123" t="s">
        <v>780</v>
      </c>
      <c r="B97" s="124" t="s">
        <v>767</v>
      </c>
      <c r="C97" s="148" t="s">
        <v>674</v>
      </c>
      <c r="D97" s="125" t="s">
        <v>167</v>
      </c>
      <c r="E97" s="150">
        <v>21.665367</v>
      </c>
      <c r="F97" s="150">
        <v>114.300667</v>
      </c>
      <c r="G97" s="128" t="s">
        <v>168</v>
      </c>
      <c r="H97" s="151">
        <v>4750</v>
      </c>
      <c r="I97" s="151">
        <v>70</v>
      </c>
      <c r="J97" s="151">
        <v>4823</v>
      </c>
      <c r="K97" s="151">
        <v>324</v>
      </c>
      <c r="L97" s="151">
        <v>312</v>
      </c>
      <c r="M97" s="153" t="s">
        <v>825</v>
      </c>
      <c r="N97" s="130" t="s">
        <v>339</v>
      </c>
      <c r="O97" s="153" t="s">
        <v>825</v>
      </c>
      <c r="P97" s="153" t="s">
        <v>175</v>
      </c>
      <c r="Q97" s="153" t="s">
        <v>175</v>
      </c>
      <c r="R97" s="131">
        <v>0.625</v>
      </c>
      <c r="S97" s="112" t="s">
        <v>175</v>
      </c>
      <c r="T97" s="130">
        <v>1</v>
      </c>
      <c r="U97" s="132" t="s">
        <v>173</v>
      </c>
      <c r="V97" s="133">
        <v>0.01</v>
      </c>
      <c r="W97" s="132" t="s">
        <v>174</v>
      </c>
      <c r="X97" s="133">
        <v>0.01</v>
      </c>
      <c r="Y97" s="133">
        <v>5.0000000000000001E-3</v>
      </c>
      <c r="Z97" s="133">
        <f t="shared" si="50"/>
        <v>0.125</v>
      </c>
      <c r="AA97" s="133">
        <v>0.15</v>
      </c>
      <c r="AB97" s="133">
        <f t="shared" si="40"/>
        <v>1.2500000000000001E-2</v>
      </c>
      <c r="AC97" s="134">
        <v>0</v>
      </c>
      <c r="AD97" s="134">
        <v>0</v>
      </c>
      <c r="AE97" s="134">
        <v>0.5</v>
      </c>
      <c r="AF97" s="134">
        <v>0</v>
      </c>
      <c r="AG97" s="134">
        <v>0.1</v>
      </c>
      <c r="AH97" s="134">
        <v>0</v>
      </c>
      <c r="AI97" s="134">
        <v>0</v>
      </c>
      <c r="AJ97" s="134">
        <v>0</v>
      </c>
      <c r="AK97" s="134" t="s">
        <v>175</v>
      </c>
      <c r="AL97" s="122" t="s">
        <v>175</v>
      </c>
      <c r="AM97" s="122">
        <f>-51-0.63-0.88-0.146</f>
        <v>-52.656000000000006</v>
      </c>
      <c r="AN97" s="134" t="s">
        <v>176</v>
      </c>
      <c r="AO97" s="134" t="s">
        <v>177</v>
      </c>
      <c r="AP97" s="135">
        <f t="shared" si="51"/>
        <v>0.54617419382464416</v>
      </c>
      <c r="AQ97" s="135">
        <f t="shared" si="52"/>
        <v>0.54617419382464416</v>
      </c>
      <c r="AR97" s="117">
        <v>-0.99293248607647</v>
      </c>
      <c r="AS97" s="117">
        <v>0</v>
      </c>
      <c r="AT97" s="117">
        <v>0</v>
      </c>
      <c r="AU97" s="117">
        <v>-0.69293248607646996</v>
      </c>
      <c r="AV97" s="117">
        <v>-0.38931759026312202</v>
      </c>
      <c r="AW97" s="117">
        <v>-2.6706024342194202E-3</v>
      </c>
      <c r="AX97" s="117">
        <v>0.35004056942579198</v>
      </c>
      <c r="AY97" s="117">
        <v>0.72152709717692298</v>
      </c>
      <c r="AZ97" s="117">
        <v>0</v>
      </c>
      <c r="BA97" s="117">
        <v>0</v>
      </c>
      <c r="BB97" s="117">
        <v>1.0857838333013501</v>
      </c>
      <c r="BC97" s="136">
        <v>-1</v>
      </c>
      <c r="BD97" s="136" t="s">
        <v>178</v>
      </c>
      <c r="BE97" s="152" t="s">
        <v>826</v>
      </c>
      <c r="BF97" s="152" t="s">
        <v>827</v>
      </c>
      <c r="BG97" s="120" t="s">
        <v>662</v>
      </c>
      <c r="BH97" s="136" t="str">
        <f t="shared" si="38"/>
        <v>&lt;HAT</v>
      </c>
      <c r="BI97" s="136">
        <f t="shared" si="39"/>
        <v>1.0857838333013501</v>
      </c>
      <c r="BJ97" s="136" t="str">
        <f t="shared" si="41"/>
        <v>Nil</v>
      </c>
      <c r="BK97" s="136">
        <f t="shared" si="42"/>
        <v>0.18</v>
      </c>
      <c r="BL97" s="136" t="s">
        <v>736</v>
      </c>
      <c r="BM97" s="136" t="s">
        <v>175</v>
      </c>
      <c r="BN97" s="136" t="s">
        <v>175</v>
      </c>
      <c r="BO97" s="136" t="s">
        <v>736</v>
      </c>
      <c r="BP97" s="137" t="s">
        <v>175</v>
      </c>
      <c r="BQ97" s="137" t="s">
        <v>175</v>
      </c>
      <c r="BR97" s="137" t="s">
        <v>175</v>
      </c>
      <c r="BS97" s="137" t="s">
        <v>175</v>
      </c>
      <c r="BT97" s="138">
        <f t="shared" si="46"/>
        <v>-53.741783833301355</v>
      </c>
      <c r="BU97" s="138">
        <f t="shared" si="47"/>
        <v>0.57507064783381179</v>
      </c>
      <c r="BV97" s="138">
        <f t="shared" si="48"/>
        <v>0.57507064783381179</v>
      </c>
      <c r="BW97" s="53" t="s">
        <v>175</v>
      </c>
      <c r="BX97" s="53" t="s">
        <v>175</v>
      </c>
      <c r="BY97" s="53" t="s">
        <v>175</v>
      </c>
      <c r="BZ97" s="53" t="s">
        <v>175</v>
      </c>
      <c r="CA97" s="147">
        <v>3</v>
      </c>
      <c r="CB97" s="54">
        <v>1</v>
      </c>
      <c r="CC97" s="54" t="s">
        <v>994</v>
      </c>
    </row>
    <row r="98" spans="1:81">
      <c r="A98" s="123" t="s">
        <v>781</v>
      </c>
      <c r="B98" s="124" t="s">
        <v>767</v>
      </c>
      <c r="C98" s="148" t="s">
        <v>674</v>
      </c>
      <c r="D98" s="125" t="s">
        <v>167</v>
      </c>
      <c r="E98" s="150">
        <v>21.665367</v>
      </c>
      <c r="F98" s="150">
        <v>114.300667</v>
      </c>
      <c r="G98" s="128" t="s">
        <v>168</v>
      </c>
      <c r="H98" s="151">
        <v>2320</v>
      </c>
      <c r="I98" s="151">
        <v>45</v>
      </c>
      <c r="J98" s="151">
        <v>1777</v>
      </c>
      <c r="K98" s="151">
        <v>241</v>
      </c>
      <c r="L98" s="151">
        <v>245</v>
      </c>
      <c r="M98" s="153" t="s">
        <v>825</v>
      </c>
      <c r="N98" s="130" t="s">
        <v>339</v>
      </c>
      <c r="O98" s="153" t="s">
        <v>825</v>
      </c>
      <c r="P98" s="153" t="s">
        <v>175</v>
      </c>
      <c r="Q98" s="153" t="s">
        <v>175</v>
      </c>
      <c r="R98" s="131">
        <v>0.625</v>
      </c>
      <c r="S98" s="112" t="s">
        <v>175</v>
      </c>
      <c r="T98" s="130">
        <v>1</v>
      </c>
      <c r="U98" s="132" t="s">
        <v>173</v>
      </c>
      <c r="V98" s="133">
        <v>0.01</v>
      </c>
      <c r="W98" s="132" t="s">
        <v>174</v>
      </c>
      <c r="X98" s="133">
        <v>0.01</v>
      </c>
      <c r="Y98" s="133">
        <v>5.0000000000000001E-3</v>
      </c>
      <c r="Z98" s="133">
        <f t="shared" si="50"/>
        <v>0.125</v>
      </c>
      <c r="AA98" s="133">
        <v>0.15</v>
      </c>
      <c r="AB98" s="133">
        <f t="shared" ref="AB98:AB100" si="53">0.02*R98</f>
        <v>1.2500000000000001E-2</v>
      </c>
      <c r="AC98" s="134">
        <v>0</v>
      </c>
      <c r="AD98" s="134">
        <v>0</v>
      </c>
      <c r="AE98" s="134">
        <v>0.5</v>
      </c>
      <c r="AF98" s="134">
        <v>0</v>
      </c>
      <c r="AG98" s="134">
        <v>0.1</v>
      </c>
      <c r="AH98" s="134">
        <v>0</v>
      </c>
      <c r="AI98" s="134">
        <v>0</v>
      </c>
      <c r="AJ98" s="134">
        <v>0</v>
      </c>
      <c r="AK98" s="134" t="s">
        <v>175</v>
      </c>
      <c r="AL98" s="122" t="s">
        <v>175</v>
      </c>
      <c r="AM98" s="122">
        <f t="shared" ref="AM98:AM100" si="54">-51-0.63-0.88-0.146</f>
        <v>-52.656000000000006</v>
      </c>
      <c r="AN98" s="134" t="s">
        <v>176</v>
      </c>
      <c r="AO98" s="134" t="s">
        <v>177</v>
      </c>
      <c r="AP98" s="135">
        <f t="shared" si="51"/>
        <v>0.54617419382464416</v>
      </c>
      <c r="AQ98" s="135">
        <f t="shared" si="52"/>
        <v>0.54617419382464416</v>
      </c>
      <c r="AR98" s="117">
        <v>-0.99293248607647</v>
      </c>
      <c r="AS98" s="117">
        <v>0</v>
      </c>
      <c r="AT98" s="117">
        <v>0</v>
      </c>
      <c r="AU98" s="117">
        <v>-0.69293248607646996</v>
      </c>
      <c r="AV98" s="117">
        <v>-0.38931759026312202</v>
      </c>
      <c r="AW98" s="117">
        <v>-2.6706024342194202E-3</v>
      </c>
      <c r="AX98" s="117">
        <v>0.35004056942579198</v>
      </c>
      <c r="AY98" s="117">
        <v>0.72152709717692298</v>
      </c>
      <c r="AZ98" s="117">
        <v>0</v>
      </c>
      <c r="BA98" s="117">
        <v>0</v>
      </c>
      <c r="BB98" s="117">
        <v>1.0857838333013501</v>
      </c>
      <c r="BC98" s="136">
        <v>-1</v>
      </c>
      <c r="BD98" s="136" t="s">
        <v>178</v>
      </c>
      <c r="BE98" s="152" t="s">
        <v>826</v>
      </c>
      <c r="BF98" s="152" t="s">
        <v>827</v>
      </c>
      <c r="BG98" s="120" t="s">
        <v>662</v>
      </c>
      <c r="BH98" s="136" t="str">
        <f t="shared" si="38"/>
        <v>&lt;HAT</v>
      </c>
      <c r="BI98" s="136">
        <f t="shared" si="39"/>
        <v>1.0857838333013501</v>
      </c>
      <c r="BJ98" s="136" t="str">
        <f t="shared" si="41"/>
        <v>Nil</v>
      </c>
      <c r="BK98" s="136">
        <f t="shared" si="42"/>
        <v>0.18</v>
      </c>
      <c r="BL98" s="136" t="s">
        <v>736</v>
      </c>
      <c r="BM98" s="136" t="s">
        <v>175</v>
      </c>
      <c r="BN98" s="136" t="s">
        <v>175</v>
      </c>
      <c r="BO98" s="136" t="s">
        <v>736</v>
      </c>
      <c r="BP98" s="137" t="s">
        <v>175</v>
      </c>
      <c r="BQ98" s="137" t="s">
        <v>175</v>
      </c>
      <c r="BR98" s="137" t="s">
        <v>175</v>
      </c>
      <c r="BS98" s="137" t="s">
        <v>175</v>
      </c>
      <c r="BT98" s="138">
        <f t="shared" si="46"/>
        <v>-53.741783833301355</v>
      </c>
      <c r="BU98" s="138">
        <f t="shared" si="47"/>
        <v>0.57507064783381179</v>
      </c>
      <c r="BV98" s="138">
        <f t="shared" si="48"/>
        <v>0.57507064783381179</v>
      </c>
      <c r="BW98" s="53" t="s">
        <v>175</v>
      </c>
      <c r="BX98" s="53" t="s">
        <v>175</v>
      </c>
      <c r="BY98" s="53" t="s">
        <v>175</v>
      </c>
      <c r="BZ98" s="53" t="s">
        <v>175</v>
      </c>
      <c r="CA98" s="147">
        <v>3</v>
      </c>
      <c r="CB98" s="54">
        <v>1</v>
      </c>
      <c r="CC98" s="54" t="s">
        <v>994</v>
      </c>
    </row>
    <row r="99" spans="1:81">
      <c r="A99" s="123" t="s">
        <v>782</v>
      </c>
      <c r="B99" s="124" t="s">
        <v>767</v>
      </c>
      <c r="C99" s="148" t="s">
        <v>674</v>
      </c>
      <c r="D99" s="125" t="s">
        <v>167</v>
      </c>
      <c r="E99" s="150">
        <v>21.665367</v>
      </c>
      <c r="F99" s="150">
        <v>114.300667</v>
      </c>
      <c r="G99" s="128" t="s">
        <v>168</v>
      </c>
      <c r="H99" s="151">
        <v>4040</v>
      </c>
      <c r="I99" s="151">
        <v>70</v>
      </c>
      <c r="J99" s="151">
        <v>3899</v>
      </c>
      <c r="K99" s="151">
        <v>313</v>
      </c>
      <c r="L99" s="151">
        <v>300</v>
      </c>
      <c r="M99" s="153" t="s">
        <v>825</v>
      </c>
      <c r="N99" s="130" t="s">
        <v>339</v>
      </c>
      <c r="O99" s="153" t="s">
        <v>825</v>
      </c>
      <c r="P99" s="153" t="s">
        <v>175</v>
      </c>
      <c r="Q99" s="153" t="s">
        <v>175</v>
      </c>
      <c r="R99" s="131">
        <v>0.625</v>
      </c>
      <c r="S99" s="112" t="s">
        <v>175</v>
      </c>
      <c r="T99" s="130">
        <v>1</v>
      </c>
      <c r="U99" s="132" t="s">
        <v>173</v>
      </c>
      <c r="V99" s="133">
        <v>0.01</v>
      </c>
      <c r="W99" s="132" t="s">
        <v>174</v>
      </c>
      <c r="X99" s="133">
        <v>0.01</v>
      </c>
      <c r="Y99" s="133">
        <v>5.0000000000000001E-3</v>
      </c>
      <c r="Z99" s="133">
        <f t="shared" si="50"/>
        <v>0.125</v>
      </c>
      <c r="AA99" s="133">
        <v>0.15</v>
      </c>
      <c r="AB99" s="133">
        <f t="shared" si="53"/>
        <v>1.2500000000000001E-2</v>
      </c>
      <c r="AC99" s="134">
        <v>0</v>
      </c>
      <c r="AD99" s="134">
        <v>0</v>
      </c>
      <c r="AE99" s="134">
        <v>0.5</v>
      </c>
      <c r="AF99" s="134">
        <v>0</v>
      </c>
      <c r="AG99" s="134">
        <v>0.1</v>
      </c>
      <c r="AH99" s="134">
        <v>0</v>
      </c>
      <c r="AI99" s="134">
        <v>0</v>
      </c>
      <c r="AJ99" s="134">
        <v>0</v>
      </c>
      <c r="AK99" s="134" t="s">
        <v>175</v>
      </c>
      <c r="AL99" s="122" t="s">
        <v>175</v>
      </c>
      <c r="AM99" s="122">
        <f t="shared" si="54"/>
        <v>-52.656000000000006</v>
      </c>
      <c r="AN99" s="134" t="s">
        <v>176</v>
      </c>
      <c r="AO99" s="134" t="s">
        <v>177</v>
      </c>
      <c r="AP99" s="135">
        <f t="shared" si="51"/>
        <v>0.54617419382464416</v>
      </c>
      <c r="AQ99" s="135">
        <f t="shared" si="52"/>
        <v>0.54617419382464416</v>
      </c>
      <c r="AR99" s="117">
        <v>-0.99293248607647</v>
      </c>
      <c r="AS99" s="117">
        <v>0</v>
      </c>
      <c r="AT99" s="117">
        <v>0</v>
      </c>
      <c r="AU99" s="117">
        <v>-0.69293248607646996</v>
      </c>
      <c r="AV99" s="117">
        <v>-0.38931759026312202</v>
      </c>
      <c r="AW99" s="117">
        <v>-2.6706024342194202E-3</v>
      </c>
      <c r="AX99" s="117">
        <v>0.35004056942579198</v>
      </c>
      <c r="AY99" s="117">
        <v>0.72152709717692298</v>
      </c>
      <c r="AZ99" s="117">
        <v>0</v>
      </c>
      <c r="BA99" s="117">
        <v>0</v>
      </c>
      <c r="BB99" s="117">
        <v>1.0857838333013501</v>
      </c>
      <c r="BC99" s="136">
        <v>-1</v>
      </c>
      <c r="BD99" s="136" t="s">
        <v>178</v>
      </c>
      <c r="BE99" s="152" t="s">
        <v>826</v>
      </c>
      <c r="BF99" s="152" t="s">
        <v>827</v>
      </c>
      <c r="BG99" s="120" t="s">
        <v>662</v>
      </c>
      <c r="BH99" s="136" t="str">
        <f t="shared" si="38"/>
        <v>&lt;HAT</v>
      </c>
      <c r="BI99" s="136">
        <f t="shared" si="39"/>
        <v>1.0857838333013501</v>
      </c>
      <c r="BJ99" s="136" t="str">
        <f t="shared" si="41"/>
        <v>Nil</v>
      </c>
      <c r="BK99" s="136">
        <f t="shared" si="42"/>
        <v>0.18</v>
      </c>
      <c r="BL99" s="136" t="s">
        <v>736</v>
      </c>
      <c r="BM99" s="136" t="s">
        <v>175</v>
      </c>
      <c r="BN99" s="136" t="s">
        <v>175</v>
      </c>
      <c r="BO99" s="136" t="s">
        <v>736</v>
      </c>
      <c r="BP99" s="137" t="s">
        <v>175</v>
      </c>
      <c r="BQ99" s="137" t="s">
        <v>175</v>
      </c>
      <c r="BR99" s="137" t="s">
        <v>175</v>
      </c>
      <c r="BS99" s="137" t="s">
        <v>175</v>
      </c>
      <c r="BT99" s="138">
        <f t="shared" si="46"/>
        <v>-53.741783833301355</v>
      </c>
      <c r="BU99" s="138">
        <f t="shared" si="47"/>
        <v>0.57507064783381179</v>
      </c>
      <c r="BV99" s="138">
        <f t="shared" si="48"/>
        <v>0.57507064783381179</v>
      </c>
      <c r="BW99" s="53" t="s">
        <v>175</v>
      </c>
      <c r="BX99" s="53" t="s">
        <v>175</v>
      </c>
      <c r="BY99" s="53" t="s">
        <v>175</v>
      </c>
      <c r="BZ99" s="53" t="s">
        <v>175</v>
      </c>
      <c r="CA99" s="147">
        <v>3</v>
      </c>
      <c r="CB99" s="54">
        <v>1</v>
      </c>
      <c r="CC99" s="54" t="s">
        <v>994</v>
      </c>
    </row>
    <row r="100" spans="1:81">
      <c r="A100" s="123" t="s">
        <v>783</v>
      </c>
      <c r="B100" s="124" t="s">
        <v>767</v>
      </c>
      <c r="C100" s="148" t="s">
        <v>674</v>
      </c>
      <c r="D100" s="125" t="s">
        <v>167</v>
      </c>
      <c r="E100" s="150">
        <v>21.665367</v>
      </c>
      <c r="F100" s="150">
        <v>114.300667</v>
      </c>
      <c r="G100" s="128" t="s">
        <v>168</v>
      </c>
      <c r="H100" s="151">
        <v>3060</v>
      </c>
      <c r="I100" s="151">
        <v>70</v>
      </c>
      <c r="J100" s="151">
        <v>2690</v>
      </c>
      <c r="K100" s="151">
        <v>266</v>
      </c>
      <c r="L100" s="151">
        <v>308</v>
      </c>
      <c r="M100" s="153" t="s">
        <v>825</v>
      </c>
      <c r="N100" s="130" t="s">
        <v>339</v>
      </c>
      <c r="O100" s="153" t="s">
        <v>825</v>
      </c>
      <c r="P100" s="153" t="s">
        <v>175</v>
      </c>
      <c r="Q100" s="153" t="s">
        <v>175</v>
      </c>
      <c r="R100" s="131">
        <v>0.625</v>
      </c>
      <c r="S100" s="112" t="s">
        <v>175</v>
      </c>
      <c r="T100" s="130">
        <v>1</v>
      </c>
      <c r="U100" s="132" t="s">
        <v>173</v>
      </c>
      <c r="V100" s="133">
        <v>0.01</v>
      </c>
      <c r="W100" s="132" t="s">
        <v>174</v>
      </c>
      <c r="X100" s="133">
        <v>0.01</v>
      </c>
      <c r="Y100" s="133">
        <v>5.0000000000000001E-3</v>
      </c>
      <c r="Z100" s="133">
        <f t="shared" si="50"/>
        <v>0.125</v>
      </c>
      <c r="AA100" s="133">
        <v>0.15</v>
      </c>
      <c r="AB100" s="133">
        <f t="shared" si="53"/>
        <v>1.2500000000000001E-2</v>
      </c>
      <c r="AC100" s="134">
        <v>0</v>
      </c>
      <c r="AD100" s="134">
        <v>0</v>
      </c>
      <c r="AE100" s="134">
        <v>0.5</v>
      </c>
      <c r="AF100" s="134">
        <v>0</v>
      </c>
      <c r="AG100" s="134">
        <v>0.1</v>
      </c>
      <c r="AH100" s="134">
        <v>0</v>
      </c>
      <c r="AI100" s="134">
        <v>0</v>
      </c>
      <c r="AJ100" s="134">
        <v>0</v>
      </c>
      <c r="AK100" s="134" t="s">
        <v>175</v>
      </c>
      <c r="AL100" s="122" t="s">
        <v>175</v>
      </c>
      <c r="AM100" s="122">
        <f t="shared" si="54"/>
        <v>-52.656000000000006</v>
      </c>
      <c r="AN100" s="134" t="s">
        <v>176</v>
      </c>
      <c r="AO100" s="134" t="s">
        <v>177</v>
      </c>
      <c r="AP100" s="135">
        <f t="shared" si="51"/>
        <v>0.54617419382464416</v>
      </c>
      <c r="AQ100" s="135">
        <f t="shared" si="52"/>
        <v>0.54617419382464416</v>
      </c>
      <c r="AR100" s="117">
        <v>-0.99293248607647</v>
      </c>
      <c r="AS100" s="117">
        <v>0</v>
      </c>
      <c r="AT100" s="117">
        <v>0</v>
      </c>
      <c r="AU100" s="117">
        <v>-0.69293248607646996</v>
      </c>
      <c r="AV100" s="117">
        <v>-0.38931759026312202</v>
      </c>
      <c r="AW100" s="117">
        <v>-2.6706024342194202E-3</v>
      </c>
      <c r="AX100" s="117">
        <v>0.35004056942579198</v>
      </c>
      <c r="AY100" s="117">
        <v>0.72152709717692298</v>
      </c>
      <c r="AZ100" s="117">
        <v>0</v>
      </c>
      <c r="BA100" s="117">
        <v>0</v>
      </c>
      <c r="BB100" s="117">
        <v>1.0857838333013501</v>
      </c>
      <c r="BC100" s="136">
        <v>-1</v>
      </c>
      <c r="BD100" s="136" t="s">
        <v>178</v>
      </c>
      <c r="BE100" s="152" t="s">
        <v>826</v>
      </c>
      <c r="BF100" s="152" t="s">
        <v>827</v>
      </c>
      <c r="BG100" s="120" t="s">
        <v>662</v>
      </c>
      <c r="BH100" s="136" t="str">
        <f t="shared" si="38"/>
        <v>&lt;HAT</v>
      </c>
      <c r="BI100" s="136">
        <f t="shared" si="39"/>
        <v>1.0857838333013501</v>
      </c>
      <c r="BJ100" s="136" t="str">
        <f t="shared" si="41"/>
        <v>Nil</v>
      </c>
      <c r="BK100" s="136">
        <f t="shared" si="42"/>
        <v>0.18</v>
      </c>
      <c r="BL100" s="136" t="s">
        <v>736</v>
      </c>
      <c r="BM100" s="136" t="s">
        <v>175</v>
      </c>
      <c r="BN100" s="136" t="s">
        <v>175</v>
      </c>
      <c r="BO100" s="136" t="s">
        <v>736</v>
      </c>
      <c r="BP100" s="137" t="s">
        <v>175</v>
      </c>
      <c r="BQ100" s="137" t="s">
        <v>175</v>
      </c>
      <c r="BR100" s="137" t="s">
        <v>175</v>
      </c>
      <c r="BS100" s="137" t="s">
        <v>175</v>
      </c>
      <c r="BT100" s="138">
        <f t="shared" si="46"/>
        <v>-53.741783833301355</v>
      </c>
      <c r="BU100" s="138">
        <f t="shared" si="47"/>
        <v>0.57507064783381179</v>
      </c>
      <c r="BV100" s="138">
        <f t="shared" si="48"/>
        <v>0.57507064783381179</v>
      </c>
      <c r="BW100" s="53" t="s">
        <v>175</v>
      </c>
      <c r="BX100" s="53" t="s">
        <v>175</v>
      </c>
      <c r="BY100" s="53" t="s">
        <v>175</v>
      </c>
      <c r="BZ100" s="53" t="s">
        <v>175</v>
      </c>
      <c r="CA100" s="147">
        <v>3</v>
      </c>
      <c r="CB100" s="54">
        <v>1</v>
      </c>
      <c r="CC100" s="54" t="s">
        <v>994</v>
      </c>
    </row>
    <row r="101" spans="1:81">
      <c r="A101" s="123" t="s">
        <v>784</v>
      </c>
      <c r="B101" s="124" t="s">
        <v>767</v>
      </c>
      <c r="C101" s="148" t="s">
        <v>674</v>
      </c>
      <c r="D101" s="125" t="s">
        <v>167</v>
      </c>
      <c r="E101" s="150">
        <v>21.665533</v>
      </c>
      <c r="F101" s="150">
        <v>114.37155</v>
      </c>
      <c r="G101" s="128" t="s">
        <v>168</v>
      </c>
      <c r="H101" s="151">
        <v>830</v>
      </c>
      <c r="I101" s="151">
        <v>60</v>
      </c>
      <c r="J101" s="151">
        <v>301</v>
      </c>
      <c r="K101" s="151">
        <v>197</v>
      </c>
      <c r="L101" s="151">
        <v>235</v>
      </c>
      <c r="M101" s="153" t="s">
        <v>818</v>
      </c>
      <c r="N101" s="130" t="s">
        <v>339</v>
      </c>
      <c r="O101" s="153" t="s">
        <v>818</v>
      </c>
      <c r="P101" s="153" t="s">
        <v>819</v>
      </c>
      <c r="Q101" s="153" t="s">
        <v>172</v>
      </c>
      <c r="R101" s="131">
        <v>0.375</v>
      </c>
      <c r="S101" s="112" t="s">
        <v>175</v>
      </c>
      <c r="T101" s="130">
        <v>1</v>
      </c>
      <c r="U101" s="132" t="s">
        <v>173</v>
      </c>
      <c r="V101" s="133">
        <v>0.01</v>
      </c>
      <c r="W101" s="132" t="s">
        <v>174</v>
      </c>
      <c r="X101" s="133">
        <v>0.01</v>
      </c>
      <c r="Y101" s="133">
        <v>5.0000000000000001E-3</v>
      </c>
      <c r="Z101" s="133">
        <f t="shared" si="50"/>
        <v>0.125</v>
      </c>
      <c r="AA101" s="133">
        <v>0.15</v>
      </c>
      <c r="AB101" s="133">
        <f>0.02*R101</f>
        <v>7.4999999999999997E-3</v>
      </c>
      <c r="AC101" s="134">
        <v>0</v>
      </c>
      <c r="AD101" s="134">
        <v>0</v>
      </c>
      <c r="AE101" s="134">
        <v>0.5</v>
      </c>
      <c r="AF101" s="134">
        <v>0</v>
      </c>
      <c r="AG101" s="134">
        <v>0.1</v>
      </c>
      <c r="AH101" s="134">
        <v>0</v>
      </c>
      <c r="AI101" s="134">
        <v>0</v>
      </c>
      <c r="AJ101" s="134">
        <v>0</v>
      </c>
      <c r="AK101" s="134" t="s">
        <v>175</v>
      </c>
      <c r="AL101" s="122" t="s">
        <v>175</v>
      </c>
      <c r="AM101" s="122">
        <f>-58-0.38-0.88-0.146</f>
        <v>-59.406000000000006</v>
      </c>
      <c r="AN101" s="134" t="s">
        <v>176</v>
      </c>
      <c r="AO101" s="134" t="s">
        <v>177</v>
      </c>
      <c r="AP101" s="135">
        <f t="shared" ref="AP101:AP102" si="55">SQRT(SUMSQ(IF(OR(Y101="nd",Y101="nd"),0,Y101),IF(OR(Z101="nd",Z101="nd"),0,Z101),IF(OR(AA101="nd",AA101="nd"),0,AA101),IF(OR(AB101="nd",AB101="nd"),0,AB101),IF(OR(AC101="nd",AC101="nd"),0,AC101),IF(OR(AD101="nd",AD101="nd"),0,AD101),IF(OR(AE101="nd",AE101="nd"),0,AE101),IF(OR(AF101="nd",AF101="nd"),0,AF101),IF(OR(AG101="nd",AG101="nd"),0,AG101),IF(OR(AH101="nd",AH101="nd"),0,AH101),IF(OR(AI101="nd",AI101="nd"),0,AI101),IF(OR(AJ101="nd",AJ101="nd"),0,AJ101)))</f>
        <v>0.54608264026610476</v>
      </c>
      <c r="AQ101" s="135">
        <f t="shared" ref="AQ101:AQ102" si="56">SQRT(SUMSQ(IF(OR(Y101="nd",Y101="nd"),0,Y101),IF(OR(Z101="nd",Z101="nd"),0,Z101),IF(OR(AA101="nd",AA101="nd"),0,AA101),IF(OR(AB101="nd",AB101="nd"),0,AB101),IF(OR(AC101="nd",AC101="nd"),0,AC101),IF(OR(AD101="nd",AD101="nd"),0,AD101),IF(OR(AE101="nd",AE101="nd"),0,AE101),IF(OR(AF101="nd",AF101="nd"),0,AF101),IF(OR(AG101="nd",AG101="nd"),0,AG101),IF(OR(AH101="nd",AH101="nd"),0,AH101),IF(OR(AI101="nd",AI101="nd"),0,AI101),IF(OR(AJ101="nd",AJ101="nd"),0,AJ101)))</f>
        <v>0.54608264026610476</v>
      </c>
      <c r="AR101" s="117">
        <v>-1.11672117057664</v>
      </c>
      <c r="AS101" s="117">
        <v>0</v>
      </c>
      <c r="AT101" s="117">
        <v>0</v>
      </c>
      <c r="AU101" s="117">
        <v>-0.61226723607037603</v>
      </c>
      <c r="AV101" s="117">
        <v>-0.36226723607037598</v>
      </c>
      <c r="AW101" s="117">
        <v>3.6568944281504402E-2</v>
      </c>
      <c r="AX101" s="117">
        <v>0.41040512463338402</v>
      </c>
      <c r="AY101" s="117">
        <v>0.71040512463338501</v>
      </c>
      <c r="AZ101" s="117">
        <v>0</v>
      </c>
      <c r="BA101" s="117">
        <v>0</v>
      </c>
      <c r="BB101" s="117">
        <v>1.15129591153463</v>
      </c>
      <c r="BC101" s="136">
        <v>-1</v>
      </c>
      <c r="BD101" s="136" t="s">
        <v>178</v>
      </c>
      <c r="BE101" s="152" t="s">
        <v>702</v>
      </c>
      <c r="BF101" s="152" t="s">
        <v>820</v>
      </c>
      <c r="BG101" s="120" t="s">
        <v>678</v>
      </c>
      <c r="BH101" s="136" t="str">
        <f t="shared" si="38"/>
        <v>&lt;MTL</v>
      </c>
      <c r="BI101" s="136">
        <f t="shared" si="39"/>
        <v>3.6568944281504402E-2</v>
      </c>
      <c r="BJ101" s="136" t="str">
        <f t="shared" si="41"/>
        <v>Nil</v>
      </c>
      <c r="BK101" s="136">
        <f t="shared" si="42"/>
        <v>0.05</v>
      </c>
      <c r="BL101" s="136" t="s">
        <v>736</v>
      </c>
      <c r="BM101" s="136" t="s">
        <v>175</v>
      </c>
      <c r="BN101" s="136" t="s">
        <v>175</v>
      </c>
      <c r="BO101" s="136" t="s">
        <v>736</v>
      </c>
      <c r="BP101" s="137" t="s">
        <v>175</v>
      </c>
      <c r="BQ101" s="137" t="s">
        <v>175</v>
      </c>
      <c r="BR101" s="137" t="s">
        <v>175</v>
      </c>
      <c r="BS101" s="137" t="s">
        <v>175</v>
      </c>
      <c r="BT101" s="138">
        <f t="shared" si="46"/>
        <v>-59.442568944281511</v>
      </c>
      <c r="BU101" s="138">
        <f t="shared" si="47"/>
        <v>0.5483668936031787</v>
      </c>
      <c r="BV101" s="138">
        <f t="shared" si="48"/>
        <v>0.5483668936031787</v>
      </c>
      <c r="BW101" s="53" t="s">
        <v>175</v>
      </c>
      <c r="BX101" s="53" t="s">
        <v>175</v>
      </c>
      <c r="BY101" s="53" t="s">
        <v>175</v>
      </c>
      <c r="BZ101" s="53" t="s">
        <v>175</v>
      </c>
      <c r="CA101" s="147">
        <v>1</v>
      </c>
      <c r="CB101" s="54">
        <v>0</v>
      </c>
    </row>
    <row r="102" spans="1:81">
      <c r="A102" s="123" t="s">
        <v>785</v>
      </c>
      <c r="B102" s="124" t="s">
        <v>767</v>
      </c>
      <c r="C102" s="148" t="s">
        <v>674</v>
      </c>
      <c r="D102" s="125" t="s">
        <v>167</v>
      </c>
      <c r="E102" s="150">
        <v>21.665533</v>
      </c>
      <c r="F102" s="150">
        <v>114.37155</v>
      </c>
      <c r="G102" s="128" t="s">
        <v>168</v>
      </c>
      <c r="H102" s="151">
        <v>7710</v>
      </c>
      <c r="I102" s="151">
        <v>70</v>
      </c>
      <c r="J102" s="151">
        <v>8005</v>
      </c>
      <c r="K102" s="151">
        <v>260</v>
      </c>
      <c r="L102" s="151">
        <v>243</v>
      </c>
      <c r="M102" s="153" t="s">
        <v>819</v>
      </c>
      <c r="N102" s="130" t="s">
        <v>339</v>
      </c>
      <c r="O102" s="153" t="s">
        <v>818</v>
      </c>
      <c r="P102" s="153" t="s">
        <v>175</v>
      </c>
      <c r="Q102" s="153" t="s">
        <v>172</v>
      </c>
      <c r="R102" s="131">
        <v>1.05</v>
      </c>
      <c r="S102" s="112" t="s">
        <v>175</v>
      </c>
      <c r="T102" s="130">
        <v>1</v>
      </c>
      <c r="U102" s="132" t="s">
        <v>173</v>
      </c>
      <c r="V102" s="133">
        <v>0.01</v>
      </c>
      <c r="W102" s="132" t="s">
        <v>174</v>
      </c>
      <c r="X102" s="133">
        <v>0.01</v>
      </c>
      <c r="Y102" s="133">
        <v>5.0000000000000001E-3</v>
      </c>
      <c r="Z102" s="133">
        <f>0.1/2</f>
        <v>0.05</v>
      </c>
      <c r="AA102" s="133">
        <v>0.15</v>
      </c>
      <c r="AB102" s="133">
        <f>0.02*R102</f>
        <v>2.1000000000000001E-2</v>
      </c>
      <c r="AC102" s="134">
        <v>0</v>
      </c>
      <c r="AD102" s="134">
        <v>0</v>
      </c>
      <c r="AE102" s="134">
        <v>0.5</v>
      </c>
      <c r="AF102" s="134">
        <v>0</v>
      </c>
      <c r="AG102" s="134">
        <v>0.1</v>
      </c>
      <c r="AH102" s="134">
        <v>0</v>
      </c>
      <c r="AI102" s="134">
        <v>0</v>
      </c>
      <c r="AJ102" s="134">
        <v>0</v>
      </c>
      <c r="AK102" s="134" t="s">
        <v>175</v>
      </c>
      <c r="AL102" s="122" t="s">
        <v>175</v>
      </c>
      <c r="AM102" s="122">
        <f>-58-1.05-0.88-0.146</f>
        <v>-60.076000000000001</v>
      </c>
      <c r="AN102" s="134" t="s">
        <v>176</v>
      </c>
      <c r="AO102" s="134" t="s">
        <v>177</v>
      </c>
      <c r="AP102" s="135">
        <f t="shared" si="55"/>
        <v>0.53429018332737499</v>
      </c>
      <c r="AQ102" s="135">
        <f t="shared" si="56"/>
        <v>0.53429018332737499</v>
      </c>
      <c r="AR102" s="117">
        <v>-1.11672117057664</v>
      </c>
      <c r="AS102" s="117">
        <v>0</v>
      </c>
      <c r="AT102" s="117">
        <v>0</v>
      </c>
      <c r="AU102" s="117">
        <v>-0.61226723607037603</v>
      </c>
      <c r="AV102" s="117">
        <v>-0.36226723607037598</v>
      </c>
      <c r="AW102" s="117">
        <v>3.6568944281504402E-2</v>
      </c>
      <c r="AX102" s="117">
        <v>0.41040512463338402</v>
      </c>
      <c r="AY102" s="117">
        <v>0.71040512463338501</v>
      </c>
      <c r="AZ102" s="117">
        <v>0</v>
      </c>
      <c r="BA102" s="117">
        <v>0</v>
      </c>
      <c r="BB102" s="117">
        <v>1.15129591153463</v>
      </c>
      <c r="BC102" s="136">
        <v>-1</v>
      </c>
      <c r="BD102" s="136" t="s">
        <v>178</v>
      </c>
      <c r="BE102" s="152" t="s">
        <v>823</v>
      </c>
      <c r="BF102" s="152" t="s">
        <v>822</v>
      </c>
      <c r="BG102" s="120" t="s">
        <v>662</v>
      </c>
      <c r="BH102" s="136" t="str">
        <f t="shared" si="38"/>
        <v>&lt;HAT</v>
      </c>
      <c r="BI102" s="136">
        <f t="shared" si="39"/>
        <v>1.15129591153463</v>
      </c>
      <c r="BJ102" s="136" t="str">
        <f t="shared" si="41"/>
        <v>Nil</v>
      </c>
      <c r="BK102" s="136">
        <f t="shared" si="42"/>
        <v>0.18</v>
      </c>
      <c r="BL102" s="136" t="s">
        <v>736</v>
      </c>
      <c r="BM102" s="136" t="s">
        <v>175</v>
      </c>
      <c r="BN102" s="136" t="s">
        <v>175</v>
      </c>
      <c r="BO102" s="136" t="s">
        <v>736</v>
      </c>
      <c r="BP102" s="137" t="s">
        <v>175</v>
      </c>
      <c r="BQ102" s="137" t="s">
        <v>175</v>
      </c>
      <c r="BR102" s="137" t="s">
        <v>175</v>
      </c>
      <c r="BS102" s="137" t="s">
        <v>175</v>
      </c>
      <c r="BT102" s="138">
        <f t="shared" si="46"/>
        <v>-61.227295911534632</v>
      </c>
      <c r="BU102" s="138">
        <f t="shared" si="47"/>
        <v>0.56379606241973701</v>
      </c>
      <c r="BV102" s="138">
        <f t="shared" si="48"/>
        <v>0.56379606241973701</v>
      </c>
      <c r="BW102" s="53" t="s">
        <v>175</v>
      </c>
      <c r="BX102" s="53" t="s">
        <v>175</v>
      </c>
      <c r="BY102" s="53" t="s">
        <v>175</v>
      </c>
      <c r="BZ102" s="53" t="s">
        <v>175</v>
      </c>
      <c r="CA102" s="147">
        <v>1</v>
      </c>
      <c r="CB102" s="54">
        <v>0</v>
      </c>
    </row>
    <row r="103" spans="1:81">
      <c r="A103" s="123" t="s">
        <v>786</v>
      </c>
      <c r="B103" s="124" t="s">
        <v>767</v>
      </c>
      <c r="C103" s="148" t="s">
        <v>674</v>
      </c>
      <c r="D103" s="125" t="s">
        <v>167</v>
      </c>
      <c r="E103" s="150">
        <v>21.665666999999999</v>
      </c>
      <c r="F103" s="150">
        <v>114.483717</v>
      </c>
      <c r="G103" s="128" t="s">
        <v>168</v>
      </c>
      <c r="H103" s="151">
        <v>2840</v>
      </c>
      <c r="I103" s="151">
        <v>114.12712210513327</v>
      </c>
      <c r="J103" s="151">
        <v>2979</v>
      </c>
      <c r="K103" s="151">
        <v>343</v>
      </c>
      <c r="L103" s="151">
        <v>227</v>
      </c>
      <c r="M103" s="153" t="s">
        <v>818</v>
      </c>
      <c r="N103" s="130" t="s">
        <v>735</v>
      </c>
      <c r="O103" s="153" t="s">
        <v>818</v>
      </c>
      <c r="P103" s="153" t="s">
        <v>819</v>
      </c>
      <c r="Q103" s="153" t="s">
        <v>172</v>
      </c>
      <c r="R103" s="131">
        <f>(0+0.25)/2</f>
        <v>0.125</v>
      </c>
      <c r="S103" s="112" t="s">
        <v>175</v>
      </c>
      <c r="T103" s="130">
        <v>1</v>
      </c>
      <c r="U103" s="132" t="s">
        <v>173</v>
      </c>
      <c r="V103" s="133">
        <v>0.1</v>
      </c>
      <c r="W103" s="132" t="s">
        <v>174</v>
      </c>
      <c r="X103" s="133">
        <v>0.1</v>
      </c>
      <c r="Y103" s="133">
        <v>0.05</v>
      </c>
      <c r="Z103" s="133">
        <f>(0.25-0)/2</f>
        <v>0.125</v>
      </c>
      <c r="AA103" s="133">
        <v>0.15</v>
      </c>
      <c r="AB103" s="133">
        <f t="shared" ref="AB103:AB107" si="57">0.02*R103</f>
        <v>2.5000000000000001E-3</v>
      </c>
      <c r="AC103" s="134">
        <v>0</v>
      </c>
      <c r="AD103" s="134">
        <v>0</v>
      </c>
      <c r="AE103" s="134">
        <v>0.5</v>
      </c>
      <c r="AF103" s="134">
        <v>0</v>
      </c>
      <c r="AG103" s="134">
        <v>0.1</v>
      </c>
      <c r="AH103" s="134">
        <v>0</v>
      </c>
      <c r="AI103" s="134">
        <v>0</v>
      </c>
      <c r="AJ103" s="134">
        <v>0</v>
      </c>
      <c r="AK103" s="134" t="s">
        <v>175</v>
      </c>
      <c r="AL103" s="122" t="s">
        <v>175</v>
      </c>
      <c r="AM103" s="122">
        <f>-65-0.12-0.88-0.146</f>
        <v>-66.146000000000001</v>
      </c>
      <c r="AN103" s="134" t="s">
        <v>176</v>
      </c>
      <c r="AO103" s="134" t="s">
        <v>177</v>
      </c>
      <c r="AP103" s="135">
        <f t="shared" ref="AP103:AP106" si="58">SQRT(SUMSQ(IF(OR(Y103="nd",Y103="nd"),0,Y103),IF(OR(Z103="nd",Z103="nd"),0,Z103),IF(OR(AA103="nd",AA103="nd"),0,AA103),IF(OR(AB103="nd",AB103="nd"),0,AB103),IF(OR(AC103="nd",AC103="nd"),0,AC103),IF(OR(AD103="nd",AD103="nd"),0,AD103),IF(OR(AE103="nd",AE103="nd"),0,AE103),IF(OR(AF103="nd",AF103="nd"),0,AF103),IF(OR(AG103="nd",AG103="nd"),0,AG103),IF(OR(AH103="nd",AH103="nd"),0,AH103),IF(OR(AI103="nd",AI103="nd"),0,AI103),IF(OR(AJ103="nd",AJ103="nd"),0,AJ103)))</f>
        <v>0.54829850446631712</v>
      </c>
      <c r="AQ103" s="135">
        <f t="shared" ref="AQ103:AQ107" si="59">SQRT(SUMSQ(IF(OR(Y103="nd",Y103="nd"),0,Y103),IF(OR(Z103="nd",Z103="nd"),0,Z103),IF(OR(AA103="nd",AA103="nd"),0,AA103),IF(OR(AB103="nd",AB103="nd"),0,AB103),IF(OR(AC103="nd",AC103="nd"),0,AC103),IF(OR(AD103="nd",AD103="nd"),0,AD103),IF(OR(AE103="nd",AE103="nd"),0,AE103),IF(OR(AF103="nd",AF103="nd"),0,AF103),IF(OR(AG103="nd",AG103="nd"),0,AG103),IF(OR(AH103="nd",AH103="nd"),0,AH103),IF(OR(AI103="nd",AI103="nd"),0,AI103),IF(OR(AJ103="nd",AJ103="nd"),0,AJ103)))</f>
        <v>0.54829850446631712</v>
      </c>
      <c r="AR103" s="117">
        <v>-1.15913407014215</v>
      </c>
      <c r="AS103" s="117">
        <v>0</v>
      </c>
      <c r="AT103" s="117">
        <v>0</v>
      </c>
      <c r="AU103" s="117">
        <v>-0.61466796623446096</v>
      </c>
      <c r="AV103" s="117">
        <v>-0.36466796623446102</v>
      </c>
      <c r="AW103" s="117">
        <v>4.6171864937846002E-2</v>
      </c>
      <c r="AX103" s="117">
        <v>0.432011696110153</v>
      </c>
      <c r="AY103" s="117">
        <v>0.73201169611015304</v>
      </c>
      <c r="AZ103" s="117">
        <v>0</v>
      </c>
      <c r="BA103" s="117">
        <v>0</v>
      </c>
      <c r="BB103" s="117">
        <v>1.1809049168916901</v>
      </c>
      <c r="BC103" s="136">
        <v>-1</v>
      </c>
      <c r="BD103" s="136" t="s">
        <v>178</v>
      </c>
      <c r="BE103" s="152" t="s">
        <v>702</v>
      </c>
      <c r="BF103" s="152" t="s">
        <v>829</v>
      </c>
      <c r="BG103" s="120" t="s">
        <v>678</v>
      </c>
      <c r="BH103" s="136" t="str">
        <f t="shared" si="38"/>
        <v>&lt;MTL</v>
      </c>
      <c r="BI103" s="136">
        <f t="shared" si="39"/>
        <v>4.6171864937846002E-2</v>
      </c>
      <c r="BJ103" s="136" t="str">
        <f t="shared" si="41"/>
        <v>Nil</v>
      </c>
      <c r="BK103" s="136">
        <f t="shared" si="42"/>
        <v>0.05</v>
      </c>
      <c r="BL103" s="136" t="s">
        <v>736</v>
      </c>
      <c r="BM103" s="136" t="s">
        <v>175</v>
      </c>
      <c r="BN103" s="136" t="s">
        <v>175</v>
      </c>
      <c r="BO103" s="136" t="s">
        <v>736</v>
      </c>
      <c r="BP103" s="137" t="s">
        <v>175</v>
      </c>
      <c r="BQ103" s="137" t="s">
        <v>175</v>
      </c>
      <c r="BR103" s="137" t="s">
        <v>175</v>
      </c>
      <c r="BS103" s="137" t="s">
        <v>175</v>
      </c>
      <c r="BT103" s="138">
        <f t="shared" si="46"/>
        <v>-66.192171864937848</v>
      </c>
      <c r="BU103" s="138">
        <f t="shared" si="47"/>
        <v>0.55057356456698858</v>
      </c>
      <c r="BV103" s="138">
        <f t="shared" si="48"/>
        <v>0.55057356456698858</v>
      </c>
      <c r="BW103" s="53" t="s">
        <v>175</v>
      </c>
      <c r="BX103" s="53" t="s">
        <v>175</v>
      </c>
      <c r="BY103" s="53" t="s">
        <v>175</v>
      </c>
      <c r="BZ103" s="53" t="s">
        <v>175</v>
      </c>
      <c r="CA103" s="147">
        <v>1</v>
      </c>
      <c r="CB103" s="54">
        <v>0</v>
      </c>
    </row>
    <row r="104" spans="1:81">
      <c r="A104" s="123" t="s">
        <v>787</v>
      </c>
      <c r="B104" s="124" t="s">
        <v>767</v>
      </c>
      <c r="C104" s="148" t="s">
        <v>674</v>
      </c>
      <c r="D104" s="125" t="s">
        <v>167</v>
      </c>
      <c r="E104" s="150">
        <v>21.665666999999999</v>
      </c>
      <c r="F104" s="150">
        <v>114.483717</v>
      </c>
      <c r="G104" s="128" t="s">
        <v>168</v>
      </c>
      <c r="H104" s="151">
        <v>3385</v>
      </c>
      <c r="I104" s="151">
        <v>105.94810050208545</v>
      </c>
      <c r="J104" s="151">
        <v>3632</v>
      </c>
      <c r="K104" s="151">
        <v>256</v>
      </c>
      <c r="L104" s="151">
        <v>238</v>
      </c>
      <c r="M104" s="153" t="s">
        <v>818</v>
      </c>
      <c r="N104" s="130" t="s">
        <v>735</v>
      </c>
      <c r="O104" s="153" t="s">
        <v>818</v>
      </c>
      <c r="P104" s="153" t="s">
        <v>819</v>
      </c>
      <c r="Q104" s="153" t="s">
        <v>172</v>
      </c>
      <c r="R104" s="131">
        <f>(0.25+0.5)/2</f>
        <v>0.375</v>
      </c>
      <c r="S104" s="112" t="s">
        <v>175</v>
      </c>
      <c r="T104" s="130">
        <v>1</v>
      </c>
      <c r="U104" s="132" t="s">
        <v>173</v>
      </c>
      <c r="V104" s="133">
        <v>0.1</v>
      </c>
      <c r="W104" s="132" t="s">
        <v>174</v>
      </c>
      <c r="X104" s="133">
        <v>0.1</v>
      </c>
      <c r="Y104" s="133">
        <v>0.05</v>
      </c>
      <c r="Z104" s="133">
        <f>(0.5-0.25)/2</f>
        <v>0.125</v>
      </c>
      <c r="AA104" s="133">
        <v>0.15</v>
      </c>
      <c r="AB104" s="133">
        <f t="shared" si="57"/>
        <v>7.4999999999999997E-3</v>
      </c>
      <c r="AC104" s="134">
        <v>0</v>
      </c>
      <c r="AD104" s="134">
        <v>0</v>
      </c>
      <c r="AE104" s="134">
        <v>0.5</v>
      </c>
      <c r="AF104" s="134">
        <v>0</v>
      </c>
      <c r="AG104" s="134">
        <v>0.1</v>
      </c>
      <c r="AH104" s="134">
        <v>0</v>
      </c>
      <c r="AI104" s="134">
        <v>0</v>
      </c>
      <c r="AJ104" s="134">
        <v>0</v>
      </c>
      <c r="AK104" s="134" t="s">
        <v>175</v>
      </c>
      <c r="AL104" s="122" t="s">
        <v>175</v>
      </c>
      <c r="AM104" s="122">
        <f>-65-0.38-0.88-0.146</f>
        <v>-66.405999999999992</v>
      </c>
      <c r="AN104" s="134" t="s">
        <v>176</v>
      </c>
      <c r="AO104" s="134" t="s">
        <v>177</v>
      </c>
      <c r="AP104" s="135">
        <f t="shared" si="58"/>
        <v>0.54834409817194163</v>
      </c>
      <c r="AQ104" s="135">
        <f t="shared" si="59"/>
        <v>0.54834409817194163</v>
      </c>
      <c r="AR104" s="117">
        <v>-1.15913407014215</v>
      </c>
      <c r="AS104" s="117">
        <v>0</v>
      </c>
      <c r="AT104" s="117">
        <v>0</v>
      </c>
      <c r="AU104" s="117">
        <v>-0.61466796623446096</v>
      </c>
      <c r="AV104" s="117">
        <v>-0.36466796623446102</v>
      </c>
      <c r="AW104" s="117">
        <v>4.6171864937846002E-2</v>
      </c>
      <c r="AX104" s="117">
        <v>0.432011696110153</v>
      </c>
      <c r="AY104" s="117">
        <v>0.73201169611015304</v>
      </c>
      <c r="AZ104" s="117">
        <v>0</v>
      </c>
      <c r="BA104" s="117">
        <v>0</v>
      </c>
      <c r="BB104" s="117">
        <v>1.1809049168916901</v>
      </c>
      <c r="BC104" s="136">
        <v>-1</v>
      </c>
      <c r="BD104" s="136" t="s">
        <v>178</v>
      </c>
      <c r="BE104" s="152" t="s">
        <v>702</v>
      </c>
      <c r="BF104" s="152" t="s">
        <v>829</v>
      </c>
      <c r="BG104" s="120" t="s">
        <v>678</v>
      </c>
      <c r="BH104" s="136" t="str">
        <f t="shared" si="38"/>
        <v>&lt;MTL</v>
      </c>
      <c r="BI104" s="136">
        <f t="shared" si="39"/>
        <v>4.6171864937846002E-2</v>
      </c>
      <c r="BJ104" s="136" t="str">
        <f t="shared" si="41"/>
        <v>Nil</v>
      </c>
      <c r="BK104" s="136">
        <f t="shared" si="42"/>
        <v>0.05</v>
      </c>
      <c r="BL104" s="136" t="s">
        <v>736</v>
      </c>
      <c r="BM104" s="136" t="s">
        <v>175</v>
      </c>
      <c r="BN104" s="136" t="s">
        <v>175</v>
      </c>
      <c r="BO104" s="136" t="s">
        <v>736</v>
      </c>
      <c r="BP104" s="137" t="s">
        <v>175</v>
      </c>
      <c r="BQ104" s="137" t="s">
        <v>175</v>
      </c>
      <c r="BR104" s="137" t="s">
        <v>175</v>
      </c>
      <c r="BS104" s="137" t="s">
        <v>175</v>
      </c>
      <c r="BT104" s="138">
        <f>AM104-BI104</f>
        <v>-66.452171864937839</v>
      </c>
      <c r="BU104" s="138">
        <f t="shared" si="47"/>
        <v>0.55061896988752568</v>
      </c>
      <c r="BV104" s="138">
        <f t="shared" si="48"/>
        <v>0.55061896988752568</v>
      </c>
      <c r="BW104" s="53" t="s">
        <v>175</v>
      </c>
      <c r="BX104" s="53" t="s">
        <v>175</v>
      </c>
      <c r="BY104" s="53" t="s">
        <v>175</v>
      </c>
      <c r="BZ104" s="53" t="s">
        <v>175</v>
      </c>
      <c r="CA104" s="147">
        <v>1</v>
      </c>
      <c r="CB104" s="54">
        <v>0</v>
      </c>
    </row>
    <row r="105" spans="1:81">
      <c r="A105" s="123" t="s">
        <v>788</v>
      </c>
      <c r="B105" s="124" t="s">
        <v>767</v>
      </c>
      <c r="C105" s="148" t="s">
        <v>674</v>
      </c>
      <c r="D105" s="125" t="s">
        <v>167</v>
      </c>
      <c r="E105" s="150">
        <v>21.665666999999999</v>
      </c>
      <c r="F105" s="150">
        <v>114.483717</v>
      </c>
      <c r="G105" s="128" t="s">
        <v>168</v>
      </c>
      <c r="H105" s="151">
        <v>3920</v>
      </c>
      <c r="I105" s="151">
        <v>116.61903789690601</v>
      </c>
      <c r="J105" s="151">
        <v>4350</v>
      </c>
      <c r="K105" s="151">
        <v>455</v>
      </c>
      <c r="L105" s="151">
        <v>362</v>
      </c>
      <c r="M105" s="153" t="s">
        <v>818</v>
      </c>
      <c r="N105" s="130" t="s">
        <v>735</v>
      </c>
      <c r="O105" s="153" t="s">
        <v>818</v>
      </c>
      <c r="P105" s="153" t="s">
        <v>819</v>
      </c>
      <c r="Q105" s="153" t="s">
        <v>172</v>
      </c>
      <c r="R105" s="131">
        <f>(0.5+0.75)/2</f>
        <v>0.625</v>
      </c>
      <c r="S105" s="112" t="s">
        <v>175</v>
      </c>
      <c r="T105" s="130">
        <v>1</v>
      </c>
      <c r="U105" s="132" t="s">
        <v>173</v>
      </c>
      <c r="V105" s="133">
        <v>0.1</v>
      </c>
      <c r="W105" s="132" t="s">
        <v>174</v>
      </c>
      <c r="X105" s="133">
        <v>0.1</v>
      </c>
      <c r="Y105" s="133">
        <v>0.05</v>
      </c>
      <c r="Z105" s="133">
        <v>0.13</v>
      </c>
      <c r="AA105" s="133">
        <v>0.15</v>
      </c>
      <c r="AB105" s="133">
        <f t="shared" si="57"/>
        <v>1.2500000000000001E-2</v>
      </c>
      <c r="AC105" s="134">
        <v>0</v>
      </c>
      <c r="AD105" s="134">
        <v>0</v>
      </c>
      <c r="AE105" s="134">
        <v>0.5</v>
      </c>
      <c r="AF105" s="134">
        <v>0</v>
      </c>
      <c r="AG105" s="134">
        <v>0.1</v>
      </c>
      <c r="AH105" s="134">
        <v>0</v>
      </c>
      <c r="AI105" s="134">
        <v>0</v>
      </c>
      <c r="AJ105" s="134">
        <v>0</v>
      </c>
      <c r="AK105" s="134" t="s">
        <v>175</v>
      </c>
      <c r="AL105" s="122" t="s">
        <v>175</v>
      </c>
      <c r="AM105" s="122">
        <f>-65-0.63-0.88-0.146</f>
        <v>-66.655999999999992</v>
      </c>
      <c r="AN105" s="134" t="s">
        <v>176</v>
      </c>
      <c r="AO105" s="134" t="s">
        <v>177</v>
      </c>
      <c r="AP105" s="135">
        <f t="shared" si="58"/>
        <v>0.54959644285602871</v>
      </c>
      <c r="AQ105" s="135">
        <f t="shared" si="59"/>
        <v>0.54959644285602871</v>
      </c>
      <c r="AR105" s="117">
        <v>-1.15913407014215</v>
      </c>
      <c r="AS105" s="117">
        <v>0</v>
      </c>
      <c r="AT105" s="117">
        <v>0</v>
      </c>
      <c r="AU105" s="117">
        <v>-0.61466796623446096</v>
      </c>
      <c r="AV105" s="117">
        <v>-0.36466796623446102</v>
      </c>
      <c r="AW105" s="117">
        <v>4.6171864937846002E-2</v>
      </c>
      <c r="AX105" s="117">
        <v>0.432011696110153</v>
      </c>
      <c r="AY105" s="117">
        <v>0.73201169611015304</v>
      </c>
      <c r="AZ105" s="117">
        <v>0</v>
      </c>
      <c r="BA105" s="117">
        <v>0</v>
      </c>
      <c r="BB105" s="117">
        <v>1.1809049168916901</v>
      </c>
      <c r="BC105" s="136">
        <v>-1</v>
      </c>
      <c r="BD105" s="136" t="s">
        <v>178</v>
      </c>
      <c r="BE105" s="152" t="s">
        <v>702</v>
      </c>
      <c r="BF105" s="152" t="s">
        <v>829</v>
      </c>
      <c r="BG105" s="120" t="s">
        <v>678</v>
      </c>
      <c r="BH105" s="136" t="str">
        <f t="shared" si="38"/>
        <v>&lt;MTL</v>
      </c>
      <c r="BI105" s="136">
        <f t="shared" si="39"/>
        <v>4.6171864937846002E-2</v>
      </c>
      <c r="BJ105" s="136" t="str">
        <f t="shared" si="41"/>
        <v>Nil</v>
      </c>
      <c r="BK105" s="136">
        <f t="shared" si="42"/>
        <v>0.05</v>
      </c>
      <c r="BL105" s="136" t="s">
        <v>736</v>
      </c>
      <c r="BM105" s="136" t="s">
        <v>175</v>
      </c>
      <c r="BN105" s="136" t="s">
        <v>175</v>
      </c>
      <c r="BO105" s="136" t="s">
        <v>736</v>
      </c>
      <c r="BP105" s="137" t="s">
        <v>175</v>
      </c>
      <c r="BQ105" s="137" t="s">
        <v>175</v>
      </c>
      <c r="BR105" s="137" t="s">
        <v>175</v>
      </c>
      <c r="BS105" s="137" t="s">
        <v>175</v>
      </c>
      <c r="BT105" s="138">
        <f>AM105-BI105</f>
        <v>-66.702171864937839</v>
      </c>
      <c r="BU105" s="138">
        <f t="shared" si="47"/>
        <v>0.55186615225070657</v>
      </c>
      <c r="BV105" s="138">
        <f t="shared" si="48"/>
        <v>0.55186615225070657</v>
      </c>
      <c r="BW105" s="53" t="s">
        <v>175</v>
      </c>
      <c r="BX105" s="53" t="s">
        <v>175</v>
      </c>
      <c r="BY105" s="53" t="s">
        <v>175</v>
      </c>
      <c r="BZ105" s="53" t="s">
        <v>175</v>
      </c>
      <c r="CA105" s="147">
        <v>1</v>
      </c>
      <c r="CB105" s="54">
        <v>0</v>
      </c>
    </row>
    <row r="106" spans="1:81">
      <c r="A106" s="123" t="s">
        <v>828</v>
      </c>
      <c r="B106" s="124" t="s">
        <v>767</v>
      </c>
      <c r="C106" s="148"/>
      <c r="D106" s="125" t="s">
        <v>167</v>
      </c>
      <c r="E106" s="150">
        <v>21.665666999999999</v>
      </c>
      <c r="F106" s="150">
        <v>114.483717</v>
      </c>
      <c r="G106" s="128" t="s">
        <v>168</v>
      </c>
      <c r="H106" s="151">
        <v>4690</v>
      </c>
      <c r="I106" s="151">
        <v>107.70329614269008</v>
      </c>
      <c r="J106" s="151">
        <v>5408</v>
      </c>
      <c r="K106" s="151">
        <v>193</v>
      </c>
      <c r="L106" s="151">
        <v>359</v>
      </c>
      <c r="M106" s="153" t="s">
        <v>818</v>
      </c>
      <c r="N106" s="130" t="s">
        <v>735</v>
      </c>
      <c r="O106" s="153" t="s">
        <v>818</v>
      </c>
      <c r="P106" s="153" t="s">
        <v>819</v>
      </c>
      <c r="Q106" s="153" t="s">
        <v>172</v>
      </c>
      <c r="R106" s="131">
        <f>(0.75+1)/2</f>
        <v>0.875</v>
      </c>
      <c r="S106" s="112" t="s">
        <v>175</v>
      </c>
      <c r="T106" s="130">
        <v>1</v>
      </c>
      <c r="U106" s="132" t="s">
        <v>173</v>
      </c>
      <c r="V106" s="133">
        <v>0.1</v>
      </c>
      <c r="W106" s="132" t="s">
        <v>174</v>
      </c>
      <c r="X106" s="133">
        <v>0.1</v>
      </c>
      <c r="Y106" s="133">
        <v>0.05</v>
      </c>
      <c r="Z106" s="133">
        <v>0.13</v>
      </c>
      <c r="AA106" s="133">
        <v>0.15</v>
      </c>
      <c r="AB106" s="133">
        <f t="shared" si="57"/>
        <v>1.7500000000000002E-2</v>
      </c>
      <c r="AC106" s="134">
        <v>0</v>
      </c>
      <c r="AD106" s="134">
        <v>0</v>
      </c>
      <c r="AE106" s="134">
        <v>0.5</v>
      </c>
      <c r="AF106" s="134">
        <v>0</v>
      </c>
      <c r="AG106" s="134">
        <v>0.1</v>
      </c>
      <c r="AH106" s="134">
        <v>0</v>
      </c>
      <c r="AI106" s="134">
        <v>0</v>
      </c>
      <c r="AJ106" s="134">
        <v>0</v>
      </c>
      <c r="AK106" s="134" t="s">
        <v>175</v>
      </c>
      <c r="AL106" s="122" t="s">
        <v>175</v>
      </c>
      <c r="AM106" s="122">
        <f>-65-0.88-0.88-0.146</f>
        <v>-66.905999999999992</v>
      </c>
      <c r="AN106" s="134" t="s">
        <v>176</v>
      </c>
      <c r="AO106" s="134" t="s">
        <v>177</v>
      </c>
      <c r="AP106" s="135">
        <f t="shared" si="58"/>
        <v>0.54973288968370815</v>
      </c>
      <c r="AQ106" s="135">
        <f t="shared" si="59"/>
        <v>0.54973288968370815</v>
      </c>
      <c r="AR106" s="117">
        <v>-1.15913407014215</v>
      </c>
      <c r="AS106" s="117">
        <v>0</v>
      </c>
      <c r="AT106" s="117">
        <v>0</v>
      </c>
      <c r="AU106" s="117">
        <v>-0.61466796623446096</v>
      </c>
      <c r="AV106" s="117">
        <v>-0.36466796623446102</v>
      </c>
      <c r="AW106" s="117">
        <v>4.6171864937846002E-2</v>
      </c>
      <c r="AX106" s="117">
        <v>0.432011696110153</v>
      </c>
      <c r="AY106" s="117">
        <v>0.73201169611015304</v>
      </c>
      <c r="AZ106" s="117">
        <v>0</v>
      </c>
      <c r="BA106" s="117">
        <v>0</v>
      </c>
      <c r="BB106" s="117">
        <v>1.1809049168916901</v>
      </c>
      <c r="BC106" s="136">
        <v>-1</v>
      </c>
      <c r="BD106" s="136" t="s">
        <v>178</v>
      </c>
      <c r="BE106" s="152" t="s">
        <v>702</v>
      </c>
      <c r="BF106" s="152" t="s">
        <v>829</v>
      </c>
      <c r="BG106" s="120" t="s">
        <v>678</v>
      </c>
      <c r="BH106" s="136" t="str">
        <f t="shared" si="38"/>
        <v>&lt;MTL</v>
      </c>
      <c r="BI106" s="136">
        <f t="shared" si="39"/>
        <v>4.6171864937846002E-2</v>
      </c>
      <c r="BJ106" s="136" t="str">
        <f t="shared" si="41"/>
        <v>Nil</v>
      </c>
      <c r="BK106" s="136">
        <f t="shared" si="42"/>
        <v>0.05</v>
      </c>
      <c r="BL106" s="136" t="s">
        <v>736</v>
      </c>
      <c r="BM106" s="136" t="s">
        <v>175</v>
      </c>
      <c r="BN106" s="136" t="s">
        <v>175</v>
      </c>
      <c r="BO106" s="136" t="s">
        <v>736</v>
      </c>
      <c r="BP106" s="137" t="s">
        <v>175</v>
      </c>
      <c r="BQ106" s="137" t="s">
        <v>175</v>
      </c>
      <c r="BR106" s="137" t="s">
        <v>175</v>
      </c>
      <c r="BS106" s="137" t="s">
        <v>175</v>
      </c>
      <c r="BT106" s="138">
        <f>AM106-BI106</f>
        <v>-66.952171864937839</v>
      </c>
      <c r="BU106" s="138">
        <f t="shared" si="47"/>
        <v>0.55200203803971593</v>
      </c>
      <c r="BV106" s="138">
        <f t="shared" si="48"/>
        <v>0.55200203803971593</v>
      </c>
      <c r="BW106" s="53" t="s">
        <v>175</v>
      </c>
      <c r="BX106" s="53" t="s">
        <v>175</v>
      </c>
      <c r="BY106" s="53" t="s">
        <v>175</v>
      </c>
      <c r="BZ106" s="53" t="s">
        <v>175</v>
      </c>
      <c r="CA106" s="147">
        <v>1</v>
      </c>
      <c r="CB106" s="54">
        <v>0</v>
      </c>
    </row>
    <row r="107" spans="1:81">
      <c r="A107" s="123" t="s">
        <v>789</v>
      </c>
      <c r="B107" s="124" t="s">
        <v>767</v>
      </c>
      <c r="C107" s="148" t="s">
        <v>674</v>
      </c>
      <c r="D107" s="125" t="s">
        <v>167</v>
      </c>
      <c r="E107" s="150">
        <v>21.665666999999999</v>
      </c>
      <c r="F107" s="150">
        <v>114.483717</v>
      </c>
      <c r="G107" s="128" t="s">
        <v>168</v>
      </c>
      <c r="H107" s="151">
        <v>5420</v>
      </c>
      <c r="I107" s="151">
        <v>119.26860441876563</v>
      </c>
      <c r="J107" s="151">
        <v>6197</v>
      </c>
      <c r="K107" s="151">
        <v>241</v>
      </c>
      <c r="L107" s="151">
        <v>267</v>
      </c>
      <c r="M107" s="153" t="s">
        <v>818</v>
      </c>
      <c r="N107" s="130" t="s">
        <v>735</v>
      </c>
      <c r="O107" s="153" t="s">
        <v>818</v>
      </c>
      <c r="P107" s="153" t="s">
        <v>819</v>
      </c>
      <c r="Q107" s="153" t="s">
        <v>172</v>
      </c>
      <c r="R107" s="131">
        <f>(1+1.25)/2</f>
        <v>1.125</v>
      </c>
      <c r="S107" s="112" t="s">
        <v>175</v>
      </c>
      <c r="T107" s="130">
        <v>1</v>
      </c>
      <c r="U107" s="132" t="s">
        <v>173</v>
      </c>
      <c r="V107" s="133">
        <v>0.1</v>
      </c>
      <c r="W107" s="132" t="s">
        <v>174</v>
      </c>
      <c r="X107" s="133">
        <v>0.1</v>
      </c>
      <c r="Y107" s="133">
        <v>0.05</v>
      </c>
      <c r="Z107" s="133">
        <v>0.13</v>
      </c>
      <c r="AA107" s="133">
        <v>0.15</v>
      </c>
      <c r="AB107" s="133">
        <f t="shared" si="57"/>
        <v>2.2499999999999999E-2</v>
      </c>
      <c r="AC107" s="134">
        <v>0</v>
      </c>
      <c r="AD107" s="134">
        <v>0</v>
      </c>
      <c r="AE107" s="134">
        <v>0.5</v>
      </c>
      <c r="AF107" s="134">
        <v>0</v>
      </c>
      <c r="AG107" s="134">
        <v>0.1</v>
      </c>
      <c r="AH107" s="134">
        <v>0</v>
      </c>
      <c r="AI107" s="134">
        <v>0</v>
      </c>
      <c r="AJ107" s="134">
        <v>0</v>
      </c>
      <c r="AK107" s="134" t="s">
        <v>175</v>
      </c>
      <c r="AL107" s="122" t="s">
        <v>175</v>
      </c>
      <c r="AM107" s="122">
        <f>-65-1.13-0.88-0.146</f>
        <v>-67.155999999999992</v>
      </c>
      <c r="AN107" s="134" t="s">
        <v>176</v>
      </c>
      <c r="AO107" s="134" t="s">
        <v>177</v>
      </c>
      <c r="AP107" s="135">
        <f>SQRT(SUMSQ(IF(OR(Y107="nd",Y107="nd"),0,Y107),IF(OR(Z107="nd",Z107="nd"),0,Z107),IF(OR(AA107="nd",AA107="nd"),0,AA107),IF(OR(AB107="nd",AB107="nd"),0,AB107),IF(OR(AC107="nd",AC107="nd"),0,AC107),IF(OR(AD107="nd",AD107="nd"),0,AD107),IF(OR(AE107="nd",AE107="nd"),0,AE107),IF(OR(AF107="nd",AF107="nd"),0,AF107),IF(OR(AG107="nd",AG107="nd"),0,AG107),IF(OR(AH107="nd",AH107="nd"),0,AH107),IF(OR(AI107="nd",AI107="nd"),0,AI107),IF(OR(AJ107="nd",AJ107="nd"),0,AJ107)))</f>
        <v>0.54991476612289658</v>
      </c>
      <c r="AQ107" s="135">
        <f t="shared" si="59"/>
        <v>0.54991476612289658</v>
      </c>
      <c r="AR107" s="117">
        <v>-1.15913407014215</v>
      </c>
      <c r="AS107" s="117">
        <v>0</v>
      </c>
      <c r="AT107" s="117">
        <v>0</v>
      </c>
      <c r="AU107" s="117">
        <v>-0.61466796623446096</v>
      </c>
      <c r="AV107" s="117">
        <v>-0.36466796623446102</v>
      </c>
      <c r="AW107" s="117">
        <v>4.6171864937846002E-2</v>
      </c>
      <c r="AX107" s="117">
        <v>0.432011696110153</v>
      </c>
      <c r="AY107" s="117">
        <v>0.73201169611015304</v>
      </c>
      <c r="AZ107" s="117">
        <v>0</v>
      </c>
      <c r="BA107" s="117">
        <v>0</v>
      </c>
      <c r="BB107" s="117">
        <v>1.1809049168916901</v>
      </c>
      <c r="BC107" s="136">
        <v>-1</v>
      </c>
      <c r="BD107" s="136" t="s">
        <v>178</v>
      </c>
      <c r="BE107" s="152" t="s">
        <v>702</v>
      </c>
      <c r="BF107" s="152" t="s">
        <v>829</v>
      </c>
      <c r="BG107" s="120" t="s">
        <v>678</v>
      </c>
      <c r="BH107" s="136" t="str">
        <f t="shared" si="38"/>
        <v>&lt;MTL</v>
      </c>
      <c r="BI107" s="136">
        <f t="shared" si="39"/>
        <v>4.6171864937846002E-2</v>
      </c>
      <c r="BJ107" s="136" t="str">
        <f t="shared" si="41"/>
        <v>Nil</v>
      </c>
      <c r="BK107" s="136">
        <f t="shared" si="42"/>
        <v>0.05</v>
      </c>
      <c r="BL107" s="136" t="s">
        <v>736</v>
      </c>
      <c r="BM107" s="136" t="s">
        <v>175</v>
      </c>
      <c r="BN107" s="136" t="s">
        <v>175</v>
      </c>
      <c r="BO107" s="136" t="s">
        <v>736</v>
      </c>
      <c r="BP107" s="137" t="s">
        <v>175</v>
      </c>
      <c r="BQ107" s="137" t="s">
        <v>175</v>
      </c>
      <c r="BR107" s="137" t="s">
        <v>175</v>
      </c>
      <c r="BS107" s="137" t="s">
        <v>175</v>
      </c>
      <c r="BT107" s="138">
        <f t="shared" si="46"/>
        <v>-67.202171864937839</v>
      </c>
      <c r="BU107" s="138">
        <f t="shared" si="47"/>
        <v>0.55218316707411508</v>
      </c>
      <c r="BV107" s="138">
        <f t="shared" si="48"/>
        <v>0.55218316707411508</v>
      </c>
      <c r="BW107" s="53" t="s">
        <v>175</v>
      </c>
      <c r="BX107" s="53" t="s">
        <v>175</v>
      </c>
      <c r="BY107" s="53" t="s">
        <v>175</v>
      </c>
      <c r="BZ107" s="53" t="s">
        <v>175</v>
      </c>
      <c r="CA107" s="147">
        <v>1</v>
      </c>
      <c r="CB107" s="54">
        <v>0</v>
      </c>
    </row>
    <row r="108" spans="1:81">
      <c r="A108" s="123" t="s">
        <v>790</v>
      </c>
      <c r="B108" s="124" t="s">
        <v>767</v>
      </c>
      <c r="C108" s="148" t="s">
        <v>674</v>
      </c>
      <c r="D108" s="125" t="s">
        <v>167</v>
      </c>
      <c r="E108" s="150">
        <v>21.665666999999999</v>
      </c>
      <c r="F108" s="150">
        <v>114.483717</v>
      </c>
      <c r="G108" s="128" t="s">
        <v>168</v>
      </c>
      <c r="H108" s="151">
        <v>6460</v>
      </c>
      <c r="I108" s="151">
        <v>90</v>
      </c>
      <c r="J108" s="151">
        <v>6740</v>
      </c>
      <c r="K108" s="151">
        <v>308</v>
      </c>
      <c r="L108" s="151">
        <v>306</v>
      </c>
      <c r="M108" s="153" t="s">
        <v>818</v>
      </c>
      <c r="N108" s="130" t="s">
        <v>339</v>
      </c>
      <c r="O108" s="153" t="s">
        <v>818</v>
      </c>
      <c r="P108" s="153" t="s">
        <v>819</v>
      </c>
      <c r="Q108" s="153" t="s">
        <v>172</v>
      </c>
      <c r="R108" s="131">
        <f>(1.25+1.5)/2</f>
        <v>1.375</v>
      </c>
      <c r="S108" s="112" t="s">
        <v>175</v>
      </c>
      <c r="T108" s="130">
        <v>1</v>
      </c>
      <c r="U108" s="132" t="s">
        <v>173</v>
      </c>
      <c r="V108" s="133">
        <v>0.01</v>
      </c>
      <c r="W108" s="132" t="s">
        <v>174</v>
      </c>
      <c r="X108" s="133">
        <v>0.01</v>
      </c>
      <c r="Y108" s="133">
        <v>5.0000000000000001E-3</v>
      </c>
      <c r="Z108" s="133">
        <v>0.13</v>
      </c>
      <c r="AA108" s="133">
        <v>0.15</v>
      </c>
      <c r="AB108" s="133">
        <f>0.02*R108</f>
        <v>2.75E-2</v>
      </c>
      <c r="AC108" s="134">
        <v>0</v>
      </c>
      <c r="AD108" s="134">
        <v>0</v>
      </c>
      <c r="AE108" s="134">
        <v>0.5</v>
      </c>
      <c r="AF108" s="134">
        <v>0</v>
      </c>
      <c r="AG108" s="134">
        <v>0.1</v>
      </c>
      <c r="AH108" s="134">
        <v>0</v>
      </c>
      <c r="AI108" s="134">
        <v>0</v>
      </c>
      <c r="AJ108" s="134">
        <v>0</v>
      </c>
      <c r="AK108" s="134" t="s">
        <v>175</v>
      </c>
      <c r="AL108" s="122" t="s">
        <v>175</v>
      </c>
      <c r="AM108" s="122">
        <f>-65-1.38-0.88-0.146</f>
        <v>-67.405999999999992</v>
      </c>
      <c r="AN108" s="134" t="s">
        <v>176</v>
      </c>
      <c r="AO108" s="134" t="s">
        <v>177</v>
      </c>
      <c r="AP108" s="135">
        <f>SQRT(SUMSQ(IF(OR(Y108="nd",Y108="nd"),0,Y108),IF(OR(Z108="nd",Z108="nd"),0,Z108),IF(OR(AA108="nd",AA108="nd"),0,AA108),IF(OR(AB108="nd",AB108="nd"),0,AB108),IF(OR(AC108="nd",AC108="nd"),0,AC108),IF(OR(AD108="nd",AD108="nd"),0,AD108),IF(OR(AE108="nd",AE108="nd"),0,AE108),IF(OR(AF108="nd",AF108="nd"),0,AF108),IF(OR(AG108="nd",AG108="nd"),0,AG108),IF(OR(AH108="nd",AH108="nd"),0,AH108),IF(OR(AI108="nd",AI108="nd"),0,AI108),IF(OR(AJ108="nd",AJ108="nd"),0,AJ108)))</f>
        <v>0.54788799037759539</v>
      </c>
      <c r="AQ108" s="135">
        <f t="shared" ref="AQ108" si="60">SQRT(SUMSQ(IF(OR(Y108="nd",Y108="nd"),0,Y108),IF(OR(Z108="nd",Z108="nd"),0,Z108),IF(OR(AA108="nd",AA108="nd"),0,AA108),IF(OR(AB108="nd",AB108="nd"),0,AB108),IF(OR(AC108="nd",AC108="nd"),0,AC108),IF(OR(AD108="nd",AD108="nd"),0,AD108),IF(OR(AE108="nd",AE108="nd"),0,AE108),IF(OR(AF108="nd",AF108="nd"),0,AF108),IF(OR(AG108="nd",AG108="nd"),0,AG108),IF(OR(AH108="nd",AH108="nd"),0,AH108),IF(OR(AI108="nd",AI108="nd"),0,AI108),IF(OR(AJ108="nd",AJ108="nd"),0,AJ108)))</f>
        <v>0.54788799037759539</v>
      </c>
      <c r="AR108" s="117">
        <v>-1.15913407014215</v>
      </c>
      <c r="AS108" s="117">
        <v>0</v>
      </c>
      <c r="AT108" s="117">
        <v>0</v>
      </c>
      <c r="AU108" s="117">
        <v>-0.61466796623446096</v>
      </c>
      <c r="AV108" s="117">
        <v>-0.36466796623446102</v>
      </c>
      <c r="AW108" s="117">
        <v>4.6171864937846002E-2</v>
      </c>
      <c r="AX108" s="117">
        <v>0.432011696110153</v>
      </c>
      <c r="AY108" s="117">
        <v>0.73201169611015304</v>
      </c>
      <c r="AZ108" s="117">
        <v>0</v>
      </c>
      <c r="BA108" s="117">
        <v>0</v>
      </c>
      <c r="BB108" s="117">
        <v>1.1809049168916901</v>
      </c>
      <c r="BC108" s="136">
        <v>-1</v>
      </c>
      <c r="BD108" s="136" t="s">
        <v>178</v>
      </c>
      <c r="BE108" s="152" t="s">
        <v>702</v>
      </c>
      <c r="BF108" s="152" t="s">
        <v>829</v>
      </c>
      <c r="BG108" s="120" t="s">
        <v>678</v>
      </c>
      <c r="BH108" s="136" t="str">
        <f t="shared" si="38"/>
        <v>&lt;MTL</v>
      </c>
      <c r="BI108" s="136">
        <f t="shared" si="39"/>
        <v>4.6171864937846002E-2</v>
      </c>
      <c r="BJ108" s="136" t="str">
        <f t="shared" si="41"/>
        <v>Nil</v>
      </c>
      <c r="BK108" s="136">
        <f t="shared" si="42"/>
        <v>0.05</v>
      </c>
      <c r="BL108" s="136" t="s">
        <v>736</v>
      </c>
      <c r="BM108" s="136" t="s">
        <v>175</v>
      </c>
      <c r="BN108" s="136" t="s">
        <v>175</v>
      </c>
      <c r="BO108" s="136" t="s">
        <v>736</v>
      </c>
      <c r="BP108" s="137" t="s">
        <v>175</v>
      </c>
      <c r="BQ108" s="137" t="s">
        <v>175</v>
      </c>
      <c r="BR108" s="137" t="s">
        <v>175</v>
      </c>
      <c r="BS108" s="137" t="s">
        <v>175</v>
      </c>
      <c r="BT108" s="138">
        <f t="shared" si="46"/>
        <v>-67.452171864937839</v>
      </c>
      <c r="BU108" s="138">
        <f t="shared" si="47"/>
        <v>0.55016474805279925</v>
      </c>
      <c r="BV108" s="138">
        <f t="shared" si="48"/>
        <v>0.55016474805279925</v>
      </c>
      <c r="BW108" s="53" t="s">
        <v>175</v>
      </c>
      <c r="BX108" s="53" t="s">
        <v>175</v>
      </c>
      <c r="BY108" s="53" t="s">
        <v>175</v>
      </c>
      <c r="BZ108" s="53" t="s">
        <v>175</v>
      </c>
      <c r="CA108" s="147">
        <v>1</v>
      </c>
      <c r="CB108" s="54">
        <v>0</v>
      </c>
    </row>
    <row r="109" spans="1:81">
      <c r="A109" s="123" t="s">
        <v>791</v>
      </c>
      <c r="B109" s="124" t="s">
        <v>767</v>
      </c>
      <c r="C109" s="148" t="s">
        <v>674</v>
      </c>
      <c r="D109" s="125" t="s">
        <v>167</v>
      </c>
      <c r="E109" s="150">
        <v>21.665666999999999</v>
      </c>
      <c r="F109" s="150">
        <v>114.483717</v>
      </c>
      <c r="G109" s="128" t="s">
        <v>168</v>
      </c>
      <c r="H109" s="151">
        <v>7040</v>
      </c>
      <c r="I109" s="151">
        <v>128.06248474865697</v>
      </c>
      <c r="J109" s="151">
        <v>7859</v>
      </c>
      <c r="K109" s="151">
        <v>305</v>
      </c>
      <c r="L109" s="151">
        <v>243</v>
      </c>
      <c r="M109" s="153" t="s">
        <v>818</v>
      </c>
      <c r="N109" s="130" t="s">
        <v>735</v>
      </c>
      <c r="O109" s="153" t="s">
        <v>818</v>
      </c>
      <c r="P109" s="153" t="s">
        <v>819</v>
      </c>
      <c r="Q109" s="153" t="s">
        <v>172</v>
      </c>
      <c r="R109" s="131">
        <f>(1.25+1.5)/2</f>
        <v>1.375</v>
      </c>
      <c r="S109" s="112" t="s">
        <v>175</v>
      </c>
      <c r="T109" s="130">
        <v>1</v>
      </c>
      <c r="U109" s="132" t="s">
        <v>173</v>
      </c>
      <c r="V109" s="133">
        <v>0.1</v>
      </c>
      <c r="W109" s="132" t="s">
        <v>174</v>
      </c>
      <c r="X109" s="133">
        <v>0.1</v>
      </c>
      <c r="Y109" s="133">
        <v>0.05</v>
      </c>
      <c r="Z109" s="133">
        <v>0.13</v>
      </c>
      <c r="AA109" s="133">
        <v>0.15</v>
      </c>
      <c r="AB109" s="133">
        <f>0.02*R109</f>
        <v>2.75E-2</v>
      </c>
      <c r="AC109" s="134">
        <v>0</v>
      </c>
      <c r="AD109" s="134">
        <v>0</v>
      </c>
      <c r="AE109" s="134">
        <v>0.5</v>
      </c>
      <c r="AF109" s="134">
        <v>0</v>
      </c>
      <c r="AG109" s="134">
        <v>0.1</v>
      </c>
      <c r="AH109" s="134">
        <v>0</v>
      </c>
      <c r="AI109" s="134">
        <v>0</v>
      </c>
      <c r="AJ109" s="134">
        <v>0</v>
      </c>
      <c r="AK109" s="134" t="s">
        <v>175</v>
      </c>
      <c r="AL109" s="122" t="s">
        <v>175</v>
      </c>
      <c r="AM109" s="122">
        <f>-65-1.38-0.88-0.146</f>
        <v>-67.405999999999992</v>
      </c>
      <c r="AN109" s="134" t="s">
        <v>176</v>
      </c>
      <c r="AO109" s="134" t="s">
        <v>177</v>
      </c>
      <c r="AP109" s="135">
        <f>SQRT(SUMSQ(IF(OR(Y109="nd",Y109="nd"),0,Y109),IF(OR(Z109="nd",Z109="nd"),0,Z109),IF(OR(AA109="nd",AA109="nd"),0,AA109),IF(OR(AB109="nd",AB109="nd"),0,AB109),IF(OR(AC109="nd",AC109="nd"),0,AC109),IF(OR(AD109="nd",AD109="nd"),0,AD109),IF(OR(AE109="nd",AE109="nd"),0,AE109),IF(OR(AF109="nd",AF109="nd"),0,AF109),IF(OR(AG109="nd",AG109="nd"),0,AG109),IF(OR(AH109="nd",AH109="nd"),0,AH109),IF(OR(AI109="nd",AI109="nd"),0,AI109),IF(OR(AJ109="nd",AJ109="nd"),0,AJ109)))</f>
        <v>0.55014202711663474</v>
      </c>
      <c r="AQ109" s="135">
        <f t="shared" ref="AQ109" si="61">SQRT(SUMSQ(IF(OR(Y109="nd",Y109="nd"),0,Y109),IF(OR(Z109="nd",Z109="nd"),0,Z109),IF(OR(AA109="nd",AA109="nd"),0,AA109),IF(OR(AB109="nd",AB109="nd"),0,AB109),IF(OR(AC109="nd",AC109="nd"),0,AC109),IF(OR(AD109="nd",AD109="nd"),0,AD109),IF(OR(AE109="nd",AE109="nd"),0,AE109),IF(OR(AF109="nd",AF109="nd"),0,AF109),IF(OR(AG109="nd",AG109="nd"),0,AG109),IF(OR(AH109="nd",AH109="nd"),0,AH109),IF(OR(AI109="nd",AI109="nd"),0,AI109),IF(OR(AJ109="nd",AJ109="nd"),0,AJ109)))</f>
        <v>0.55014202711663474</v>
      </c>
      <c r="AR109" s="117">
        <v>-1.15913407014215</v>
      </c>
      <c r="AS109" s="117">
        <v>0</v>
      </c>
      <c r="AT109" s="117">
        <v>0</v>
      </c>
      <c r="AU109" s="117">
        <v>-0.61466796623446096</v>
      </c>
      <c r="AV109" s="117">
        <v>-0.36466796623446102</v>
      </c>
      <c r="AW109" s="117">
        <v>4.6171864937846002E-2</v>
      </c>
      <c r="AX109" s="117">
        <v>0.432011696110153</v>
      </c>
      <c r="AY109" s="117">
        <v>0.73201169611015304</v>
      </c>
      <c r="AZ109" s="117">
        <v>0</v>
      </c>
      <c r="BA109" s="117">
        <v>0</v>
      </c>
      <c r="BB109" s="117">
        <v>1.1809049168916901</v>
      </c>
      <c r="BC109" s="136">
        <v>-1</v>
      </c>
      <c r="BD109" s="136" t="s">
        <v>178</v>
      </c>
      <c r="BE109" s="152" t="s">
        <v>702</v>
      </c>
      <c r="BF109" s="152" t="s">
        <v>829</v>
      </c>
      <c r="BG109" s="120" t="s">
        <v>678</v>
      </c>
      <c r="BH109" s="136" t="str">
        <f t="shared" si="38"/>
        <v>&lt;MTL</v>
      </c>
      <c r="BI109" s="136">
        <f t="shared" si="39"/>
        <v>4.6171864937846002E-2</v>
      </c>
      <c r="BJ109" s="136" t="str">
        <f t="shared" si="41"/>
        <v>Nil</v>
      </c>
      <c r="BK109" s="136">
        <f t="shared" si="42"/>
        <v>0.05</v>
      </c>
      <c r="BL109" s="136" t="s">
        <v>736</v>
      </c>
      <c r="BM109" s="136" t="s">
        <v>175</v>
      </c>
      <c r="BN109" s="136" t="s">
        <v>175</v>
      </c>
      <c r="BO109" s="136" t="s">
        <v>736</v>
      </c>
      <c r="BP109" s="137" t="s">
        <v>175</v>
      </c>
      <c r="BQ109" s="137" t="s">
        <v>175</v>
      </c>
      <c r="BR109" s="137" t="s">
        <v>175</v>
      </c>
      <c r="BS109" s="137" t="s">
        <v>175</v>
      </c>
      <c r="BT109" s="138">
        <f t="shared" si="46"/>
        <v>-67.452171864937839</v>
      </c>
      <c r="BU109" s="138">
        <f t="shared" si="47"/>
        <v>0.55240949484960888</v>
      </c>
      <c r="BV109" s="138">
        <f t="shared" si="48"/>
        <v>0.55240949484960888</v>
      </c>
      <c r="BW109" s="53" t="s">
        <v>175</v>
      </c>
      <c r="BX109" s="53" t="s">
        <v>175</v>
      </c>
      <c r="BY109" s="53" t="s">
        <v>175</v>
      </c>
      <c r="BZ109" s="53" t="s">
        <v>175</v>
      </c>
      <c r="CA109" s="147">
        <v>1</v>
      </c>
      <c r="CB109" s="54">
        <v>0</v>
      </c>
    </row>
    <row r="110" spans="1:81">
      <c r="A110" s="123" t="s">
        <v>792</v>
      </c>
      <c r="B110" s="124" t="s">
        <v>767</v>
      </c>
      <c r="C110" s="148" t="s">
        <v>674</v>
      </c>
      <c r="D110" s="125" t="s">
        <v>167</v>
      </c>
      <c r="E110" s="150">
        <v>21.665666999999999</v>
      </c>
      <c r="F110" s="150">
        <v>114.483717</v>
      </c>
      <c r="G110" s="128" t="s">
        <v>168</v>
      </c>
      <c r="H110" s="151">
        <v>8995</v>
      </c>
      <c r="I110" s="151">
        <v>119.26860441876563</v>
      </c>
      <c r="J110" s="151">
        <v>10085</v>
      </c>
      <c r="K110" s="151">
        <v>398</v>
      </c>
      <c r="L110" s="151">
        <v>388</v>
      </c>
      <c r="M110" s="153" t="s">
        <v>818</v>
      </c>
      <c r="N110" s="130" t="s">
        <v>735</v>
      </c>
      <c r="O110" s="153" t="s">
        <v>818</v>
      </c>
      <c r="P110" s="153" t="s">
        <v>819</v>
      </c>
      <c r="Q110" s="153" t="s">
        <v>172</v>
      </c>
      <c r="R110" s="131">
        <f>(1.5+1.75)/2</f>
        <v>1.625</v>
      </c>
      <c r="S110" s="112" t="s">
        <v>175</v>
      </c>
      <c r="T110" s="130">
        <v>1</v>
      </c>
      <c r="U110" s="132" t="s">
        <v>173</v>
      </c>
      <c r="V110" s="133">
        <v>0.1</v>
      </c>
      <c r="W110" s="132" t="s">
        <v>174</v>
      </c>
      <c r="X110" s="133">
        <v>0.1</v>
      </c>
      <c r="Y110" s="133">
        <v>0.05</v>
      </c>
      <c r="Z110" s="133">
        <v>0.13</v>
      </c>
      <c r="AA110" s="133">
        <v>0.15</v>
      </c>
      <c r="AB110" s="133">
        <f>0.02*R110</f>
        <v>3.2500000000000001E-2</v>
      </c>
      <c r="AC110" s="134">
        <v>0</v>
      </c>
      <c r="AD110" s="134">
        <v>0</v>
      </c>
      <c r="AE110" s="134">
        <v>0.5</v>
      </c>
      <c r="AF110" s="134">
        <v>0</v>
      </c>
      <c r="AG110" s="134">
        <v>0.1</v>
      </c>
      <c r="AH110" s="134">
        <v>0</v>
      </c>
      <c r="AI110" s="134">
        <v>0</v>
      </c>
      <c r="AJ110" s="134">
        <v>0</v>
      </c>
      <c r="AK110" s="134" t="s">
        <v>175</v>
      </c>
      <c r="AL110" s="122" t="s">
        <v>175</v>
      </c>
      <c r="AM110" s="122">
        <f>-65-1.63-0.88-0.146</f>
        <v>-67.655999999999992</v>
      </c>
      <c r="AN110" s="134" t="s">
        <v>176</v>
      </c>
      <c r="AO110" s="134" t="s">
        <v>177</v>
      </c>
      <c r="AP110" s="135">
        <f>SQRT(SUMSQ(IF(OR(Y110="nd",Y110="nd"),0,Y110),IF(OR(Z110="nd",Z110="nd"),0,Z110),IF(OR(AA110="nd",AA110="nd"),0,AA110),IF(OR(AB110="nd",AB110="nd"),0,AB110),IF(OR(AC110="nd",AC110="nd"),0,AC110),IF(OR(AD110="nd",AD110="nd"),0,AD110),IF(OR(AE110="nd",AE110="nd"),0,AE110),IF(OR(AF110="nd",AF110="nd"),0,AF110),IF(OR(AG110="nd",AG110="nd"),0,AG110),IF(OR(AH110="nd",AH110="nd"),0,AH110),IF(OR(AI110="nd",AI110="nd"),0,AI110),IF(OR(AJ110="nd",AJ110="nd"),0,AJ110)))</f>
        <v>0.55041461644836431</v>
      </c>
      <c r="AQ110" s="135">
        <f t="shared" ref="AQ110" si="62">SQRT(SUMSQ(IF(OR(Y110="nd",Y110="nd"),0,Y110),IF(OR(Z110="nd",Z110="nd"),0,Z110),IF(OR(AA110="nd",AA110="nd"),0,AA110),IF(OR(AB110="nd",AB110="nd"),0,AB110),IF(OR(AC110="nd",AC110="nd"),0,AC110),IF(OR(AD110="nd",AD110="nd"),0,AD110),IF(OR(AE110="nd",AE110="nd"),0,AE110),IF(OR(AF110="nd",AF110="nd"),0,AF110),IF(OR(AG110="nd",AG110="nd"),0,AG110),IF(OR(AH110="nd",AH110="nd"),0,AH110),IF(OR(AI110="nd",AI110="nd"),0,AI110),IF(OR(AJ110="nd",AJ110="nd"),0,AJ110)))</f>
        <v>0.55041461644836431</v>
      </c>
      <c r="AR110" s="117">
        <v>-1.15913407014215</v>
      </c>
      <c r="AS110" s="117">
        <v>0</v>
      </c>
      <c r="AT110" s="117">
        <v>0</v>
      </c>
      <c r="AU110" s="117">
        <v>-0.61466796623446096</v>
      </c>
      <c r="AV110" s="117">
        <v>-0.36466796623446102</v>
      </c>
      <c r="AW110" s="117">
        <v>4.6171864937846002E-2</v>
      </c>
      <c r="AX110" s="117">
        <v>0.432011696110153</v>
      </c>
      <c r="AY110" s="117">
        <v>0.73201169611015304</v>
      </c>
      <c r="AZ110" s="117">
        <v>0</v>
      </c>
      <c r="BA110" s="117">
        <v>0</v>
      </c>
      <c r="BB110" s="117">
        <v>1.1809049168916901</v>
      </c>
      <c r="BC110" s="136">
        <v>-1</v>
      </c>
      <c r="BD110" s="136" t="s">
        <v>178</v>
      </c>
      <c r="BE110" s="152" t="s">
        <v>702</v>
      </c>
      <c r="BF110" s="152" t="s">
        <v>829</v>
      </c>
      <c r="BG110" s="120" t="s">
        <v>678</v>
      </c>
      <c r="BH110" s="136" t="str">
        <f t="shared" si="38"/>
        <v>&lt;MTL</v>
      </c>
      <c r="BI110" s="136">
        <f t="shared" si="39"/>
        <v>4.6171864937846002E-2</v>
      </c>
      <c r="BJ110" s="136" t="str">
        <f t="shared" si="41"/>
        <v>Nil</v>
      </c>
      <c r="BK110" s="136">
        <f t="shared" si="42"/>
        <v>0.05</v>
      </c>
      <c r="BL110" s="136" t="s">
        <v>736</v>
      </c>
      <c r="BM110" s="136" t="s">
        <v>175</v>
      </c>
      <c r="BN110" s="136" t="s">
        <v>175</v>
      </c>
      <c r="BO110" s="136" t="s">
        <v>736</v>
      </c>
      <c r="BP110" s="137" t="s">
        <v>175</v>
      </c>
      <c r="BQ110" s="137" t="s">
        <v>175</v>
      </c>
      <c r="BR110" s="137" t="s">
        <v>175</v>
      </c>
      <c r="BS110" s="137" t="s">
        <v>175</v>
      </c>
      <c r="BT110" s="138">
        <f t="shared" si="46"/>
        <v>-67.702171864937839</v>
      </c>
      <c r="BU110" s="138">
        <f t="shared" si="47"/>
        <v>0.5526809658383397</v>
      </c>
      <c r="BV110" s="138">
        <f t="shared" si="48"/>
        <v>0.5526809658383397</v>
      </c>
      <c r="BW110" s="53" t="s">
        <v>175</v>
      </c>
      <c r="BX110" s="53" t="s">
        <v>175</v>
      </c>
      <c r="BY110" s="53" t="s">
        <v>175</v>
      </c>
      <c r="BZ110" s="53" t="s">
        <v>175</v>
      </c>
      <c r="CA110" s="147">
        <v>1</v>
      </c>
      <c r="CB110" s="54">
        <v>0</v>
      </c>
    </row>
    <row r="111" spans="1:81">
      <c r="A111" s="123" t="s">
        <v>793</v>
      </c>
      <c r="B111" s="124" t="s">
        <v>767</v>
      </c>
      <c r="C111" s="148" t="s">
        <v>674</v>
      </c>
      <c r="D111" s="125" t="s">
        <v>167</v>
      </c>
      <c r="E111" s="150">
        <v>21.665666999999999</v>
      </c>
      <c r="F111" s="150">
        <v>114.483717</v>
      </c>
      <c r="G111" s="128" t="s">
        <v>168</v>
      </c>
      <c r="H111" s="151">
        <v>11440</v>
      </c>
      <c r="I111" s="151">
        <v>192.93781381574738</v>
      </c>
      <c r="J111" s="151">
        <v>13323</v>
      </c>
      <c r="K111" s="151">
        <v>425</v>
      </c>
      <c r="L111" s="151">
        <v>393</v>
      </c>
      <c r="M111" s="153" t="s">
        <v>819</v>
      </c>
      <c r="N111" s="130" t="s">
        <v>735</v>
      </c>
      <c r="O111" s="153" t="s">
        <v>818</v>
      </c>
      <c r="P111" s="153" t="s">
        <v>175</v>
      </c>
      <c r="Q111" s="153" t="s">
        <v>172</v>
      </c>
      <c r="R111" s="131">
        <f>(2+2.25)/2</f>
        <v>2.125</v>
      </c>
      <c r="S111" s="112" t="s">
        <v>175</v>
      </c>
      <c r="T111" s="130">
        <v>1</v>
      </c>
      <c r="U111" s="132" t="s">
        <v>173</v>
      </c>
      <c r="V111" s="133">
        <v>0.1</v>
      </c>
      <c r="W111" s="132" t="s">
        <v>174</v>
      </c>
      <c r="X111" s="133">
        <v>0.1</v>
      </c>
      <c r="Y111" s="133">
        <v>0.05</v>
      </c>
      <c r="Z111" s="133">
        <v>0.13</v>
      </c>
      <c r="AA111" s="133">
        <v>0.15</v>
      </c>
      <c r="AB111" s="133">
        <f>0.02*R111</f>
        <v>4.2500000000000003E-2</v>
      </c>
      <c r="AC111" s="134">
        <v>0</v>
      </c>
      <c r="AD111" s="134">
        <v>0</v>
      </c>
      <c r="AE111" s="134">
        <v>0.5</v>
      </c>
      <c r="AF111" s="134">
        <v>0</v>
      </c>
      <c r="AG111" s="134">
        <v>0.1</v>
      </c>
      <c r="AH111" s="134">
        <v>0</v>
      </c>
      <c r="AI111" s="134">
        <v>0</v>
      </c>
      <c r="AJ111" s="134">
        <v>0</v>
      </c>
      <c r="AK111" s="134" t="s">
        <v>175</v>
      </c>
      <c r="AL111" s="122" t="s">
        <v>175</v>
      </c>
      <c r="AM111" s="122">
        <f>-65-2.13-0.88-0.146</f>
        <v>-68.155999999999992</v>
      </c>
      <c r="AN111" s="134" t="s">
        <v>176</v>
      </c>
      <c r="AO111" s="134" t="s">
        <v>177</v>
      </c>
      <c r="AP111" s="135">
        <f t="shared" ref="AP111:AP118" si="63">SQRT(SUMSQ(IF(OR(Y111="nd",Y111="nd"),0,Y111),IF(OR(Z111="nd",Z111="nd"),0,Z111),IF(OR(AA111="nd",AA111="nd"),0,AA111),IF(OR(AB111="nd",AB111="nd"),0,AB111),IF(OR(AC111="nd",AC111="nd"),0,AC111),IF(OR(AD111="nd",AD111="nd"),0,AD111),IF(OR(AE111="nd",AE111="nd"),0,AE111),IF(OR(AF111="nd",AF111="nd"),0,AF111),IF(OR(AG111="nd",AG111="nd"),0,AG111),IF(OR(AH111="nd",AH111="nd"),0,AH111),IF(OR(AI111="nd",AI111="nd"),0,AI111),IF(OR(AJ111="nd",AJ111="nd"),0,AJ111)))</f>
        <v>0.55109549989089912</v>
      </c>
      <c r="AQ111" s="135">
        <f t="shared" ref="AQ111:AQ118" si="64">SQRT(SUMSQ(IF(OR(Y111="nd",Y111="nd"),0,Y111),IF(OR(Z111="nd",Z111="nd"),0,Z111),IF(OR(AA111="nd",AA111="nd"),0,AA111),IF(OR(AB111="nd",AB111="nd"),0,AB111),IF(OR(AC111="nd",AC111="nd"),0,AC111),IF(OR(AD111="nd",AD111="nd"),0,AD111),IF(OR(AE111="nd",AE111="nd"),0,AE111),IF(OR(AF111="nd",AF111="nd"),0,AF111),IF(OR(AG111="nd",AG111="nd"),0,AG111),IF(OR(AH111="nd",AH111="nd"),0,AH111),IF(OR(AI111="nd",AI111="nd"),0,AI111),IF(OR(AJ111="nd",AJ111="nd"),0,AJ111)))</f>
        <v>0.55109549989089912</v>
      </c>
      <c r="AR111" s="117">
        <v>-1.15913407014215</v>
      </c>
      <c r="AS111" s="117">
        <v>0</v>
      </c>
      <c r="AT111" s="117">
        <v>0</v>
      </c>
      <c r="AU111" s="117">
        <v>-0.61466796623446096</v>
      </c>
      <c r="AV111" s="117">
        <v>-0.36466796623446102</v>
      </c>
      <c r="AW111" s="117">
        <v>4.6171864937846002E-2</v>
      </c>
      <c r="AX111" s="117">
        <v>0.432011696110153</v>
      </c>
      <c r="AY111" s="117">
        <v>0.73201169611015304</v>
      </c>
      <c r="AZ111" s="117">
        <v>0</v>
      </c>
      <c r="BA111" s="117">
        <v>0</v>
      </c>
      <c r="BB111" s="117">
        <v>1.1809049168916901</v>
      </c>
      <c r="BC111" s="136">
        <v>-1</v>
      </c>
      <c r="BD111" s="136" t="s">
        <v>178</v>
      </c>
      <c r="BE111" s="152" t="s">
        <v>843</v>
      </c>
      <c r="BF111" s="152" t="s">
        <v>822</v>
      </c>
      <c r="BG111" s="120" t="s">
        <v>662</v>
      </c>
      <c r="BH111" s="136" t="str">
        <f t="shared" si="38"/>
        <v>&lt;HAT</v>
      </c>
      <c r="BI111" s="136">
        <f t="shared" si="39"/>
        <v>1.1809049168916901</v>
      </c>
      <c r="BJ111" s="136" t="str">
        <f t="shared" si="41"/>
        <v>Nil</v>
      </c>
      <c r="BK111" s="136">
        <f t="shared" si="42"/>
        <v>0.18</v>
      </c>
      <c r="BL111" s="136" t="s">
        <v>736</v>
      </c>
      <c r="BM111" s="136" t="s">
        <v>175</v>
      </c>
      <c r="BN111" s="136" t="s">
        <v>175</v>
      </c>
      <c r="BO111" s="136" t="s">
        <v>736</v>
      </c>
      <c r="BP111" s="137" t="s">
        <v>175</v>
      </c>
      <c r="BQ111" s="137" t="s">
        <v>175</v>
      </c>
      <c r="BR111" s="137" t="s">
        <v>175</v>
      </c>
      <c r="BS111" s="137" t="s">
        <v>175</v>
      </c>
      <c r="BT111" s="138">
        <f t="shared" si="46"/>
        <v>-69.336904916891683</v>
      </c>
      <c r="BU111" s="138">
        <f t="shared" si="47"/>
        <v>0.57974671193547966</v>
      </c>
      <c r="BV111" s="138">
        <f t="shared" si="48"/>
        <v>0.57974671193547966</v>
      </c>
      <c r="BW111" s="53" t="s">
        <v>175</v>
      </c>
      <c r="BX111" s="53" t="s">
        <v>175</v>
      </c>
      <c r="BY111" s="53" t="s">
        <v>175</v>
      </c>
      <c r="BZ111" s="53" t="s">
        <v>175</v>
      </c>
      <c r="CA111" s="147">
        <v>1</v>
      </c>
      <c r="CB111" s="54">
        <v>0</v>
      </c>
    </row>
    <row r="112" spans="1:81">
      <c r="A112" s="123" t="s">
        <v>794</v>
      </c>
      <c r="B112" s="124" t="s">
        <v>767</v>
      </c>
      <c r="C112" s="148" t="s">
        <v>674</v>
      </c>
      <c r="D112" s="125" t="s">
        <v>167</v>
      </c>
      <c r="E112" s="150">
        <v>21.665666999999999</v>
      </c>
      <c r="F112" s="150">
        <v>114.483717</v>
      </c>
      <c r="G112" s="128" t="s">
        <v>168</v>
      </c>
      <c r="H112" s="151">
        <v>9140</v>
      </c>
      <c r="I112" s="151">
        <v>100</v>
      </c>
      <c r="J112" s="151">
        <v>9722</v>
      </c>
      <c r="K112" s="151">
        <v>385</v>
      </c>
      <c r="L112" s="151">
        <v>298</v>
      </c>
      <c r="M112" s="153" t="s">
        <v>819</v>
      </c>
      <c r="N112" s="130" t="s">
        <v>339</v>
      </c>
      <c r="O112" s="153" t="s">
        <v>818</v>
      </c>
      <c r="P112" s="153" t="s">
        <v>175</v>
      </c>
      <c r="Q112" s="153" t="s">
        <v>172</v>
      </c>
      <c r="R112" s="131">
        <f t="shared" ref="R112:R118" si="65">(2+2.25)/2</f>
        <v>2.125</v>
      </c>
      <c r="S112" s="112" t="s">
        <v>175</v>
      </c>
      <c r="T112" s="130">
        <v>1</v>
      </c>
      <c r="U112" s="132" t="s">
        <v>173</v>
      </c>
      <c r="V112" s="133">
        <v>0.01</v>
      </c>
      <c r="W112" s="132" t="s">
        <v>174</v>
      </c>
      <c r="X112" s="133">
        <v>0.01</v>
      </c>
      <c r="Y112" s="133">
        <v>5.0000000000000001E-3</v>
      </c>
      <c r="Z112" s="133">
        <v>0.13</v>
      </c>
      <c r="AA112" s="133">
        <v>0.15</v>
      </c>
      <c r="AB112" s="133">
        <f>0.02*R112</f>
        <v>4.2500000000000003E-2</v>
      </c>
      <c r="AC112" s="134">
        <v>0</v>
      </c>
      <c r="AD112" s="134">
        <v>0</v>
      </c>
      <c r="AE112" s="134">
        <v>0.5</v>
      </c>
      <c r="AF112" s="134">
        <v>0</v>
      </c>
      <c r="AG112" s="134">
        <v>0.1</v>
      </c>
      <c r="AH112" s="134">
        <v>0</v>
      </c>
      <c r="AI112" s="134">
        <v>0</v>
      </c>
      <c r="AJ112" s="134">
        <v>0</v>
      </c>
      <c r="AK112" s="134" t="s">
        <v>175</v>
      </c>
      <c r="AL112" s="122" t="s">
        <v>175</v>
      </c>
      <c r="AM112" s="122">
        <f t="shared" ref="AM112:AM118" si="66">-65-2.13-0.88-0.146</f>
        <v>-68.155999999999992</v>
      </c>
      <c r="AN112" s="134" t="s">
        <v>176</v>
      </c>
      <c r="AO112" s="134" t="s">
        <v>177</v>
      </c>
      <c r="AP112" s="135">
        <f t="shared" si="63"/>
        <v>0.54884537895476537</v>
      </c>
      <c r="AQ112" s="135">
        <f t="shared" si="64"/>
        <v>0.54884537895476537</v>
      </c>
      <c r="AR112" s="117">
        <v>-1.15913407014215</v>
      </c>
      <c r="AS112" s="117">
        <v>0</v>
      </c>
      <c r="AT112" s="117">
        <v>0</v>
      </c>
      <c r="AU112" s="117">
        <v>-0.61466796623446096</v>
      </c>
      <c r="AV112" s="117">
        <v>-0.36466796623446102</v>
      </c>
      <c r="AW112" s="117">
        <v>4.6171864937846002E-2</v>
      </c>
      <c r="AX112" s="117">
        <v>0.432011696110153</v>
      </c>
      <c r="AY112" s="117">
        <v>0.73201169611015304</v>
      </c>
      <c r="AZ112" s="117">
        <v>0</v>
      </c>
      <c r="BA112" s="117">
        <v>0</v>
      </c>
      <c r="BB112" s="117">
        <v>1.1809049168916901</v>
      </c>
      <c r="BC112" s="136">
        <v>-1</v>
      </c>
      <c r="BD112" s="136" t="s">
        <v>178</v>
      </c>
      <c r="BE112" s="152" t="s">
        <v>843</v>
      </c>
      <c r="BF112" s="152" t="s">
        <v>822</v>
      </c>
      <c r="BG112" s="120" t="s">
        <v>662</v>
      </c>
      <c r="BH112" s="136" t="str">
        <f t="shared" si="38"/>
        <v>&lt;HAT</v>
      </c>
      <c r="BI112" s="136">
        <f t="shared" si="39"/>
        <v>1.1809049168916901</v>
      </c>
      <c r="BJ112" s="136" t="str">
        <f t="shared" si="41"/>
        <v>Nil</v>
      </c>
      <c r="BK112" s="136">
        <f t="shared" si="42"/>
        <v>0.18</v>
      </c>
      <c r="BL112" s="136" t="s">
        <v>736</v>
      </c>
      <c r="BM112" s="136" t="s">
        <v>175</v>
      </c>
      <c r="BN112" s="136" t="s">
        <v>175</v>
      </c>
      <c r="BO112" s="136" t="s">
        <v>736</v>
      </c>
      <c r="BP112" s="137" t="s">
        <v>175</v>
      </c>
      <c r="BQ112" s="137" t="s">
        <v>175</v>
      </c>
      <c r="BR112" s="137" t="s">
        <v>175</v>
      </c>
      <c r="BS112" s="137" t="s">
        <v>175</v>
      </c>
      <c r="BT112" s="138">
        <f t="shared" si="46"/>
        <v>-69.336904916891683</v>
      </c>
      <c r="BU112" s="138">
        <f t="shared" si="47"/>
        <v>0.57760821496928172</v>
      </c>
      <c r="BV112" s="138">
        <f t="shared" si="48"/>
        <v>0.57760821496928172</v>
      </c>
      <c r="BW112" s="53" t="s">
        <v>175</v>
      </c>
      <c r="BX112" s="53" t="s">
        <v>175</v>
      </c>
      <c r="BY112" s="53" t="s">
        <v>175</v>
      </c>
      <c r="BZ112" s="53" t="s">
        <v>175</v>
      </c>
      <c r="CA112" s="147">
        <v>1</v>
      </c>
      <c r="CB112" s="54">
        <v>0</v>
      </c>
    </row>
    <row r="113" spans="1:80">
      <c r="A113" s="123" t="s">
        <v>795</v>
      </c>
      <c r="B113" s="124" t="s">
        <v>767</v>
      </c>
      <c r="C113" s="148" t="s">
        <v>674</v>
      </c>
      <c r="D113" s="125" t="s">
        <v>167</v>
      </c>
      <c r="E113" s="150">
        <v>21.665666999999999</v>
      </c>
      <c r="F113" s="150">
        <v>114.483717</v>
      </c>
      <c r="G113" s="128" t="s">
        <v>168</v>
      </c>
      <c r="H113" s="151">
        <v>9120</v>
      </c>
      <c r="I113" s="151">
        <v>90</v>
      </c>
      <c r="J113" s="151">
        <v>9694</v>
      </c>
      <c r="K113" s="151">
        <v>383</v>
      </c>
      <c r="L113" s="151">
        <v>280</v>
      </c>
      <c r="M113" s="153" t="s">
        <v>819</v>
      </c>
      <c r="N113" s="130" t="s">
        <v>339</v>
      </c>
      <c r="O113" s="153" t="s">
        <v>818</v>
      </c>
      <c r="P113" s="153" t="s">
        <v>175</v>
      </c>
      <c r="Q113" s="153" t="s">
        <v>172</v>
      </c>
      <c r="R113" s="131">
        <f t="shared" si="65"/>
        <v>2.125</v>
      </c>
      <c r="S113" s="112" t="s">
        <v>175</v>
      </c>
      <c r="T113" s="130">
        <v>1</v>
      </c>
      <c r="U113" s="132" t="s">
        <v>173</v>
      </c>
      <c r="V113" s="133">
        <v>0.01</v>
      </c>
      <c r="W113" s="132" t="s">
        <v>174</v>
      </c>
      <c r="X113" s="133">
        <v>0.01</v>
      </c>
      <c r="Y113" s="133">
        <v>5.0000000000000001E-3</v>
      </c>
      <c r="Z113" s="133">
        <v>0.13</v>
      </c>
      <c r="AA113" s="133">
        <v>0.15</v>
      </c>
      <c r="AB113" s="133">
        <f t="shared" ref="AB113:AB117" si="67">0.02*R113</f>
        <v>4.2500000000000003E-2</v>
      </c>
      <c r="AC113" s="134">
        <v>0</v>
      </c>
      <c r="AD113" s="134">
        <v>0</v>
      </c>
      <c r="AE113" s="134">
        <v>0.5</v>
      </c>
      <c r="AF113" s="134">
        <v>0</v>
      </c>
      <c r="AG113" s="134">
        <v>0.1</v>
      </c>
      <c r="AH113" s="134">
        <v>0</v>
      </c>
      <c r="AI113" s="134">
        <v>0</v>
      </c>
      <c r="AJ113" s="134">
        <v>0</v>
      </c>
      <c r="AK113" s="134" t="s">
        <v>175</v>
      </c>
      <c r="AL113" s="122" t="s">
        <v>175</v>
      </c>
      <c r="AM113" s="122">
        <f t="shared" si="66"/>
        <v>-68.155999999999992</v>
      </c>
      <c r="AN113" s="134" t="s">
        <v>176</v>
      </c>
      <c r="AO113" s="134" t="s">
        <v>177</v>
      </c>
      <c r="AP113" s="135">
        <f t="shared" si="63"/>
        <v>0.54884537895476537</v>
      </c>
      <c r="AQ113" s="135">
        <f t="shared" si="64"/>
        <v>0.54884537895476537</v>
      </c>
      <c r="AR113" s="117">
        <v>-1.15913407014215</v>
      </c>
      <c r="AS113" s="117">
        <v>0</v>
      </c>
      <c r="AT113" s="117">
        <v>0</v>
      </c>
      <c r="AU113" s="117">
        <v>-0.61466796623446096</v>
      </c>
      <c r="AV113" s="117">
        <v>-0.36466796623446102</v>
      </c>
      <c r="AW113" s="117">
        <v>4.6171864937846002E-2</v>
      </c>
      <c r="AX113" s="117">
        <v>0.432011696110153</v>
      </c>
      <c r="AY113" s="117">
        <v>0.73201169611015304</v>
      </c>
      <c r="AZ113" s="117">
        <v>0</v>
      </c>
      <c r="BA113" s="117">
        <v>0</v>
      </c>
      <c r="BB113" s="117">
        <v>1.1809049168916901</v>
      </c>
      <c r="BC113" s="136">
        <v>-1</v>
      </c>
      <c r="BD113" s="136" t="s">
        <v>178</v>
      </c>
      <c r="BE113" s="152" t="s">
        <v>843</v>
      </c>
      <c r="BF113" s="152" t="s">
        <v>822</v>
      </c>
      <c r="BG113" s="120" t="s">
        <v>662</v>
      </c>
      <c r="BH113" s="136" t="str">
        <f t="shared" si="38"/>
        <v>&lt;HAT</v>
      </c>
      <c r="BI113" s="136">
        <f t="shared" si="39"/>
        <v>1.1809049168916901</v>
      </c>
      <c r="BJ113" s="136" t="str">
        <f t="shared" si="41"/>
        <v>Nil</v>
      </c>
      <c r="BK113" s="136">
        <f t="shared" si="42"/>
        <v>0.18</v>
      </c>
      <c r="BL113" s="136" t="s">
        <v>736</v>
      </c>
      <c r="BM113" s="136" t="s">
        <v>175</v>
      </c>
      <c r="BN113" s="136" t="s">
        <v>175</v>
      </c>
      <c r="BO113" s="136" t="s">
        <v>736</v>
      </c>
      <c r="BP113" s="137" t="s">
        <v>175</v>
      </c>
      <c r="BQ113" s="137" t="s">
        <v>175</v>
      </c>
      <c r="BR113" s="137" t="s">
        <v>175</v>
      </c>
      <c r="BS113" s="137" t="s">
        <v>175</v>
      </c>
      <c r="BT113" s="138">
        <f t="shared" si="46"/>
        <v>-69.336904916891683</v>
      </c>
      <c r="BU113" s="138">
        <f t="shared" si="47"/>
        <v>0.57760821496928172</v>
      </c>
      <c r="BV113" s="138">
        <f t="shared" si="48"/>
        <v>0.57760821496928172</v>
      </c>
      <c r="BW113" s="53" t="s">
        <v>175</v>
      </c>
      <c r="BX113" s="53" t="s">
        <v>175</v>
      </c>
      <c r="BY113" s="53" t="s">
        <v>175</v>
      </c>
      <c r="BZ113" s="53" t="s">
        <v>175</v>
      </c>
      <c r="CA113" s="147">
        <v>1</v>
      </c>
      <c r="CB113" s="54">
        <v>0</v>
      </c>
    </row>
    <row r="114" spans="1:80">
      <c r="A114" s="123" t="s">
        <v>796</v>
      </c>
      <c r="B114" s="124" t="s">
        <v>767</v>
      </c>
      <c r="C114" s="148" t="s">
        <v>674</v>
      </c>
      <c r="D114" s="125" t="s">
        <v>167</v>
      </c>
      <c r="E114" s="150">
        <v>21.665666999999999</v>
      </c>
      <c r="F114" s="150">
        <v>114.483717</v>
      </c>
      <c r="G114" s="128" t="s">
        <v>168</v>
      </c>
      <c r="H114" s="151">
        <v>9940</v>
      </c>
      <c r="I114" s="151">
        <v>100</v>
      </c>
      <c r="J114" s="151">
        <v>10814</v>
      </c>
      <c r="K114" s="151">
        <v>357</v>
      </c>
      <c r="L114" s="151">
        <v>372</v>
      </c>
      <c r="M114" s="153" t="s">
        <v>819</v>
      </c>
      <c r="N114" s="130" t="s">
        <v>339</v>
      </c>
      <c r="O114" s="153" t="s">
        <v>818</v>
      </c>
      <c r="P114" s="153" t="s">
        <v>175</v>
      </c>
      <c r="Q114" s="153" t="s">
        <v>172</v>
      </c>
      <c r="R114" s="131">
        <f t="shared" si="65"/>
        <v>2.125</v>
      </c>
      <c r="S114" s="112" t="s">
        <v>175</v>
      </c>
      <c r="T114" s="130">
        <v>1</v>
      </c>
      <c r="U114" s="132" t="s">
        <v>173</v>
      </c>
      <c r="V114" s="133">
        <v>0.01</v>
      </c>
      <c r="W114" s="132" t="s">
        <v>174</v>
      </c>
      <c r="X114" s="133">
        <v>0.01</v>
      </c>
      <c r="Y114" s="133">
        <v>5.0000000000000001E-3</v>
      </c>
      <c r="Z114" s="133">
        <v>0.13</v>
      </c>
      <c r="AA114" s="133">
        <v>0.15</v>
      </c>
      <c r="AB114" s="133">
        <f t="shared" si="67"/>
        <v>4.2500000000000003E-2</v>
      </c>
      <c r="AC114" s="134">
        <v>0</v>
      </c>
      <c r="AD114" s="134">
        <v>0</v>
      </c>
      <c r="AE114" s="134">
        <v>0.5</v>
      </c>
      <c r="AF114" s="134">
        <v>0</v>
      </c>
      <c r="AG114" s="134">
        <v>0.1</v>
      </c>
      <c r="AH114" s="134">
        <v>0</v>
      </c>
      <c r="AI114" s="134">
        <v>0</v>
      </c>
      <c r="AJ114" s="134">
        <v>0</v>
      </c>
      <c r="AK114" s="134" t="s">
        <v>175</v>
      </c>
      <c r="AL114" s="122" t="s">
        <v>175</v>
      </c>
      <c r="AM114" s="122">
        <f t="shared" si="66"/>
        <v>-68.155999999999992</v>
      </c>
      <c r="AN114" s="134" t="s">
        <v>176</v>
      </c>
      <c r="AO114" s="134" t="s">
        <v>177</v>
      </c>
      <c r="AP114" s="135">
        <f t="shared" si="63"/>
        <v>0.54884537895476537</v>
      </c>
      <c r="AQ114" s="135">
        <f t="shared" si="64"/>
        <v>0.54884537895476537</v>
      </c>
      <c r="AR114" s="117">
        <v>-1.15913407014215</v>
      </c>
      <c r="AS114" s="117">
        <v>0</v>
      </c>
      <c r="AT114" s="117">
        <v>0</v>
      </c>
      <c r="AU114" s="117">
        <v>-0.61466796623446096</v>
      </c>
      <c r="AV114" s="117">
        <v>-0.36466796623446102</v>
      </c>
      <c r="AW114" s="117">
        <v>4.6171864937846002E-2</v>
      </c>
      <c r="AX114" s="117">
        <v>0.432011696110153</v>
      </c>
      <c r="AY114" s="117">
        <v>0.73201169611015304</v>
      </c>
      <c r="AZ114" s="117">
        <v>0</v>
      </c>
      <c r="BA114" s="117">
        <v>0</v>
      </c>
      <c r="BB114" s="117">
        <v>1.1809049168916901</v>
      </c>
      <c r="BC114" s="136">
        <v>-1</v>
      </c>
      <c r="BD114" s="136" t="s">
        <v>178</v>
      </c>
      <c r="BE114" s="152" t="s">
        <v>843</v>
      </c>
      <c r="BF114" s="152" t="s">
        <v>822</v>
      </c>
      <c r="BG114" s="120" t="s">
        <v>662</v>
      </c>
      <c r="BH114" s="136" t="str">
        <f t="shared" si="38"/>
        <v>&lt;HAT</v>
      </c>
      <c r="BI114" s="136">
        <f t="shared" si="39"/>
        <v>1.1809049168916901</v>
      </c>
      <c r="BJ114" s="136" t="str">
        <f t="shared" si="41"/>
        <v>Nil</v>
      </c>
      <c r="BK114" s="136">
        <f t="shared" si="42"/>
        <v>0.18</v>
      </c>
      <c r="BL114" s="136" t="s">
        <v>736</v>
      </c>
      <c r="BM114" s="136" t="s">
        <v>175</v>
      </c>
      <c r="BN114" s="136" t="s">
        <v>175</v>
      </c>
      <c r="BO114" s="136" t="s">
        <v>736</v>
      </c>
      <c r="BP114" s="137" t="s">
        <v>175</v>
      </c>
      <c r="BQ114" s="137" t="s">
        <v>175</v>
      </c>
      <c r="BR114" s="137" t="s">
        <v>175</v>
      </c>
      <c r="BS114" s="137" t="s">
        <v>175</v>
      </c>
      <c r="BT114" s="138">
        <f t="shared" si="46"/>
        <v>-69.336904916891683</v>
      </c>
      <c r="BU114" s="138">
        <f t="shared" si="47"/>
        <v>0.57760821496928172</v>
      </c>
      <c r="BV114" s="138">
        <f t="shared" si="48"/>
        <v>0.57760821496928172</v>
      </c>
      <c r="BW114" s="53" t="s">
        <v>175</v>
      </c>
      <c r="BX114" s="53" t="s">
        <v>175</v>
      </c>
      <c r="BY114" s="53" t="s">
        <v>175</v>
      </c>
      <c r="BZ114" s="53" t="s">
        <v>175</v>
      </c>
      <c r="CA114" s="147">
        <v>1</v>
      </c>
      <c r="CB114" s="54">
        <v>0</v>
      </c>
    </row>
    <row r="115" spans="1:80">
      <c r="A115" s="123" t="s">
        <v>797</v>
      </c>
      <c r="B115" s="124" t="s">
        <v>767</v>
      </c>
      <c r="C115" s="148" t="s">
        <v>674</v>
      </c>
      <c r="D115" s="125" t="s">
        <v>167</v>
      </c>
      <c r="E115" s="150">
        <v>21.665666999999999</v>
      </c>
      <c r="F115" s="150">
        <v>114.483717</v>
      </c>
      <c r="G115" s="128" t="s">
        <v>168</v>
      </c>
      <c r="H115" s="151">
        <v>10320</v>
      </c>
      <c r="I115" s="151">
        <v>100</v>
      </c>
      <c r="J115" s="151">
        <v>11343</v>
      </c>
      <c r="K115" s="151">
        <v>424</v>
      </c>
      <c r="L115" s="151">
        <v>348</v>
      </c>
      <c r="M115" s="153" t="s">
        <v>819</v>
      </c>
      <c r="N115" s="130" t="s">
        <v>339</v>
      </c>
      <c r="O115" s="153" t="s">
        <v>818</v>
      </c>
      <c r="P115" s="153" t="s">
        <v>175</v>
      </c>
      <c r="Q115" s="153" t="s">
        <v>172</v>
      </c>
      <c r="R115" s="131">
        <f t="shared" si="65"/>
        <v>2.125</v>
      </c>
      <c r="S115" s="112" t="s">
        <v>175</v>
      </c>
      <c r="T115" s="130">
        <v>1</v>
      </c>
      <c r="U115" s="132" t="s">
        <v>173</v>
      </c>
      <c r="V115" s="133">
        <v>0.01</v>
      </c>
      <c r="W115" s="132" t="s">
        <v>174</v>
      </c>
      <c r="X115" s="133">
        <v>0.01</v>
      </c>
      <c r="Y115" s="133">
        <v>5.0000000000000001E-3</v>
      </c>
      <c r="Z115" s="133">
        <v>0.13</v>
      </c>
      <c r="AA115" s="133">
        <v>0.15</v>
      </c>
      <c r="AB115" s="133">
        <f t="shared" si="67"/>
        <v>4.2500000000000003E-2</v>
      </c>
      <c r="AC115" s="134">
        <v>0</v>
      </c>
      <c r="AD115" s="134">
        <v>0</v>
      </c>
      <c r="AE115" s="134">
        <v>0.5</v>
      </c>
      <c r="AF115" s="134">
        <v>0</v>
      </c>
      <c r="AG115" s="134">
        <v>0.1</v>
      </c>
      <c r="AH115" s="134">
        <v>0</v>
      </c>
      <c r="AI115" s="134">
        <v>0</v>
      </c>
      <c r="AJ115" s="134">
        <v>0</v>
      </c>
      <c r="AK115" s="134" t="s">
        <v>175</v>
      </c>
      <c r="AL115" s="122" t="s">
        <v>175</v>
      </c>
      <c r="AM115" s="122">
        <f t="shared" si="66"/>
        <v>-68.155999999999992</v>
      </c>
      <c r="AN115" s="134" t="s">
        <v>176</v>
      </c>
      <c r="AO115" s="134" t="s">
        <v>177</v>
      </c>
      <c r="AP115" s="135">
        <f t="shared" si="63"/>
        <v>0.54884537895476537</v>
      </c>
      <c r="AQ115" s="135">
        <f t="shared" si="64"/>
        <v>0.54884537895476537</v>
      </c>
      <c r="AR115" s="117">
        <v>-1.15913407014215</v>
      </c>
      <c r="AS115" s="117">
        <v>0</v>
      </c>
      <c r="AT115" s="117">
        <v>0</v>
      </c>
      <c r="AU115" s="117">
        <v>-0.61466796623446096</v>
      </c>
      <c r="AV115" s="117">
        <v>-0.36466796623446102</v>
      </c>
      <c r="AW115" s="117">
        <v>4.6171864937846002E-2</v>
      </c>
      <c r="AX115" s="117">
        <v>0.432011696110153</v>
      </c>
      <c r="AY115" s="117">
        <v>0.73201169611015304</v>
      </c>
      <c r="AZ115" s="117">
        <v>0</v>
      </c>
      <c r="BA115" s="117">
        <v>0</v>
      </c>
      <c r="BB115" s="117">
        <v>1.1809049168916901</v>
      </c>
      <c r="BC115" s="136">
        <v>-1</v>
      </c>
      <c r="BD115" s="136" t="s">
        <v>178</v>
      </c>
      <c r="BE115" s="152" t="s">
        <v>843</v>
      </c>
      <c r="BF115" s="152" t="s">
        <v>822</v>
      </c>
      <c r="BG115" s="120" t="s">
        <v>662</v>
      </c>
      <c r="BH115" s="136" t="str">
        <f t="shared" si="38"/>
        <v>&lt;HAT</v>
      </c>
      <c r="BI115" s="136">
        <f t="shared" si="39"/>
        <v>1.1809049168916901</v>
      </c>
      <c r="BJ115" s="136" t="str">
        <f t="shared" si="41"/>
        <v>Nil</v>
      </c>
      <c r="BK115" s="136">
        <f t="shared" si="42"/>
        <v>0.18</v>
      </c>
      <c r="BL115" s="136" t="s">
        <v>736</v>
      </c>
      <c r="BM115" s="136" t="s">
        <v>175</v>
      </c>
      <c r="BN115" s="136" t="s">
        <v>175</v>
      </c>
      <c r="BO115" s="136" t="s">
        <v>736</v>
      </c>
      <c r="BP115" s="137" t="s">
        <v>175</v>
      </c>
      <c r="BQ115" s="137" t="s">
        <v>175</v>
      </c>
      <c r="BR115" s="137" t="s">
        <v>175</v>
      </c>
      <c r="BS115" s="137" t="s">
        <v>175</v>
      </c>
      <c r="BT115" s="138">
        <f t="shared" si="46"/>
        <v>-69.336904916891683</v>
      </c>
      <c r="BU115" s="138">
        <f t="shared" si="47"/>
        <v>0.57760821496928172</v>
      </c>
      <c r="BV115" s="138">
        <f t="shared" si="48"/>
        <v>0.57760821496928172</v>
      </c>
      <c r="BW115" s="53" t="s">
        <v>175</v>
      </c>
      <c r="BX115" s="53" t="s">
        <v>175</v>
      </c>
      <c r="BY115" s="53" t="s">
        <v>175</v>
      </c>
      <c r="BZ115" s="53" t="s">
        <v>175</v>
      </c>
      <c r="CA115" s="147">
        <v>1</v>
      </c>
      <c r="CB115" s="54">
        <v>0</v>
      </c>
    </row>
    <row r="116" spans="1:80">
      <c r="A116" s="123" t="s">
        <v>798</v>
      </c>
      <c r="B116" s="124" t="s">
        <v>767</v>
      </c>
      <c r="C116" s="148" t="s">
        <v>674</v>
      </c>
      <c r="D116" s="125" t="s">
        <v>167</v>
      </c>
      <c r="E116" s="150">
        <v>21.665666999999999</v>
      </c>
      <c r="F116" s="150">
        <v>114.483717</v>
      </c>
      <c r="G116" s="128" t="s">
        <v>168</v>
      </c>
      <c r="H116" s="151">
        <v>10170</v>
      </c>
      <c r="I116" s="151">
        <v>110</v>
      </c>
      <c r="J116" s="151">
        <v>11120</v>
      </c>
      <c r="K116" s="151">
        <v>424</v>
      </c>
      <c r="L116" s="151">
        <v>426</v>
      </c>
      <c r="M116" s="153" t="s">
        <v>819</v>
      </c>
      <c r="N116" s="130" t="s">
        <v>339</v>
      </c>
      <c r="O116" s="153" t="s">
        <v>818</v>
      </c>
      <c r="P116" s="153" t="s">
        <v>175</v>
      </c>
      <c r="Q116" s="153" t="s">
        <v>172</v>
      </c>
      <c r="R116" s="131">
        <f t="shared" si="65"/>
        <v>2.125</v>
      </c>
      <c r="S116" s="112" t="s">
        <v>175</v>
      </c>
      <c r="T116" s="130">
        <v>1</v>
      </c>
      <c r="U116" s="132" t="s">
        <v>173</v>
      </c>
      <c r="V116" s="133">
        <v>0.01</v>
      </c>
      <c r="W116" s="132" t="s">
        <v>174</v>
      </c>
      <c r="X116" s="133">
        <v>0.01</v>
      </c>
      <c r="Y116" s="133">
        <v>5.0000000000000001E-3</v>
      </c>
      <c r="Z116" s="133">
        <v>0.13</v>
      </c>
      <c r="AA116" s="133">
        <v>0.15</v>
      </c>
      <c r="AB116" s="133">
        <f t="shared" si="67"/>
        <v>4.2500000000000003E-2</v>
      </c>
      <c r="AC116" s="134">
        <v>0</v>
      </c>
      <c r="AD116" s="134">
        <v>0</v>
      </c>
      <c r="AE116" s="134">
        <v>0.5</v>
      </c>
      <c r="AF116" s="134">
        <v>0</v>
      </c>
      <c r="AG116" s="134">
        <v>0.1</v>
      </c>
      <c r="AH116" s="134">
        <v>0</v>
      </c>
      <c r="AI116" s="134">
        <v>0</v>
      </c>
      <c r="AJ116" s="134">
        <v>0</v>
      </c>
      <c r="AK116" s="134" t="s">
        <v>175</v>
      </c>
      <c r="AL116" s="122" t="s">
        <v>175</v>
      </c>
      <c r="AM116" s="122">
        <f t="shared" si="66"/>
        <v>-68.155999999999992</v>
      </c>
      <c r="AN116" s="134" t="s">
        <v>176</v>
      </c>
      <c r="AO116" s="134" t="s">
        <v>177</v>
      </c>
      <c r="AP116" s="135">
        <f t="shared" si="63"/>
        <v>0.54884537895476537</v>
      </c>
      <c r="AQ116" s="135">
        <f t="shared" si="64"/>
        <v>0.54884537895476537</v>
      </c>
      <c r="AR116" s="117">
        <v>-1.15913407014215</v>
      </c>
      <c r="AS116" s="117">
        <v>0</v>
      </c>
      <c r="AT116" s="117">
        <v>0</v>
      </c>
      <c r="AU116" s="117">
        <v>-0.61466796623446096</v>
      </c>
      <c r="AV116" s="117">
        <v>-0.36466796623446102</v>
      </c>
      <c r="AW116" s="117">
        <v>4.6171864937846002E-2</v>
      </c>
      <c r="AX116" s="117">
        <v>0.432011696110153</v>
      </c>
      <c r="AY116" s="117">
        <v>0.73201169611015304</v>
      </c>
      <c r="AZ116" s="117">
        <v>0</v>
      </c>
      <c r="BA116" s="117">
        <v>0</v>
      </c>
      <c r="BB116" s="117">
        <v>1.1809049168916901</v>
      </c>
      <c r="BC116" s="136">
        <v>-1</v>
      </c>
      <c r="BD116" s="136" t="s">
        <v>178</v>
      </c>
      <c r="BE116" s="152" t="s">
        <v>843</v>
      </c>
      <c r="BF116" s="152" t="s">
        <v>822</v>
      </c>
      <c r="BG116" s="120" t="s">
        <v>662</v>
      </c>
      <c r="BH116" s="136" t="str">
        <f t="shared" si="38"/>
        <v>&lt;HAT</v>
      </c>
      <c r="BI116" s="136">
        <f t="shared" si="39"/>
        <v>1.1809049168916901</v>
      </c>
      <c r="BJ116" s="136" t="str">
        <f t="shared" si="41"/>
        <v>Nil</v>
      </c>
      <c r="BK116" s="136">
        <f t="shared" si="42"/>
        <v>0.18</v>
      </c>
      <c r="BL116" s="136" t="s">
        <v>736</v>
      </c>
      <c r="BM116" s="136" t="s">
        <v>175</v>
      </c>
      <c r="BN116" s="136" t="s">
        <v>175</v>
      </c>
      <c r="BO116" s="136" t="s">
        <v>736</v>
      </c>
      <c r="BP116" s="137" t="s">
        <v>175</v>
      </c>
      <c r="BQ116" s="137" t="s">
        <v>175</v>
      </c>
      <c r="BR116" s="137" t="s">
        <v>175</v>
      </c>
      <c r="BS116" s="137" t="s">
        <v>175</v>
      </c>
      <c r="BT116" s="138">
        <f t="shared" si="46"/>
        <v>-69.336904916891683</v>
      </c>
      <c r="BU116" s="138">
        <f t="shared" si="47"/>
        <v>0.57760821496928172</v>
      </c>
      <c r="BV116" s="138">
        <f t="shared" si="48"/>
        <v>0.57760821496928172</v>
      </c>
      <c r="BW116" s="53" t="s">
        <v>175</v>
      </c>
      <c r="BX116" s="53" t="s">
        <v>175</v>
      </c>
      <c r="BY116" s="53" t="s">
        <v>175</v>
      </c>
      <c r="BZ116" s="53" t="s">
        <v>175</v>
      </c>
      <c r="CA116" s="147">
        <v>1</v>
      </c>
      <c r="CB116" s="54">
        <v>0</v>
      </c>
    </row>
    <row r="117" spans="1:80">
      <c r="A117" s="123" t="s">
        <v>799</v>
      </c>
      <c r="B117" s="124" t="s">
        <v>767</v>
      </c>
      <c r="C117" s="148" t="s">
        <v>674</v>
      </c>
      <c r="D117" s="125" t="s">
        <v>167</v>
      </c>
      <c r="E117" s="150">
        <v>21.665666999999999</v>
      </c>
      <c r="F117" s="150">
        <v>114.483717</v>
      </c>
      <c r="G117" s="128" t="s">
        <v>168</v>
      </c>
      <c r="H117" s="151">
        <v>8990</v>
      </c>
      <c r="I117" s="151">
        <v>100</v>
      </c>
      <c r="J117" s="151">
        <v>9529</v>
      </c>
      <c r="K117" s="151">
        <v>379</v>
      </c>
      <c r="L117" s="151">
        <v>335</v>
      </c>
      <c r="M117" s="153" t="s">
        <v>819</v>
      </c>
      <c r="N117" s="130" t="s">
        <v>339</v>
      </c>
      <c r="O117" s="153" t="s">
        <v>818</v>
      </c>
      <c r="P117" s="153" t="s">
        <v>175</v>
      </c>
      <c r="Q117" s="153" t="s">
        <v>172</v>
      </c>
      <c r="R117" s="131">
        <f t="shared" si="65"/>
        <v>2.125</v>
      </c>
      <c r="S117" s="112" t="s">
        <v>175</v>
      </c>
      <c r="T117" s="130">
        <v>1</v>
      </c>
      <c r="U117" s="132" t="s">
        <v>173</v>
      </c>
      <c r="V117" s="133">
        <v>0.01</v>
      </c>
      <c r="W117" s="132" t="s">
        <v>174</v>
      </c>
      <c r="X117" s="133">
        <v>0.01</v>
      </c>
      <c r="Y117" s="133">
        <v>5.0000000000000001E-3</v>
      </c>
      <c r="Z117" s="133">
        <v>0.13</v>
      </c>
      <c r="AA117" s="133">
        <v>0.15</v>
      </c>
      <c r="AB117" s="133">
        <f t="shared" si="67"/>
        <v>4.2500000000000003E-2</v>
      </c>
      <c r="AC117" s="134">
        <v>0</v>
      </c>
      <c r="AD117" s="134">
        <v>0</v>
      </c>
      <c r="AE117" s="134">
        <v>0.5</v>
      </c>
      <c r="AF117" s="134">
        <v>0</v>
      </c>
      <c r="AG117" s="134">
        <v>0.1</v>
      </c>
      <c r="AH117" s="134">
        <v>0</v>
      </c>
      <c r="AI117" s="134">
        <v>0</v>
      </c>
      <c r="AJ117" s="134">
        <v>0</v>
      </c>
      <c r="AK117" s="134" t="s">
        <v>175</v>
      </c>
      <c r="AL117" s="122" t="s">
        <v>175</v>
      </c>
      <c r="AM117" s="122">
        <f t="shared" si="66"/>
        <v>-68.155999999999992</v>
      </c>
      <c r="AN117" s="134" t="s">
        <v>176</v>
      </c>
      <c r="AO117" s="134" t="s">
        <v>177</v>
      </c>
      <c r="AP117" s="135">
        <f t="shared" si="63"/>
        <v>0.54884537895476537</v>
      </c>
      <c r="AQ117" s="135">
        <f t="shared" si="64"/>
        <v>0.54884537895476537</v>
      </c>
      <c r="AR117" s="117">
        <v>-1.15913407014215</v>
      </c>
      <c r="AS117" s="117">
        <v>0</v>
      </c>
      <c r="AT117" s="117">
        <v>0</v>
      </c>
      <c r="AU117" s="117">
        <v>-0.61466796623446096</v>
      </c>
      <c r="AV117" s="117">
        <v>-0.36466796623446102</v>
      </c>
      <c r="AW117" s="117">
        <v>4.6171864937846002E-2</v>
      </c>
      <c r="AX117" s="117">
        <v>0.432011696110153</v>
      </c>
      <c r="AY117" s="117">
        <v>0.73201169611015304</v>
      </c>
      <c r="AZ117" s="117">
        <v>0</v>
      </c>
      <c r="BA117" s="117">
        <v>0</v>
      </c>
      <c r="BB117" s="117">
        <v>1.1809049168916901</v>
      </c>
      <c r="BC117" s="136">
        <v>-1</v>
      </c>
      <c r="BD117" s="136" t="s">
        <v>178</v>
      </c>
      <c r="BE117" s="152" t="s">
        <v>843</v>
      </c>
      <c r="BF117" s="152" t="s">
        <v>822</v>
      </c>
      <c r="BG117" s="120" t="s">
        <v>662</v>
      </c>
      <c r="BH117" s="136" t="str">
        <f t="shared" si="38"/>
        <v>&lt;HAT</v>
      </c>
      <c r="BI117" s="136">
        <f t="shared" si="39"/>
        <v>1.1809049168916901</v>
      </c>
      <c r="BJ117" s="136" t="str">
        <f t="shared" si="41"/>
        <v>Nil</v>
      </c>
      <c r="BK117" s="136">
        <f t="shared" si="42"/>
        <v>0.18</v>
      </c>
      <c r="BL117" s="136" t="s">
        <v>736</v>
      </c>
      <c r="BM117" s="136" t="s">
        <v>175</v>
      </c>
      <c r="BN117" s="136" t="s">
        <v>175</v>
      </c>
      <c r="BO117" s="136" t="s">
        <v>736</v>
      </c>
      <c r="BP117" s="137" t="s">
        <v>175</v>
      </c>
      <c r="BQ117" s="137" t="s">
        <v>175</v>
      </c>
      <c r="BR117" s="137" t="s">
        <v>175</v>
      </c>
      <c r="BS117" s="137" t="s">
        <v>175</v>
      </c>
      <c r="BT117" s="138">
        <f t="shared" si="46"/>
        <v>-69.336904916891683</v>
      </c>
      <c r="BU117" s="138">
        <f t="shared" si="47"/>
        <v>0.57760821496928172</v>
      </c>
      <c r="BV117" s="138">
        <f t="shared" si="48"/>
        <v>0.57760821496928172</v>
      </c>
      <c r="BW117" s="53" t="s">
        <v>175</v>
      </c>
      <c r="BX117" s="53" t="s">
        <v>175</v>
      </c>
      <c r="BY117" s="53" t="s">
        <v>175</v>
      </c>
      <c r="BZ117" s="53" t="s">
        <v>175</v>
      </c>
      <c r="CA117" s="147">
        <v>1</v>
      </c>
      <c r="CB117" s="54">
        <v>0</v>
      </c>
    </row>
    <row r="118" spans="1:80">
      <c r="A118" s="123" t="s">
        <v>801</v>
      </c>
      <c r="B118" s="124" t="s">
        <v>767</v>
      </c>
      <c r="C118" s="148" t="s">
        <v>674</v>
      </c>
      <c r="D118" s="125" t="s">
        <v>167</v>
      </c>
      <c r="E118" s="150">
        <v>21.665666999999999</v>
      </c>
      <c r="F118" s="150">
        <v>114.483717</v>
      </c>
      <c r="G118" s="128" t="s">
        <v>168</v>
      </c>
      <c r="H118" s="151">
        <v>11020</v>
      </c>
      <c r="I118" s="151">
        <v>152.3975065412817</v>
      </c>
      <c r="J118" s="151">
        <v>12947</v>
      </c>
      <c r="K118" s="151">
        <v>232</v>
      </c>
      <c r="L118" s="151">
        <v>223</v>
      </c>
      <c r="M118" s="153" t="s">
        <v>819</v>
      </c>
      <c r="N118" s="130" t="s">
        <v>735</v>
      </c>
      <c r="O118" s="153" t="s">
        <v>818</v>
      </c>
      <c r="P118" s="153" t="s">
        <v>175</v>
      </c>
      <c r="Q118" s="153" t="s">
        <v>172</v>
      </c>
      <c r="R118" s="131">
        <f t="shared" si="65"/>
        <v>2.125</v>
      </c>
      <c r="S118" s="112" t="s">
        <v>175</v>
      </c>
      <c r="T118" s="130">
        <v>1</v>
      </c>
      <c r="U118" s="132" t="s">
        <v>173</v>
      </c>
      <c r="V118" s="133">
        <v>0.1</v>
      </c>
      <c r="W118" s="132" t="s">
        <v>174</v>
      </c>
      <c r="X118" s="133">
        <v>0.1</v>
      </c>
      <c r="Y118" s="133">
        <v>0.05</v>
      </c>
      <c r="Z118" s="133">
        <v>0.13</v>
      </c>
      <c r="AA118" s="133">
        <v>0.15</v>
      </c>
      <c r="AB118" s="133">
        <f>0.02*R118</f>
        <v>4.2500000000000003E-2</v>
      </c>
      <c r="AC118" s="134">
        <v>0</v>
      </c>
      <c r="AD118" s="134">
        <v>0</v>
      </c>
      <c r="AE118" s="134">
        <v>0.5</v>
      </c>
      <c r="AF118" s="134">
        <v>0</v>
      </c>
      <c r="AG118" s="134">
        <v>0.1</v>
      </c>
      <c r="AH118" s="134">
        <v>0</v>
      </c>
      <c r="AI118" s="134">
        <v>0</v>
      </c>
      <c r="AJ118" s="134">
        <v>0</v>
      </c>
      <c r="AK118" s="134" t="s">
        <v>175</v>
      </c>
      <c r="AL118" s="122" t="s">
        <v>175</v>
      </c>
      <c r="AM118" s="122">
        <f t="shared" si="66"/>
        <v>-68.155999999999992</v>
      </c>
      <c r="AN118" s="134" t="s">
        <v>176</v>
      </c>
      <c r="AO118" s="134" t="s">
        <v>177</v>
      </c>
      <c r="AP118" s="135">
        <f t="shared" si="63"/>
        <v>0.55109549989089912</v>
      </c>
      <c r="AQ118" s="135">
        <f t="shared" si="64"/>
        <v>0.55109549989089912</v>
      </c>
      <c r="AR118" s="117">
        <v>-1.15913407014215</v>
      </c>
      <c r="AS118" s="117">
        <v>0</v>
      </c>
      <c r="AT118" s="117">
        <v>0</v>
      </c>
      <c r="AU118" s="117">
        <v>-0.61466796623446096</v>
      </c>
      <c r="AV118" s="117">
        <v>-0.36466796623446102</v>
      </c>
      <c r="AW118" s="117">
        <v>4.6171864937846002E-2</v>
      </c>
      <c r="AX118" s="117">
        <v>0.432011696110153</v>
      </c>
      <c r="AY118" s="117">
        <v>0.73201169611015304</v>
      </c>
      <c r="AZ118" s="117">
        <v>0</v>
      </c>
      <c r="BA118" s="117">
        <v>0</v>
      </c>
      <c r="BB118" s="117">
        <v>1.1809049168916901</v>
      </c>
      <c r="BC118" s="136">
        <v>-1</v>
      </c>
      <c r="BD118" s="136" t="s">
        <v>178</v>
      </c>
      <c r="BE118" s="152" t="s">
        <v>843</v>
      </c>
      <c r="BF118" s="152" t="s">
        <v>822</v>
      </c>
      <c r="BG118" s="120" t="s">
        <v>662</v>
      </c>
      <c r="BH118" s="136" t="str">
        <f t="shared" si="38"/>
        <v>&lt;HAT</v>
      </c>
      <c r="BI118" s="136">
        <f t="shared" si="39"/>
        <v>1.1809049168916901</v>
      </c>
      <c r="BJ118" s="136" t="str">
        <f t="shared" si="41"/>
        <v>Nil</v>
      </c>
      <c r="BK118" s="136">
        <f t="shared" si="42"/>
        <v>0.18</v>
      </c>
      <c r="BL118" s="136" t="s">
        <v>736</v>
      </c>
      <c r="BM118" s="136" t="s">
        <v>175</v>
      </c>
      <c r="BN118" s="136" t="s">
        <v>175</v>
      </c>
      <c r="BO118" s="136" t="s">
        <v>736</v>
      </c>
      <c r="BP118" s="137" t="s">
        <v>175</v>
      </c>
      <c r="BQ118" s="137" t="s">
        <v>175</v>
      </c>
      <c r="BR118" s="137" t="s">
        <v>175</v>
      </c>
      <c r="BS118" s="137" t="s">
        <v>175</v>
      </c>
      <c r="BT118" s="138">
        <f t="shared" si="46"/>
        <v>-69.336904916891683</v>
      </c>
      <c r="BU118" s="138">
        <f t="shared" si="47"/>
        <v>0.57974671193547966</v>
      </c>
      <c r="BV118" s="138">
        <f t="shared" si="48"/>
        <v>0.57974671193547966</v>
      </c>
      <c r="BW118" s="53" t="s">
        <v>175</v>
      </c>
      <c r="BX118" s="53" t="s">
        <v>175</v>
      </c>
      <c r="BY118" s="53" t="s">
        <v>175</v>
      </c>
      <c r="BZ118" s="53" t="s">
        <v>175</v>
      </c>
      <c r="CA118" s="147">
        <v>1</v>
      </c>
      <c r="CB118" s="54">
        <v>0</v>
      </c>
    </row>
    <row r="119" spans="1:80">
      <c r="A119" s="123" t="s">
        <v>800</v>
      </c>
      <c r="B119" s="124" t="s">
        <v>767</v>
      </c>
      <c r="C119" s="148" t="s">
        <v>674</v>
      </c>
      <c r="D119" s="125" t="s">
        <v>167</v>
      </c>
      <c r="E119" s="150">
        <v>21.665666999999999</v>
      </c>
      <c r="F119" s="150">
        <v>114.483717</v>
      </c>
      <c r="G119" s="128" t="s">
        <v>168</v>
      </c>
      <c r="H119" s="151">
        <v>10300</v>
      </c>
      <c r="I119" s="151">
        <v>100</v>
      </c>
      <c r="J119" s="151">
        <v>11315</v>
      </c>
      <c r="K119" s="151">
        <v>427</v>
      </c>
      <c r="L119" s="151">
        <v>370</v>
      </c>
      <c r="M119" s="153" t="s">
        <v>819</v>
      </c>
      <c r="N119" s="130" t="s">
        <v>339</v>
      </c>
      <c r="O119" s="153" t="s">
        <v>818</v>
      </c>
      <c r="P119" s="153" t="s">
        <v>175</v>
      </c>
      <c r="Q119" s="153" t="s">
        <v>172</v>
      </c>
      <c r="R119" s="131">
        <f>(2.25+2.5)/2</f>
        <v>2.375</v>
      </c>
      <c r="S119" s="112" t="s">
        <v>175</v>
      </c>
      <c r="T119" s="130">
        <v>1</v>
      </c>
      <c r="U119" s="132" t="s">
        <v>173</v>
      </c>
      <c r="V119" s="133">
        <v>0.01</v>
      </c>
      <c r="W119" s="132" t="s">
        <v>174</v>
      </c>
      <c r="X119" s="133">
        <v>0.01</v>
      </c>
      <c r="Y119" s="133">
        <v>5.0000000000000001E-3</v>
      </c>
      <c r="Z119" s="133">
        <v>0.13</v>
      </c>
      <c r="AA119" s="133">
        <v>0.15</v>
      </c>
      <c r="AB119" s="133">
        <f t="shared" ref="AB119" si="68">0.02*R119</f>
        <v>4.7500000000000001E-2</v>
      </c>
      <c r="AC119" s="134">
        <v>0</v>
      </c>
      <c r="AD119" s="134">
        <v>0</v>
      </c>
      <c r="AE119" s="134">
        <v>0.5</v>
      </c>
      <c r="AF119" s="134">
        <v>0</v>
      </c>
      <c r="AG119" s="134">
        <v>0.1</v>
      </c>
      <c r="AH119" s="134">
        <v>0</v>
      </c>
      <c r="AI119" s="134">
        <v>0</v>
      </c>
      <c r="AJ119" s="134">
        <v>0</v>
      </c>
      <c r="AK119" s="134" t="s">
        <v>175</v>
      </c>
      <c r="AL119" s="122" t="s">
        <v>175</v>
      </c>
      <c r="AM119" s="122">
        <f>-65-2.38-0.88-0.146</f>
        <v>-68.405999999999992</v>
      </c>
      <c r="AN119" s="134" t="s">
        <v>176</v>
      </c>
      <c r="AO119" s="134" t="s">
        <v>177</v>
      </c>
      <c r="AP119" s="135">
        <f t="shared" ref="AP119" si="69">SQRT(SUMSQ(IF(OR(Y119="nd",Y119="nd"),0,Y119),IF(OR(Z119="nd",Z119="nd"),0,Z119),IF(OR(AA119="nd",AA119="nd"),0,AA119),IF(OR(AB119="nd",AB119="nd"),0,AB119),IF(OR(AC119="nd",AC119="nd"),0,AC119),IF(OR(AD119="nd",AD119="nd"),0,AD119),IF(OR(AE119="nd",AE119="nd"),0,AE119),IF(OR(AF119="nd",AF119="nd"),0,AF119),IF(OR(AG119="nd",AG119="nd"),0,AG119),IF(OR(AH119="nd",AH119="nd"),0,AH119),IF(OR(AI119="nd",AI119="nd"),0,AI119),IF(OR(AJ119="nd",AJ119="nd"),0,AJ119)))</f>
        <v>0.54925517749039021</v>
      </c>
      <c r="AQ119" s="135">
        <f t="shared" ref="AQ119" si="70">SQRT(SUMSQ(IF(OR(Y119="nd",Y119="nd"),0,Y119),IF(OR(Z119="nd",Z119="nd"),0,Z119),IF(OR(AA119="nd",AA119="nd"),0,AA119),IF(OR(AB119="nd",AB119="nd"),0,AB119),IF(OR(AC119="nd",AC119="nd"),0,AC119),IF(OR(AD119="nd",AD119="nd"),0,AD119),IF(OR(AE119="nd",AE119="nd"),0,AE119),IF(OR(AF119="nd",AF119="nd"),0,AF119),IF(OR(AG119="nd",AG119="nd"),0,AG119),IF(OR(AH119="nd",AH119="nd"),0,AH119),IF(OR(AI119="nd",AI119="nd"),0,AI119),IF(OR(AJ119="nd",AJ119="nd"),0,AJ119)))</f>
        <v>0.54925517749039021</v>
      </c>
      <c r="AR119" s="117">
        <v>-1.15913407014215</v>
      </c>
      <c r="AS119" s="117">
        <v>0</v>
      </c>
      <c r="AT119" s="117">
        <v>0</v>
      </c>
      <c r="AU119" s="117">
        <v>-0.61466796623446096</v>
      </c>
      <c r="AV119" s="117">
        <v>-0.36466796623446102</v>
      </c>
      <c r="AW119" s="117">
        <v>4.6171864937846002E-2</v>
      </c>
      <c r="AX119" s="117">
        <v>0.432011696110153</v>
      </c>
      <c r="AY119" s="117">
        <v>0.73201169611015304</v>
      </c>
      <c r="AZ119" s="117">
        <v>0</v>
      </c>
      <c r="BA119" s="117">
        <v>0</v>
      </c>
      <c r="BB119" s="117">
        <v>1.1809049168916901</v>
      </c>
      <c r="BC119" s="136">
        <v>-1</v>
      </c>
      <c r="BD119" s="136" t="s">
        <v>178</v>
      </c>
      <c r="BE119" s="152" t="s">
        <v>843</v>
      </c>
      <c r="BF119" s="152" t="s">
        <v>822</v>
      </c>
      <c r="BG119" s="120" t="s">
        <v>662</v>
      </c>
      <c r="BH119" s="136" t="str">
        <f t="shared" si="38"/>
        <v>&lt;HAT</v>
      </c>
      <c r="BI119" s="136">
        <f t="shared" si="39"/>
        <v>1.1809049168916901</v>
      </c>
      <c r="BJ119" s="136" t="str">
        <f t="shared" si="41"/>
        <v>Nil</v>
      </c>
      <c r="BK119" s="136">
        <f t="shared" si="42"/>
        <v>0.18</v>
      </c>
      <c r="BL119" s="136" t="s">
        <v>736</v>
      </c>
      <c r="BM119" s="136" t="s">
        <v>175</v>
      </c>
      <c r="BN119" s="136" t="s">
        <v>175</v>
      </c>
      <c r="BO119" s="136" t="s">
        <v>736</v>
      </c>
      <c r="BP119" s="137" t="s">
        <v>175</v>
      </c>
      <c r="BQ119" s="137" t="s">
        <v>175</v>
      </c>
      <c r="BR119" s="137" t="s">
        <v>175</v>
      </c>
      <c r="BS119" s="137" t="s">
        <v>175</v>
      </c>
      <c r="BT119" s="138">
        <f t="shared" si="46"/>
        <v>-69.586904916891683</v>
      </c>
      <c r="BU119" s="138">
        <f t="shared" si="47"/>
        <v>0.57799762110237107</v>
      </c>
      <c r="BV119" s="138">
        <f t="shared" si="48"/>
        <v>0.57799762110237107</v>
      </c>
      <c r="BW119" s="53" t="s">
        <v>175</v>
      </c>
      <c r="BX119" s="53" t="s">
        <v>175</v>
      </c>
      <c r="BY119" s="53" t="s">
        <v>175</v>
      </c>
      <c r="BZ119" s="53" t="s">
        <v>175</v>
      </c>
      <c r="CA119" s="147">
        <v>1</v>
      </c>
      <c r="CB119" s="54">
        <v>0</v>
      </c>
    </row>
    <row r="120" spans="1:80">
      <c r="A120" s="123" t="s">
        <v>802</v>
      </c>
      <c r="B120" s="124" t="s">
        <v>767</v>
      </c>
      <c r="C120" s="148" t="s">
        <v>674</v>
      </c>
      <c r="D120" s="125" t="s">
        <v>167</v>
      </c>
      <c r="E120" s="150">
        <v>21.665666999999999</v>
      </c>
      <c r="F120" s="150">
        <v>114.483717</v>
      </c>
      <c r="G120" s="128" t="s">
        <v>168</v>
      </c>
      <c r="H120" s="151">
        <v>12625</v>
      </c>
      <c r="I120" s="151">
        <v>176.13914953808538</v>
      </c>
      <c r="J120" s="151">
        <v>39840</v>
      </c>
      <c r="K120" s="151">
        <v>1109</v>
      </c>
      <c r="L120" s="151">
        <v>1133</v>
      </c>
      <c r="M120" s="153" t="s">
        <v>819</v>
      </c>
      <c r="N120" s="130" t="s">
        <v>735</v>
      </c>
      <c r="O120" s="153" t="s">
        <v>818</v>
      </c>
      <c r="P120" s="153" t="s">
        <v>175</v>
      </c>
      <c r="Q120" s="153" t="s">
        <v>172</v>
      </c>
      <c r="R120" s="131">
        <f t="shared" ref="R120" si="71">(2.25+2.5)/2</f>
        <v>2.375</v>
      </c>
      <c r="S120" s="112" t="s">
        <v>175</v>
      </c>
      <c r="T120" s="130">
        <v>1</v>
      </c>
      <c r="U120" s="132" t="s">
        <v>173</v>
      </c>
      <c r="V120" s="133">
        <v>0.1</v>
      </c>
      <c r="W120" s="132" t="s">
        <v>174</v>
      </c>
      <c r="X120" s="133">
        <v>0.1</v>
      </c>
      <c r="Y120" s="133">
        <v>0.05</v>
      </c>
      <c r="Z120" s="133">
        <v>0.13</v>
      </c>
      <c r="AA120" s="133">
        <v>0.15</v>
      </c>
      <c r="AB120" s="133">
        <f t="shared" ref="AB120:AB122" si="72">0.02*R120</f>
        <v>4.7500000000000001E-2</v>
      </c>
      <c r="AC120" s="134">
        <v>0</v>
      </c>
      <c r="AD120" s="134">
        <v>0</v>
      </c>
      <c r="AE120" s="134">
        <v>0.5</v>
      </c>
      <c r="AF120" s="134">
        <v>0</v>
      </c>
      <c r="AG120" s="134">
        <v>0.1</v>
      </c>
      <c r="AH120" s="134">
        <v>0</v>
      </c>
      <c r="AI120" s="134">
        <v>0</v>
      </c>
      <c r="AJ120" s="134">
        <v>0</v>
      </c>
      <c r="AK120" s="134" t="s">
        <v>175</v>
      </c>
      <c r="AL120" s="122" t="s">
        <v>175</v>
      </c>
      <c r="AM120" s="122">
        <f>-65-2.38-0.88-0.146</f>
        <v>-68.405999999999992</v>
      </c>
      <c r="AN120" s="134" t="s">
        <v>176</v>
      </c>
      <c r="AO120" s="134" t="s">
        <v>177</v>
      </c>
      <c r="AP120" s="135">
        <f>SQRT(SUMSQ(IF(OR(Y120="nd",Y120="nd"),0,Y120),IF(OR(Z120="nd",Z120="nd"),0,Z120),IF(OR(AA120="nd",AA120="nd"),0,AA120),IF(OR(AB120="nd",AB120="nd"),0,AB120),IF(OR(AC120="nd",AC120="nd"),0,AC120),IF(OR(AD120="nd",AD120="nd"),0,AD120),IF(OR(AE120="nd",AE120="nd"),0,AE120),IF(OR(AF120="nd",AF120="nd"),0,AF120),IF(OR(AG120="nd",AG120="nd"),0,AG120),IF(OR(AH120="nd",AH120="nd"),0,AH120),IF(OR(AI120="nd",AI120="nd"),0,AI120),IF(OR(AJ120="nd",AJ120="nd"),0,AJ120)))</f>
        <v>0.55150362646133166</v>
      </c>
      <c r="AQ120" s="135">
        <f t="shared" ref="AQ120:AQ122" si="73">SQRT(SUMSQ(IF(OR(Y120="nd",Y120="nd"),0,Y120),IF(OR(Z120="nd",Z120="nd"),0,Z120),IF(OR(AA120="nd",AA120="nd"),0,AA120),IF(OR(AB120="nd",AB120="nd"),0,AB120),IF(OR(AC120="nd",AC120="nd"),0,AC120),IF(OR(AD120="nd",AD120="nd"),0,AD120),IF(OR(AE120="nd",AE120="nd"),0,AE120),IF(OR(AF120="nd",AF120="nd"),0,AF120),IF(OR(AG120="nd",AG120="nd"),0,AG120),IF(OR(AH120="nd",AH120="nd"),0,AH120),IF(OR(AI120="nd",AI120="nd"),0,AI120),IF(OR(AJ120="nd",AJ120="nd"),0,AJ120)))</f>
        <v>0.55150362646133166</v>
      </c>
      <c r="AR120" s="117">
        <v>-1.15913407014215</v>
      </c>
      <c r="AS120" s="117">
        <v>0</v>
      </c>
      <c r="AT120" s="117">
        <v>0</v>
      </c>
      <c r="AU120" s="117">
        <v>-0.61466796623446096</v>
      </c>
      <c r="AV120" s="117">
        <v>-0.36466796623446102</v>
      </c>
      <c r="AW120" s="117">
        <v>4.6171864937846002E-2</v>
      </c>
      <c r="AX120" s="117">
        <v>0.432011696110153</v>
      </c>
      <c r="AY120" s="117">
        <v>0.73201169611015304</v>
      </c>
      <c r="AZ120" s="117">
        <v>0</v>
      </c>
      <c r="BA120" s="117">
        <v>0</v>
      </c>
      <c r="BB120" s="117">
        <v>1.1809049168916901</v>
      </c>
      <c r="BC120" s="136">
        <v>-1</v>
      </c>
      <c r="BD120" s="136" t="s">
        <v>178</v>
      </c>
      <c r="BE120" s="152" t="s">
        <v>843</v>
      </c>
      <c r="BF120" s="152" t="s">
        <v>822</v>
      </c>
      <c r="BG120" s="120" t="s">
        <v>662</v>
      </c>
      <c r="BH120" s="136" t="str">
        <f t="shared" si="38"/>
        <v>&lt;HAT</v>
      </c>
      <c r="BI120" s="136">
        <f t="shared" si="39"/>
        <v>1.1809049168916901</v>
      </c>
      <c r="BJ120" s="136" t="str">
        <f t="shared" si="41"/>
        <v>Nil</v>
      </c>
      <c r="BK120" s="136">
        <f t="shared" si="42"/>
        <v>0.18</v>
      </c>
      <c r="BL120" s="136" t="s">
        <v>736</v>
      </c>
      <c r="BM120" s="136" t="s">
        <v>175</v>
      </c>
      <c r="BN120" s="136" t="s">
        <v>175</v>
      </c>
      <c r="BO120" s="136" t="s">
        <v>736</v>
      </c>
      <c r="BP120" s="137" t="s">
        <v>175</v>
      </c>
      <c r="BQ120" s="137" t="s">
        <v>175</v>
      </c>
      <c r="BR120" s="137" t="s">
        <v>175</v>
      </c>
      <c r="BS120" s="137" t="s">
        <v>175</v>
      </c>
      <c r="BT120" s="138">
        <f>AM120-BI120</f>
        <v>-69.586904916891683</v>
      </c>
      <c r="BU120" s="138">
        <f t="shared" si="47"/>
        <v>0.58013468263843704</v>
      </c>
      <c r="BV120" s="138">
        <f t="shared" si="48"/>
        <v>0.58013468263843704</v>
      </c>
      <c r="BW120" s="53" t="s">
        <v>175</v>
      </c>
      <c r="BX120" s="53" t="s">
        <v>175</v>
      </c>
      <c r="BY120" s="53" t="s">
        <v>175</v>
      </c>
      <c r="BZ120" s="53" t="s">
        <v>175</v>
      </c>
      <c r="CA120" s="147">
        <v>1</v>
      </c>
      <c r="CB120" s="54">
        <v>0</v>
      </c>
    </row>
    <row r="121" spans="1:80">
      <c r="A121" s="123" t="s">
        <v>803</v>
      </c>
      <c r="B121" s="124" t="s">
        <v>767</v>
      </c>
      <c r="C121" s="148" t="s">
        <v>674</v>
      </c>
      <c r="D121" s="125" t="s">
        <v>167</v>
      </c>
      <c r="E121" s="150">
        <v>21.665783000000001</v>
      </c>
      <c r="F121" s="150">
        <v>114.57901699999999</v>
      </c>
      <c r="G121" s="128" t="s">
        <v>168</v>
      </c>
      <c r="H121" s="151">
        <v>3730</v>
      </c>
      <c r="I121" s="151">
        <v>80</v>
      </c>
      <c r="J121" s="151">
        <v>14938</v>
      </c>
      <c r="K121" s="151">
        <v>587</v>
      </c>
      <c r="L121" s="151">
        <v>734</v>
      </c>
      <c r="M121" s="153" t="s">
        <v>818</v>
      </c>
      <c r="N121" s="130" t="s">
        <v>339</v>
      </c>
      <c r="O121" s="153" t="s">
        <v>818</v>
      </c>
      <c r="P121" s="153" t="s">
        <v>819</v>
      </c>
      <c r="Q121" s="153" t="s">
        <v>172</v>
      </c>
      <c r="R121" s="131">
        <f>(0.75+1)/2</f>
        <v>0.875</v>
      </c>
      <c r="S121" s="112" t="s">
        <v>175</v>
      </c>
      <c r="T121" s="130">
        <v>1</v>
      </c>
      <c r="U121" s="132" t="s">
        <v>173</v>
      </c>
      <c r="V121" s="133">
        <v>0.01</v>
      </c>
      <c r="W121" s="132" t="s">
        <v>174</v>
      </c>
      <c r="X121" s="133">
        <v>0.01</v>
      </c>
      <c r="Y121" s="133">
        <v>5.0000000000000001E-3</v>
      </c>
      <c r="Z121" s="133">
        <v>0.13</v>
      </c>
      <c r="AA121" s="133">
        <v>0.15</v>
      </c>
      <c r="AB121" s="133">
        <f t="shared" si="72"/>
        <v>1.7500000000000002E-2</v>
      </c>
      <c r="AC121" s="134">
        <v>0</v>
      </c>
      <c r="AD121" s="134">
        <v>0</v>
      </c>
      <c r="AE121" s="134">
        <v>0.5</v>
      </c>
      <c r="AF121" s="134">
        <v>0</v>
      </c>
      <c r="AG121" s="134">
        <v>0.1</v>
      </c>
      <c r="AH121" s="134">
        <v>0</v>
      </c>
      <c r="AI121" s="134">
        <v>0</v>
      </c>
      <c r="AJ121" s="134">
        <v>0</v>
      </c>
      <c r="AK121" s="134" t="s">
        <v>175</v>
      </c>
      <c r="AL121" s="122" t="s">
        <v>175</v>
      </c>
      <c r="AM121" s="122">
        <f>-68-0.88-0.88-0.146</f>
        <v>-69.905999999999992</v>
      </c>
      <c r="AN121" s="134" t="s">
        <v>176</v>
      </c>
      <c r="AO121" s="134" t="s">
        <v>177</v>
      </c>
      <c r="AP121" s="135">
        <f>SQRT(SUMSQ(IF(OR(Y121="nd",Y121="nd"),0,Y121),IF(OR(Z121="nd",Z121="nd"),0,Z121),IF(OR(AA121="nd",AA121="nd"),0,AA121),IF(OR(AB121="nd",AB121="nd"),0,AB121),IF(OR(AC121="nd",AC121="nd"),0,AC121),IF(OR(AD121="nd",AD121="nd"),0,AD121),IF(OR(AE121="nd",AE121="nd"),0,AE121),IF(OR(AF121="nd",AF121="nd"),0,AF121),IF(OR(AG121="nd",AG121="nd"),0,AG121),IF(OR(AH121="nd",AH121="nd"),0,AH121),IF(OR(AI121="nd",AI121="nd"),0,AI121),IF(OR(AJ121="nd",AJ121="nd"),0,AJ121)))</f>
        <v>0.54747716847371819</v>
      </c>
      <c r="AQ121" s="135">
        <f t="shared" si="73"/>
        <v>0.54747716847371819</v>
      </c>
      <c r="AR121" s="117">
        <v>-1.18259042180815</v>
      </c>
      <c r="AS121" s="117">
        <v>0</v>
      </c>
      <c r="AT121" s="117">
        <v>0</v>
      </c>
      <c r="AU121" s="117">
        <v>-0.61599568425329099</v>
      </c>
      <c r="AV121" s="117">
        <v>-0.36599568425329099</v>
      </c>
      <c r="AW121" s="117">
        <v>5.1482737013167003E-2</v>
      </c>
      <c r="AX121" s="117">
        <v>0.44396115827962501</v>
      </c>
      <c r="AY121" s="117">
        <v>0.74396115827962495</v>
      </c>
      <c r="AZ121" s="117">
        <v>0</v>
      </c>
      <c r="BA121" s="117">
        <v>0</v>
      </c>
      <c r="BB121" s="117">
        <v>1.19728010579059</v>
      </c>
      <c r="BC121" s="136">
        <v>-1</v>
      </c>
      <c r="BD121" s="136" t="s">
        <v>178</v>
      </c>
      <c r="BE121" s="152" t="s">
        <v>702</v>
      </c>
      <c r="BF121" s="152" t="s">
        <v>829</v>
      </c>
      <c r="BG121" s="120" t="s">
        <v>678</v>
      </c>
      <c r="BH121" s="136" t="str">
        <f t="shared" si="38"/>
        <v>&lt;MTL</v>
      </c>
      <c r="BI121" s="136">
        <f t="shared" si="39"/>
        <v>5.1482737013167003E-2</v>
      </c>
      <c r="BJ121" s="136" t="str">
        <f t="shared" si="41"/>
        <v>Nil</v>
      </c>
      <c r="BK121" s="136">
        <f t="shared" si="42"/>
        <v>0.05</v>
      </c>
      <c r="BL121" s="136" t="s">
        <v>736</v>
      </c>
      <c r="BM121" s="136" t="s">
        <v>175</v>
      </c>
      <c r="BN121" s="136" t="s">
        <v>175</v>
      </c>
      <c r="BO121" s="136" t="s">
        <v>736</v>
      </c>
      <c r="BP121" s="137" t="s">
        <v>175</v>
      </c>
      <c r="BQ121" s="137" t="s">
        <v>175</v>
      </c>
      <c r="BR121" s="137" t="s">
        <v>175</v>
      </c>
      <c r="BS121" s="137" t="s">
        <v>175</v>
      </c>
      <c r="BT121" s="138">
        <f t="shared" si="46"/>
        <v>-69.957482737013166</v>
      </c>
      <c r="BU121" s="138">
        <f t="shared" si="47"/>
        <v>0.54975562752917773</v>
      </c>
      <c r="BV121" s="138">
        <f t="shared" si="48"/>
        <v>0.54975562752917773</v>
      </c>
      <c r="BW121" s="53" t="s">
        <v>175</v>
      </c>
      <c r="BX121" s="53" t="s">
        <v>175</v>
      </c>
      <c r="BY121" s="53" t="s">
        <v>175</v>
      </c>
      <c r="BZ121" s="53" t="s">
        <v>175</v>
      </c>
      <c r="CA121" s="147">
        <v>1</v>
      </c>
      <c r="CB121" s="54">
        <v>0</v>
      </c>
    </row>
    <row r="122" spans="1:80">
      <c r="A122" s="123" t="s">
        <v>804</v>
      </c>
      <c r="B122" s="124" t="s">
        <v>767</v>
      </c>
      <c r="C122" s="148" t="s">
        <v>674</v>
      </c>
      <c r="D122" s="125" t="s">
        <v>167</v>
      </c>
      <c r="E122" s="150">
        <v>21.665832999999999</v>
      </c>
      <c r="F122" s="150">
        <v>114.678533</v>
      </c>
      <c r="G122" s="128" t="s">
        <v>168</v>
      </c>
      <c r="H122" s="151">
        <v>5050</v>
      </c>
      <c r="I122" s="151">
        <v>80</v>
      </c>
      <c r="J122" s="151">
        <v>5192</v>
      </c>
      <c r="K122" s="151">
        <v>278</v>
      </c>
      <c r="L122" s="151">
        <v>318</v>
      </c>
      <c r="M122" s="153" t="s">
        <v>818</v>
      </c>
      <c r="N122" s="130" t="s">
        <v>339</v>
      </c>
      <c r="O122" s="153" t="s">
        <v>818</v>
      </c>
      <c r="P122" s="153" t="s">
        <v>819</v>
      </c>
      <c r="Q122" s="153" t="s">
        <v>172</v>
      </c>
      <c r="R122" s="131">
        <f>(1.5+1.75)/2</f>
        <v>1.625</v>
      </c>
      <c r="S122" s="112" t="s">
        <v>175</v>
      </c>
      <c r="T122" s="130">
        <v>1</v>
      </c>
      <c r="U122" s="132" t="s">
        <v>173</v>
      </c>
      <c r="V122" s="133">
        <v>0.01</v>
      </c>
      <c r="W122" s="132" t="s">
        <v>174</v>
      </c>
      <c r="X122" s="133">
        <v>0.01</v>
      </c>
      <c r="Y122" s="133">
        <v>5.0000000000000001E-3</v>
      </c>
      <c r="Z122" s="133">
        <v>0.13</v>
      </c>
      <c r="AA122" s="133">
        <v>0.15</v>
      </c>
      <c r="AB122" s="133">
        <f t="shared" si="72"/>
        <v>3.2500000000000001E-2</v>
      </c>
      <c r="AC122" s="134">
        <v>0</v>
      </c>
      <c r="AD122" s="134">
        <v>0</v>
      </c>
      <c r="AE122" s="134">
        <v>0.5</v>
      </c>
      <c r="AF122" s="134">
        <v>0</v>
      </c>
      <c r="AG122" s="134">
        <v>0.1</v>
      </c>
      <c r="AH122" s="134">
        <v>0</v>
      </c>
      <c r="AI122" s="134">
        <v>0</v>
      </c>
      <c r="AJ122" s="134">
        <v>0</v>
      </c>
      <c r="AK122" s="134" t="s">
        <v>175</v>
      </c>
      <c r="AL122" s="122" t="s">
        <v>175</v>
      </c>
      <c r="AM122" s="122">
        <f>-72-1.63-0.88-0.146</f>
        <v>-74.655999999999992</v>
      </c>
      <c r="AN122" s="134" t="s">
        <v>176</v>
      </c>
      <c r="AO122" s="134" t="s">
        <v>177</v>
      </c>
      <c r="AP122" s="135">
        <f>SQRT(SUMSQ(IF(OR(Y122="nd",Y122="nd"),0,Y122),IF(OR(Z122="nd",Z122="nd"),0,Z122),IF(OR(AA122="nd",AA122="nd"),0,AA122),IF(OR(AB122="nd",AB122="nd"),0,AB122),IF(OR(AC122="nd",AC122="nd"),0,AC122),IF(OR(AD122="nd",AD122="nd"),0,AD122),IF(OR(AE122="nd",AE122="nd"),0,AE122),IF(OR(AF122="nd",AF122="nd"),0,AF122),IF(OR(AG122="nd",AG122="nd"),0,AG122),IF(OR(AH122="nd",AH122="nd"),0,AH122),IF(OR(AI122="nd",AI122="nd"),0,AI122),IF(OR(AJ122="nd",AJ122="nd"),0,AJ122)))</f>
        <v>0.54816170059572755</v>
      </c>
      <c r="AQ122" s="135">
        <f t="shared" si="73"/>
        <v>0.54816170059572755</v>
      </c>
      <c r="AR122" s="117">
        <v>-1.1978690501163001</v>
      </c>
      <c r="AS122" s="117">
        <v>0</v>
      </c>
      <c r="AT122" s="117">
        <v>0</v>
      </c>
      <c r="AU122" s="117">
        <v>-0.61686051227073402</v>
      </c>
      <c r="AV122" s="117">
        <v>-0.36686051227073402</v>
      </c>
      <c r="AW122" s="117">
        <v>5.4942049082937497E-2</v>
      </c>
      <c r="AX122" s="117">
        <v>0.45174461043660902</v>
      </c>
      <c r="AY122" s="117">
        <v>0.75174461043660901</v>
      </c>
      <c r="AZ122" s="117">
        <v>0</v>
      </c>
      <c r="BA122" s="117">
        <v>0</v>
      </c>
      <c r="BB122" s="117">
        <v>1.2079463180057199</v>
      </c>
      <c r="BC122" s="136">
        <v>-1</v>
      </c>
      <c r="BD122" s="136" t="s">
        <v>178</v>
      </c>
      <c r="BE122" s="152" t="s">
        <v>702</v>
      </c>
      <c r="BF122" s="152" t="s">
        <v>829</v>
      </c>
      <c r="BG122" s="120" t="s">
        <v>678</v>
      </c>
      <c r="BH122" s="136" t="str">
        <f t="shared" si="38"/>
        <v>&lt;MTL</v>
      </c>
      <c r="BI122" s="136">
        <f t="shared" si="39"/>
        <v>5.4942049082937497E-2</v>
      </c>
      <c r="BJ122" s="136" t="str">
        <f t="shared" si="41"/>
        <v>Nil</v>
      </c>
      <c r="BK122" s="136">
        <f t="shared" si="42"/>
        <v>0.05</v>
      </c>
      <c r="BL122" s="136" t="s">
        <v>736</v>
      </c>
      <c r="BM122" s="136" t="s">
        <v>175</v>
      </c>
      <c r="BN122" s="136" t="s">
        <v>175</v>
      </c>
      <c r="BO122" s="136" t="s">
        <v>736</v>
      </c>
      <c r="BP122" s="137" t="s">
        <v>175</v>
      </c>
      <c r="BQ122" s="137" t="s">
        <v>175</v>
      </c>
      <c r="BR122" s="137" t="s">
        <v>175</v>
      </c>
      <c r="BS122" s="137" t="s">
        <v>175</v>
      </c>
      <c r="BT122" s="138">
        <f t="shared" si="46"/>
        <v>-74.710942049082931</v>
      </c>
      <c r="BU122" s="138">
        <f t="shared" si="47"/>
        <v>0.55043732613259433</v>
      </c>
      <c r="BV122" s="138">
        <f t="shared" si="48"/>
        <v>0.55043732613259433</v>
      </c>
      <c r="BW122" s="53" t="s">
        <v>175</v>
      </c>
      <c r="BX122" s="53" t="s">
        <v>175</v>
      </c>
      <c r="BY122" s="53" t="s">
        <v>175</v>
      </c>
      <c r="BZ122" s="53" t="s">
        <v>175</v>
      </c>
      <c r="CA122" s="147">
        <v>1</v>
      </c>
      <c r="CB122" s="54">
        <v>0</v>
      </c>
    </row>
    <row r="123" spans="1:80">
      <c r="A123" s="123" t="s">
        <v>805</v>
      </c>
      <c r="B123" s="124" t="s">
        <v>767</v>
      </c>
      <c r="C123" s="148" t="s">
        <v>674</v>
      </c>
      <c r="D123" s="125" t="s">
        <v>167</v>
      </c>
      <c r="E123" s="150">
        <v>21.665917</v>
      </c>
      <c r="F123" s="150">
        <v>114.8635</v>
      </c>
      <c r="G123" s="128" t="s">
        <v>168</v>
      </c>
      <c r="H123" s="151">
        <v>1750</v>
      </c>
      <c r="I123" s="151">
        <v>60</v>
      </c>
      <c r="J123" s="151">
        <v>1154</v>
      </c>
      <c r="K123" s="151">
        <v>205</v>
      </c>
      <c r="L123" s="151">
        <v>228</v>
      </c>
      <c r="M123" s="153" t="s">
        <v>818</v>
      </c>
      <c r="N123" s="130" t="s">
        <v>339</v>
      </c>
      <c r="O123" s="153" t="s">
        <v>818</v>
      </c>
      <c r="P123" s="153" t="s">
        <v>819</v>
      </c>
      <c r="Q123" s="153" t="s">
        <v>172</v>
      </c>
      <c r="R123" s="131">
        <f>(0.25+0.5)/2</f>
        <v>0.375</v>
      </c>
      <c r="S123" s="112" t="s">
        <v>175</v>
      </c>
      <c r="T123" s="130">
        <v>1</v>
      </c>
      <c r="U123" s="132" t="s">
        <v>173</v>
      </c>
      <c r="V123" s="133">
        <v>0.01</v>
      </c>
      <c r="W123" s="132" t="s">
        <v>174</v>
      </c>
      <c r="X123" s="133">
        <v>0.01</v>
      </c>
      <c r="Y123" s="133">
        <v>5.0000000000000001E-3</v>
      </c>
      <c r="Z123" s="133">
        <v>0.13</v>
      </c>
      <c r="AA123" s="133">
        <v>0.15</v>
      </c>
      <c r="AB123" s="133">
        <f t="shared" ref="AB123:AB124" si="74">0.02*R123</f>
        <v>7.4999999999999997E-3</v>
      </c>
      <c r="AC123" s="134">
        <v>0</v>
      </c>
      <c r="AD123" s="134">
        <v>0</v>
      </c>
      <c r="AE123" s="134">
        <v>0.5</v>
      </c>
      <c r="AF123" s="134">
        <v>0</v>
      </c>
      <c r="AG123" s="134">
        <v>0.1</v>
      </c>
      <c r="AH123" s="134">
        <v>0</v>
      </c>
      <c r="AI123" s="134">
        <v>0</v>
      </c>
      <c r="AJ123" s="134">
        <v>0</v>
      </c>
      <c r="AK123" s="134" t="s">
        <v>175</v>
      </c>
      <c r="AL123" s="122" t="s">
        <v>175</v>
      </c>
      <c r="AM123" s="122">
        <f>-79-0.38-0.88-0.146</f>
        <v>-80.405999999999992</v>
      </c>
      <c r="AN123" s="134" t="s">
        <v>176</v>
      </c>
      <c r="AO123" s="134" t="s">
        <v>177</v>
      </c>
      <c r="AP123" s="135">
        <f t="shared" ref="AP123:AP124" si="75">SQRT(SUMSQ(IF(OR(Y123="nd",Y123="nd"),0,Y123),IF(OR(Z123="nd",Z123="nd"),0,Z123),IF(OR(AA123="nd",AA123="nd"),0,AA123),IF(OR(AB123="nd",AB123="nd"),0,AB123),IF(OR(AC123="nd",AC123="nd"),0,AC123),IF(OR(AD123="nd",AD123="nd"),0,AD123),IF(OR(AE123="nd",AE123="nd"),0,AE123),IF(OR(AF123="nd",AF123="nd"),0,AF123),IF(OR(AG123="nd",AG123="nd"),0,AG123),IF(OR(AH123="nd",AH123="nd"),0,AH123),IF(OR(AI123="nd",AI123="nd"),0,AI123),IF(OR(AJ123="nd",AJ123="nd"),0,AJ123)))</f>
        <v>0.54724880082097949</v>
      </c>
      <c r="AQ123" s="135">
        <f t="shared" ref="AQ123:AQ124" si="76">SQRT(SUMSQ(IF(OR(Y123="nd",Y123="nd"),0,Y123),IF(OR(Z123="nd",Z123="nd"),0,Z123),IF(OR(AA123="nd",AA123="nd"),0,AA123),IF(OR(AB123="nd",AB123="nd"),0,AB123),IF(OR(AC123="nd",AC123="nd"),0,AC123),IF(OR(AD123="nd",AD123="nd"),0,AD123),IF(OR(AE123="nd",AE123="nd"),0,AE123),IF(OR(AF123="nd",AF123="nd"),0,AF123),IF(OR(AG123="nd",AG123="nd"),0,AG123),IF(OR(AH123="nd",AH123="nd"),0,AH123),IF(OR(AI123="nd",AI123="nd"),0,AI123),IF(OR(AJ123="nd",AJ123="nd"),0,AJ123)))</f>
        <v>0.54724880082097949</v>
      </c>
      <c r="AR123" s="117">
        <v>-1.2363539634610801</v>
      </c>
      <c r="AS123" s="117">
        <v>0</v>
      </c>
      <c r="AT123" s="117">
        <v>0</v>
      </c>
      <c r="AU123" s="117">
        <v>-0.61648981140426196</v>
      </c>
      <c r="AV123" s="117">
        <v>-0.36648981140426201</v>
      </c>
      <c r="AW123" s="117">
        <v>7.5976226609944797E-2</v>
      </c>
      <c r="AX123" s="117">
        <v>0.49344226462415097</v>
      </c>
      <c r="AY123" s="117">
        <v>0.79344226462415102</v>
      </c>
      <c r="AZ123" s="117">
        <v>0</v>
      </c>
      <c r="BA123" s="117">
        <v>0</v>
      </c>
      <c r="BB123" s="117">
        <v>1.2484083026383499</v>
      </c>
      <c r="BC123" s="136">
        <v>-1</v>
      </c>
      <c r="BD123" s="136" t="s">
        <v>178</v>
      </c>
      <c r="BE123" s="152" t="s">
        <v>702</v>
      </c>
      <c r="BF123" s="152" t="s">
        <v>829</v>
      </c>
      <c r="BG123" s="120" t="s">
        <v>678</v>
      </c>
      <c r="BH123" s="136" t="str">
        <f t="shared" si="38"/>
        <v>&lt;MTL</v>
      </c>
      <c r="BI123" s="136">
        <f t="shared" si="39"/>
        <v>7.5976226609944797E-2</v>
      </c>
      <c r="BJ123" s="136" t="str">
        <f t="shared" si="41"/>
        <v>Nil</v>
      </c>
      <c r="BK123" s="136">
        <f t="shared" si="42"/>
        <v>0.05</v>
      </c>
      <c r="BL123" s="136" t="s">
        <v>736</v>
      </c>
      <c r="BM123" s="136" t="s">
        <v>175</v>
      </c>
      <c r="BN123" s="136" t="s">
        <v>175</v>
      </c>
      <c r="BO123" s="136" t="s">
        <v>736</v>
      </c>
      <c r="BP123" s="137" t="s">
        <v>175</v>
      </c>
      <c r="BQ123" s="137" t="s">
        <v>175</v>
      </c>
      <c r="BR123" s="137" t="s">
        <v>175</v>
      </c>
      <c r="BS123" s="137" t="s">
        <v>175</v>
      </c>
      <c r="BT123" s="138">
        <f t="shared" si="46"/>
        <v>-80.48197622660993</v>
      </c>
      <c r="BU123" s="138">
        <f t="shared" si="47"/>
        <v>0.54952820673737945</v>
      </c>
      <c r="BV123" s="138">
        <f t="shared" si="48"/>
        <v>0.54952820673737945</v>
      </c>
      <c r="BW123" s="53" t="s">
        <v>175</v>
      </c>
      <c r="BX123" s="53" t="s">
        <v>175</v>
      </c>
      <c r="BY123" s="53" t="s">
        <v>175</v>
      </c>
      <c r="BZ123" s="53" t="s">
        <v>175</v>
      </c>
      <c r="CA123" s="147">
        <v>1</v>
      </c>
      <c r="CB123" s="54">
        <v>0</v>
      </c>
    </row>
    <row r="124" spans="1:80">
      <c r="A124" s="123" t="s">
        <v>806</v>
      </c>
      <c r="B124" s="124" t="s">
        <v>767</v>
      </c>
      <c r="C124" s="148" t="s">
        <v>674</v>
      </c>
      <c r="D124" s="125" t="s">
        <v>167</v>
      </c>
      <c r="E124" s="150">
        <v>21.665917</v>
      </c>
      <c r="F124" s="150">
        <v>114.8635</v>
      </c>
      <c r="G124" s="128" t="s">
        <v>168</v>
      </c>
      <c r="H124" s="151">
        <v>10280</v>
      </c>
      <c r="I124" s="151">
        <v>100</v>
      </c>
      <c r="J124" s="151">
        <v>11286</v>
      </c>
      <c r="K124" s="151">
        <v>416</v>
      </c>
      <c r="L124" s="151">
        <v>397</v>
      </c>
      <c r="M124" s="153" t="s">
        <v>819</v>
      </c>
      <c r="N124" s="130" t="s">
        <v>339</v>
      </c>
      <c r="O124" s="153" t="s">
        <v>818</v>
      </c>
      <c r="P124" s="153" t="s">
        <v>175</v>
      </c>
      <c r="Q124" s="153" t="s">
        <v>172</v>
      </c>
      <c r="R124" s="131">
        <f>(0.75+1)/2</f>
        <v>0.875</v>
      </c>
      <c r="S124" s="112" t="s">
        <v>175</v>
      </c>
      <c r="T124" s="130">
        <v>1</v>
      </c>
      <c r="U124" s="132" t="s">
        <v>173</v>
      </c>
      <c r="V124" s="133">
        <v>0.01</v>
      </c>
      <c r="W124" s="132" t="s">
        <v>174</v>
      </c>
      <c r="X124" s="133">
        <v>0.01</v>
      </c>
      <c r="Y124" s="133">
        <v>5.0000000000000001E-3</v>
      </c>
      <c r="Z124" s="133">
        <v>0.13</v>
      </c>
      <c r="AA124" s="133">
        <v>0.15</v>
      </c>
      <c r="AB124" s="133">
        <f t="shared" si="74"/>
        <v>1.7500000000000002E-2</v>
      </c>
      <c r="AC124" s="134">
        <v>0</v>
      </c>
      <c r="AD124" s="134">
        <v>0</v>
      </c>
      <c r="AE124" s="134">
        <v>0.5</v>
      </c>
      <c r="AF124" s="134">
        <v>0</v>
      </c>
      <c r="AG124" s="134">
        <v>0.1</v>
      </c>
      <c r="AH124" s="134">
        <v>0</v>
      </c>
      <c r="AI124" s="134">
        <v>0</v>
      </c>
      <c r="AJ124" s="134">
        <v>0</v>
      </c>
      <c r="AK124" s="134" t="s">
        <v>175</v>
      </c>
      <c r="AL124" s="122" t="s">
        <v>175</v>
      </c>
      <c r="AM124" s="122">
        <f>-79-0.88-0.88-0.146</f>
        <v>-80.905999999999992</v>
      </c>
      <c r="AN124" s="134" t="s">
        <v>176</v>
      </c>
      <c r="AO124" s="134" t="s">
        <v>177</v>
      </c>
      <c r="AP124" s="135">
        <f t="shared" si="75"/>
        <v>0.54747716847371819</v>
      </c>
      <c r="AQ124" s="135">
        <f t="shared" si="76"/>
        <v>0.54747716847371819</v>
      </c>
      <c r="AR124" s="117">
        <v>-1.2363539634610801</v>
      </c>
      <c r="AS124" s="117">
        <v>0</v>
      </c>
      <c r="AT124" s="117">
        <v>0</v>
      </c>
      <c r="AU124" s="117">
        <v>-0.61648981140426196</v>
      </c>
      <c r="AV124" s="117">
        <v>-0.36648981140426201</v>
      </c>
      <c r="AW124" s="117">
        <v>7.5976226609944797E-2</v>
      </c>
      <c r="AX124" s="117">
        <v>0.49344226462415097</v>
      </c>
      <c r="AY124" s="117">
        <v>0.79344226462415102</v>
      </c>
      <c r="AZ124" s="117">
        <v>0</v>
      </c>
      <c r="BA124" s="117">
        <v>0</v>
      </c>
      <c r="BB124" s="117">
        <v>1.2484083026383499</v>
      </c>
      <c r="BC124" s="136">
        <v>-1</v>
      </c>
      <c r="BD124" s="136" t="s">
        <v>178</v>
      </c>
      <c r="BE124" s="152" t="s">
        <v>843</v>
      </c>
      <c r="BF124" s="152" t="s">
        <v>822</v>
      </c>
      <c r="BG124" s="120" t="s">
        <v>662</v>
      </c>
      <c r="BH124" s="136" t="str">
        <f t="shared" si="38"/>
        <v>&lt;HAT</v>
      </c>
      <c r="BI124" s="136">
        <f t="shared" si="39"/>
        <v>1.2484083026383499</v>
      </c>
      <c r="BJ124" s="136" t="str">
        <f t="shared" si="41"/>
        <v>Nil</v>
      </c>
      <c r="BK124" s="136">
        <f t="shared" si="42"/>
        <v>0.18</v>
      </c>
      <c r="BL124" s="136" t="s">
        <v>736</v>
      </c>
      <c r="BM124" s="136" t="s">
        <v>175</v>
      </c>
      <c r="BN124" s="136" t="s">
        <v>175</v>
      </c>
      <c r="BO124" s="136" t="s">
        <v>736</v>
      </c>
      <c r="BP124" s="137" t="s">
        <v>175</v>
      </c>
      <c r="BQ124" s="137" t="s">
        <v>175</v>
      </c>
      <c r="BR124" s="137" t="s">
        <v>175</v>
      </c>
      <c r="BS124" s="137" t="s">
        <v>175</v>
      </c>
      <c r="BT124" s="138">
        <f t="shared" si="46"/>
        <v>-82.154408302638345</v>
      </c>
      <c r="BU124" s="138">
        <f t="shared" si="47"/>
        <v>0.57630829423148167</v>
      </c>
      <c r="BV124" s="138">
        <f t="shared" si="48"/>
        <v>0.57630829423148167</v>
      </c>
      <c r="BW124" s="53" t="s">
        <v>175</v>
      </c>
      <c r="BX124" s="53" t="s">
        <v>175</v>
      </c>
      <c r="BY124" s="53" t="s">
        <v>175</v>
      </c>
      <c r="BZ124" s="53" t="s">
        <v>175</v>
      </c>
      <c r="CA124" s="147">
        <v>1</v>
      </c>
      <c r="CB124" s="54">
        <v>0</v>
      </c>
    </row>
    <row r="125" spans="1:80">
      <c r="A125" s="123" t="s">
        <v>807</v>
      </c>
      <c r="B125" s="124" t="s">
        <v>767</v>
      </c>
      <c r="C125" s="148" t="s">
        <v>674</v>
      </c>
      <c r="D125" s="125" t="s">
        <v>167</v>
      </c>
      <c r="E125" s="150">
        <v>21.665932999999999</v>
      </c>
      <c r="F125" s="150">
        <v>114.992133</v>
      </c>
      <c r="G125" s="128" t="s">
        <v>168</v>
      </c>
      <c r="H125" s="151">
        <v>12140</v>
      </c>
      <c r="I125" s="151">
        <v>120</v>
      </c>
      <c r="J125" s="151">
        <v>13491</v>
      </c>
      <c r="K125" s="151">
        <v>350</v>
      </c>
      <c r="L125" s="151">
        <v>341</v>
      </c>
      <c r="M125" s="153" t="s">
        <v>819</v>
      </c>
      <c r="N125" s="130" t="s">
        <v>339</v>
      </c>
      <c r="O125" s="153" t="s">
        <v>818</v>
      </c>
      <c r="P125" s="153" t="s">
        <v>175</v>
      </c>
      <c r="Q125" s="153" t="s">
        <v>172</v>
      </c>
      <c r="R125" s="131">
        <f>(1+1.2)/2</f>
        <v>1.1000000000000001</v>
      </c>
      <c r="S125" s="112" t="s">
        <v>175</v>
      </c>
      <c r="T125" s="130">
        <v>1</v>
      </c>
      <c r="U125" s="132" t="s">
        <v>173</v>
      </c>
      <c r="V125" s="133">
        <v>0.01</v>
      </c>
      <c r="W125" s="132" t="s">
        <v>174</v>
      </c>
      <c r="X125" s="133">
        <v>0.01</v>
      </c>
      <c r="Y125" s="133">
        <v>5.0000000000000001E-3</v>
      </c>
      <c r="Z125" s="133">
        <v>0.1</v>
      </c>
      <c r="AA125" s="133">
        <v>0.15</v>
      </c>
      <c r="AB125" s="133">
        <f t="shared" ref="AB125:AB130" si="77">0.02*R125</f>
        <v>2.2000000000000002E-2</v>
      </c>
      <c r="AC125" s="134">
        <v>0</v>
      </c>
      <c r="AD125" s="134">
        <v>0</v>
      </c>
      <c r="AE125" s="134">
        <v>0.5</v>
      </c>
      <c r="AF125" s="134">
        <v>0</v>
      </c>
      <c r="AG125" s="134">
        <v>0.1</v>
      </c>
      <c r="AH125" s="134">
        <v>0</v>
      </c>
      <c r="AI125" s="134">
        <v>0</v>
      </c>
      <c r="AJ125" s="134">
        <v>0</v>
      </c>
      <c r="AK125" s="134" t="s">
        <v>175</v>
      </c>
      <c r="AL125" s="122" t="s">
        <v>175</v>
      </c>
      <c r="AM125" s="122">
        <f>-83-1.1-0.88-0.146</f>
        <v>-85.125999999999991</v>
      </c>
      <c r="AN125" s="134" t="s">
        <v>176</v>
      </c>
      <c r="AO125" s="134" t="s">
        <v>177</v>
      </c>
      <c r="AP125" s="135">
        <f t="shared" ref="AP125" si="78">SQRT(SUMSQ(IF(OR(Y125="nd",Y125="nd"),0,Y125),IF(OR(Z125="nd",Z125="nd"),0,Z125),IF(OR(AA125="nd",AA125="nd"),0,AA125),IF(OR(AB125="nd",AB125="nd"),0,AB125),IF(OR(AC125="nd",AC125="nd"),0,AC125),IF(OR(AD125="nd",AD125="nd"),0,AD125),IF(OR(AE125="nd",AE125="nd"),0,AE125),IF(OR(AF125="nd",AF125="nd"),0,AF125),IF(OR(AG125="nd",AG125="nd"),0,AG125),IF(OR(AH125="nd",AH125="nd"),0,AH125),IF(OR(AI125="nd",AI125="nd"),0,AI125),IF(OR(AJ125="nd",AJ125="nd"),0,AJ125)))</f>
        <v>0.541303057445642</v>
      </c>
      <c r="AQ125" s="135">
        <f t="shared" ref="AQ125" si="79">SQRT(SUMSQ(IF(OR(Y125="nd",Y125="nd"),0,Y125),IF(OR(Z125="nd",Z125="nd"),0,Z125),IF(OR(AA125="nd",AA125="nd"),0,AA125),IF(OR(AB125="nd",AB125="nd"),0,AB125),IF(OR(AC125="nd",AC125="nd"),0,AC125),IF(OR(AD125="nd",AD125="nd"),0,AD125),IF(OR(AE125="nd",AE125="nd"),0,AE125),IF(OR(AF125="nd",AF125="nd"),0,AF125),IF(OR(AG125="nd",AG125="nd"),0,AG125),IF(OR(AH125="nd",AH125="nd"),0,AH125),IF(OR(AI125="nd",AI125="nd"),0,AI125),IF(OR(AJ125="nd",AJ125="nd"),0,AJ125)))</f>
        <v>0.541303057445642</v>
      </c>
      <c r="AR125" s="117">
        <v>-1.2219429178189201</v>
      </c>
      <c r="AS125" s="117">
        <v>0</v>
      </c>
      <c r="AT125" s="117">
        <v>0</v>
      </c>
      <c r="AU125" s="117">
        <v>-0.61548438961527396</v>
      </c>
      <c r="AV125" s="117">
        <v>-0.36548438961527402</v>
      </c>
      <c r="AW125" s="117">
        <v>7.3630242435639301E-2</v>
      </c>
      <c r="AX125" s="117">
        <v>0.48774487448655202</v>
      </c>
      <c r="AY125" s="117">
        <v>0.78774487448655195</v>
      </c>
      <c r="AZ125" s="117">
        <v>0</v>
      </c>
      <c r="BA125" s="117">
        <v>0</v>
      </c>
      <c r="BB125" s="117">
        <v>1.2393595065374601</v>
      </c>
      <c r="BC125" s="136">
        <v>-1</v>
      </c>
      <c r="BD125" s="136" t="s">
        <v>178</v>
      </c>
      <c r="BE125" s="152" t="s">
        <v>843</v>
      </c>
      <c r="BF125" s="152" t="s">
        <v>822</v>
      </c>
      <c r="BG125" s="120" t="s">
        <v>662</v>
      </c>
      <c r="BH125" s="136" t="str">
        <f t="shared" si="38"/>
        <v>&lt;HAT</v>
      </c>
      <c r="BI125" s="136">
        <f t="shared" si="39"/>
        <v>1.2393595065374601</v>
      </c>
      <c r="BJ125" s="136" t="str">
        <f t="shared" si="41"/>
        <v>Nil</v>
      </c>
      <c r="BK125" s="136">
        <f t="shared" si="42"/>
        <v>0.18</v>
      </c>
      <c r="BL125" s="136" t="s">
        <v>736</v>
      </c>
      <c r="BM125" s="136" t="s">
        <v>175</v>
      </c>
      <c r="BN125" s="136" t="s">
        <v>175</v>
      </c>
      <c r="BO125" s="136" t="s">
        <v>736</v>
      </c>
      <c r="BP125" s="137" t="s">
        <v>175</v>
      </c>
      <c r="BQ125" s="137" t="s">
        <v>175</v>
      </c>
      <c r="BR125" s="137" t="s">
        <v>175</v>
      </c>
      <c r="BS125" s="137" t="s">
        <v>175</v>
      </c>
      <c r="BT125" s="138">
        <f t="shared" si="46"/>
        <v>-86.365359506537445</v>
      </c>
      <c r="BU125" s="138">
        <f t="shared" si="47"/>
        <v>0.57044631649262145</v>
      </c>
      <c r="BV125" s="138">
        <f t="shared" si="48"/>
        <v>0.57044631649262145</v>
      </c>
      <c r="BW125" s="53" t="s">
        <v>175</v>
      </c>
      <c r="BX125" s="53" t="s">
        <v>175</v>
      </c>
      <c r="BY125" s="53" t="s">
        <v>175</v>
      </c>
      <c r="BZ125" s="53" t="s">
        <v>175</v>
      </c>
      <c r="CA125" s="147">
        <v>1</v>
      </c>
      <c r="CB125" s="54">
        <v>0</v>
      </c>
    </row>
    <row r="126" spans="1:80">
      <c r="A126" s="123" t="s">
        <v>808</v>
      </c>
      <c r="B126" s="124" t="s">
        <v>767</v>
      </c>
      <c r="C126" s="148" t="s">
        <v>674</v>
      </c>
      <c r="D126" s="125" t="s">
        <v>167</v>
      </c>
      <c r="E126" s="150">
        <v>21.665533</v>
      </c>
      <c r="F126" s="150">
        <v>115.086383</v>
      </c>
      <c r="G126" s="128" t="s">
        <v>168</v>
      </c>
      <c r="H126" s="151">
        <v>9040</v>
      </c>
      <c r="I126" s="151">
        <v>100</v>
      </c>
      <c r="J126" s="151">
        <v>9597</v>
      </c>
      <c r="K126" s="151">
        <v>396</v>
      </c>
      <c r="L126" s="151">
        <v>326</v>
      </c>
      <c r="M126" s="153" t="s">
        <v>818</v>
      </c>
      <c r="N126" s="130" t="s">
        <v>339</v>
      </c>
      <c r="O126" s="153" t="s">
        <v>818</v>
      </c>
      <c r="P126" s="153" t="s">
        <v>819</v>
      </c>
      <c r="Q126" s="153" t="s">
        <v>172</v>
      </c>
      <c r="R126" s="131">
        <f>(0.25+0.5)/2</f>
        <v>0.375</v>
      </c>
      <c r="S126" s="112" t="s">
        <v>175</v>
      </c>
      <c r="T126" s="130">
        <v>1</v>
      </c>
      <c r="U126" s="132" t="s">
        <v>173</v>
      </c>
      <c r="V126" s="133">
        <v>0.01</v>
      </c>
      <c r="W126" s="132" t="s">
        <v>174</v>
      </c>
      <c r="X126" s="133">
        <v>0.01</v>
      </c>
      <c r="Y126" s="133">
        <v>5.0000000000000001E-3</v>
      </c>
      <c r="Z126" s="133">
        <v>0.13</v>
      </c>
      <c r="AA126" s="133">
        <v>0.15</v>
      </c>
      <c r="AB126" s="133">
        <f t="shared" si="77"/>
        <v>7.4999999999999997E-3</v>
      </c>
      <c r="AC126" s="134">
        <v>0</v>
      </c>
      <c r="AD126" s="134">
        <v>0</v>
      </c>
      <c r="AE126" s="134">
        <v>0.5</v>
      </c>
      <c r="AF126" s="134">
        <v>0</v>
      </c>
      <c r="AG126" s="134">
        <v>0.1</v>
      </c>
      <c r="AH126" s="134">
        <v>0</v>
      </c>
      <c r="AI126" s="134">
        <v>0</v>
      </c>
      <c r="AJ126" s="134">
        <v>0</v>
      </c>
      <c r="AK126" s="134" t="s">
        <v>175</v>
      </c>
      <c r="AL126" s="122" t="s">
        <v>175</v>
      </c>
      <c r="AM126" s="122">
        <f>-90-0.38-0.88-0.146</f>
        <v>-91.405999999999992</v>
      </c>
      <c r="AN126" s="134" t="s">
        <v>176</v>
      </c>
      <c r="AO126" s="134" t="s">
        <v>177</v>
      </c>
      <c r="AP126" s="135">
        <f t="shared" ref="AP126:AP127" si="80">SQRT(SUMSQ(IF(OR(Y126="nd",Y126="nd"),0,Y126),IF(OR(Z126="nd",Z126="nd"),0,Z126),IF(OR(AA126="nd",AA126="nd"),0,AA126),IF(OR(AB126="nd",AB126="nd"),0,AB126),IF(OR(AC126="nd",AC126="nd"),0,AC126),IF(OR(AD126="nd",AD126="nd"),0,AD126),IF(OR(AE126="nd",AE126="nd"),0,AE126),IF(OR(AF126="nd",AF126="nd"),0,AF126),IF(OR(AG126="nd",AG126="nd"),0,AG126),IF(OR(AH126="nd",AH126="nd"),0,AH126),IF(OR(AI126="nd",AI126="nd"),0,AI126),IF(OR(AJ126="nd",AJ126="nd"),0,AJ126)))</f>
        <v>0.54724880082097949</v>
      </c>
      <c r="AQ126" s="135">
        <f t="shared" ref="AQ126:AQ127" si="81">SQRT(SUMSQ(IF(OR(Y126="nd",Y126="nd"),0,Y126),IF(OR(Z126="nd",Z126="nd"),0,Z126),IF(OR(AA126="nd",AA126="nd"),0,AA126),IF(OR(AB126="nd",AB126="nd"),0,AB126),IF(OR(AC126="nd",AC126="nd"),0,AC126),IF(OR(AD126="nd",AD126="nd"),0,AD126),IF(OR(AE126="nd",AE126="nd"),0,AE126),IF(OR(AF126="nd",AF126="nd"),0,AF126),IF(OR(AG126="nd",AG126="nd"),0,AG126),IF(OR(AH126="nd",AH126="nd"),0,AH126),IF(OR(AI126="nd",AI126="nd"),0,AI126),IF(OR(AJ126="nd",AJ126="nd"),0,AJ126)))</f>
        <v>0.54724880082097949</v>
      </c>
      <c r="AR126" s="117">
        <v>-1.2138380553110799</v>
      </c>
      <c r="AS126" s="117">
        <v>0</v>
      </c>
      <c r="AT126" s="117">
        <v>0</v>
      </c>
      <c r="AU126" s="117">
        <v>-0.61491893409147103</v>
      </c>
      <c r="AV126" s="117">
        <v>-0.36491893409147103</v>
      </c>
      <c r="AW126" s="117">
        <v>7.2310846213433103E-2</v>
      </c>
      <c r="AX126" s="117">
        <v>0.48454062651833701</v>
      </c>
      <c r="AY126" s="117">
        <v>0.784540626518337</v>
      </c>
      <c r="AZ126" s="117">
        <v>0</v>
      </c>
      <c r="BA126" s="117">
        <v>0</v>
      </c>
      <c r="BB126" s="117">
        <v>1.23427040682324</v>
      </c>
      <c r="BC126" s="136">
        <v>-1</v>
      </c>
      <c r="BD126" s="136" t="s">
        <v>178</v>
      </c>
      <c r="BE126" s="152" t="s">
        <v>702</v>
      </c>
      <c r="BF126" s="152" t="s">
        <v>840</v>
      </c>
      <c r="BG126" s="120" t="s">
        <v>678</v>
      </c>
      <c r="BH126" s="136" t="str">
        <f t="shared" si="38"/>
        <v>&lt;MTL</v>
      </c>
      <c r="BI126" s="136">
        <f t="shared" si="39"/>
        <v>7.2310846213433103E-2</v>
      </c>
      <c r="BJ126" s="136" t="str">
        <f t="shared" si="41"/>
        <v>Nil</v>
      </c>
      <c r="BK126" s="136">
        <f t="shared" si="42"/>
        <v>0.05</v>
      </c>
      <c r="BL126" s="136" t="s">
        <v>736</v>
      </c>
      <c r="BM126" s="136" t="s">
        <v>175</v>
      </c>
      <c r="BN126" s="136" t="s">
        <v>175</v>
      </c>
      <c r="BO126" s="136" t="s">
        <v>736</v>
      </c>
      <c r="BP126" s="137" t="s">
        <v>175</v>
      </c>
      <c r="BQ126" s="137" t="s">
        <v>175</v>
      </c>
      <c r="BR126" s="137" t="s">
        <v>175</v>
      </c>
      <c r="BS126" s="137" t="s">
        <v>175</v>
      </c>
      <c r="BT126" s="138">
        <f t="shared" si="46"/>
        <v>-91.478310846213418</v>
      </c>
      <c r="BU126" s="138">
        <f t="shared" si="47"/>
        <v>0.54952820673737945</v>
      </c>
      <c r="BV126" s="138">
        <f t="shared" si="48"/>
        <v>0.54952820673737945</v>
      </c>
      <c r="BW126" s="53" t="s">
        <v>175</v>
      </c>
      <c r="BX126" s="53" t="s">
        <v>175</v>
      </c>
      <c r="BY126" s="53" t="s">
        <v>175</v>
      </c>
      <c r="BZ126" s="53" t="s">
        <v>175</v>
      </c>
      <c r="CA126" s="147">
        <v>1</v>
      </c>
      <c r="CB126" s="54">
        <v>0</v>
      </c>
    </row>
    <row r="127" spans="1:80">
      <c r="A127" s="123" t="s">
        <v>809</v>
      </c>
      <c r="B127" s="124" t="s">
        <v>767</v>
      </c>
      <c r="C127" s="148" t="s">
        <v>674</v>
      </c>
      <c r="D127" s="125" t="s">
        <v>167</v>
      </c>
      <c r="E127" s="150">
        <v>21.665533</v>
      </c>
      <c r="F127" s="150">
        <v>115.086383</v>
      </c>
      <c r="G127" s="128" t="s">
        <v>168</v>
      </c>
      <c r="H127" s="151">
        <v>5390</v>
      </c>
      <c r="I127" s="151">
        <v>90</v>
      </c>
      <c r="J127" s="151">
        <v>5582</v>
      </c>
      <c r="K127" s="151">
        <v>288</v>
      </c>
      <c r="L127" s="151">
        <v>273</v>
      </c>
      <c r="M127" s="153" t="s">
        <v>819</v>
      </c>
      <c r="N127" s="130" t="s">
        <v>339</v>
      </c>
      <c r="O127" s="153" t="s">
        <v>818</v>
      </c>
      <c r="P127" s="153" t="s">
        <v>175</v>
      </c>
      <c r="Q127" s="153" t="s">
        <v>172</v>
      </c>
      <c r="R127" s="131">
        <f>(1+1.1)/2</f>
        <v>1.05</v>
      </c>
      <c r="S127" s="112" t="s">
        <v>175</v>
      </c>
      <c r="T127" s="130">
        <v>1</v>
      </c>
      <c r="U127" s="132" t="s">
        <v>173</v>
      </c>
      <c r="V127" s="133">
        <v>0.01</v>
      </c>
      <c r="W127" s="132" t="s">
        <v>174</v>
      </c>
      <c r="X127" s="133">
        <v>0.01</v>
      </c>
      <c r="Y127" s="133">
        <v>5.0000000000000001E-3</v>
      </c>
      <c r="Z127" s="133">
        <v>0.05</v>
      </c>
      <c r="AA127" s="133">
        <v>0.15</v>
      </c>
      <c r="AB127" s="133">
        <f t="shared" si="77"/>
        <v>2.1000000000000001E-2</v>
      </c>
      <c r="AC127" s="134">
        <v>0</v>
      </c>
      <c r="AD127" s="134">
        <v>0</v>
      </c>
      <c r="AE127" s="134">
        <v>0.5</v>
      </c>
      <c r="AF127" s="134">
        <v>0</v>
      </c>
      <c r="AG127" s="134">
        <v>0.1</v>
      </c>
      <c r="AH127" s="134">
        <v>0</v>
      </c>
      <c r="AI127" s="134">
        <v>0</v>
      </c>
      <c r="AJ127" s="134">
        <v>0</v>
      </c>
      <c r="AK127" s="134" t="s">
        <v>175</v>
      </c>
      <c r="AL127" s="122" t="s">
        <v>175</v>
      </c>
      <c r="AM127" s="122">
        <f>-90-1.05-0.88-0.146</f>
        <v>-92.075999999999993</v>
      </c>
      <c r="AN127" s="134" t="s">
        <v>176</v>
      </c>
      <c r="AO127" s="134" t="s">
        <v>177</v>
      </c>
      <c r="AP127" s="135">
        <f t="shared" si="80"/>
        <v>0.53429018332737499</v>
      </c>
      <c r="AQ127" s="135">
        <f t="shared" si="81"/>
        <v>0.53429018332737499</v>
      </c>
      <c r="AR127" s="117">
        <v>-1.2138380553110799</v>
      </c>
      <c r="AS127" s="117">
        <v>0</v>
      </c>
      <c r="AT127" s="117">
        <v>0</v>
      </c>
      <c r="AU127" s="117">
        <v>-0.61491893409147103</v>
      </c>
      <c r="AV127" s="117">
        <v>-0.36491893409147103</v>
      </c>
      <c r="AW127" s="117">
        <v>7.2310846213433103E-2</v>
      </c>
      <c r="AX127" s="117">
        <v>0.48454062651833701</v>
      </c>
      <c r="AY127" s="117">
        <v>0.784540626518337</v>
      </c>
      <c r="AZ127" s="117">
        <v>0</v>
      </c>
      <c r="BA127" s="117">
        <v>0</v>
      </c>
      <c r="BB127" s="117">
        <v>1.23427040682324</v>
      </c>
      <c r="BC127" s="136">
        <v>-1</v>
      </c>
      <c r="BD127" s="136" t="s">
        <v>178</v>
      </c>
      <c r="BE127" s="152" t="s">
        <v>843</v>
      </c>
      <c r="BF127" s="152" t="s">
        <v>822</v>
      </c>
      <c r="BG127" s="120" t="s">
        <v>662</v>
      </c>
      <c r="BH127" s="136" t="str">
        <f t="shared" si="38"/>
        <v>&lt;HAT</v>
      </c>
      <c r="BI127" s="136">
        <f t="shared" si="39"/>
        <v>1.23427040682324</v>
      </c>
      <c r="BJ127" s="136" t="str">
        <f t="shared" si="41"/>
        <v>Nil</v>
      </c>
      <c r="BK127" s="136">
        <f t="shared" si="42"/>
        <v>0.18</v>
      </c>
      <c r="BL127" s="136" t="s">
        <v>736</v>
      </c>
      <c r="BM127" s="136" t="s">
        <v>175</v>
      </c>
      <c r="BN127" s="136" t="s">
        <v>175</v>
      </c>
      <c r="BO127" s="136" t="s">
        <v>736</v>
      </c>
      <c r="BP127" s="137" t="s">
        <v>175</v>
      </c>
      <c r="BQ127" s="137" t="s">
        <v>175</v>
      </c>
      <c r="BR127" s="137" t="s">
        <v>175</v>
      </c>
      <c r="BS127" s="137" t="s">
        <v>175</v>
      </c>
      <c r="BT127" s="138">
        <f t="shared" si="46"/>
        <v>-93.310270406823236</v>
      </c>
      <c r="BU127" s="138">
        <f t="shared" si="47"/>
        <v>0.56379606241973701</v>
      </c>
      <c r="BV127" s="138">
        <f t="shared" si="48"/>
        <v>0.56379606241973701</v>
      </c>
      <c r="BW127" s="53" t="s">
        <v>175</v>
      </c>
      <c r="BX127" s="53" t="s">
        <v>175</v>
      </c>
      <c r="BY127" s="53" t="s">
        <v>175</v>
      </c>
      <c r="BZ127" s="53" t="s">
        <v>175</v>
      </c>
      <c r="CA127" s="147">
        <v>1</v>
      </c>
      <c r="CB127" s="54">
        <v>0</v>
      </c>
    </row>
    <row r="128" spans="1:80">
      <c r="A128" s="123" t="s">
        <v>810</v>
      </c>
      <c r="B128" s="124" t="s">
        <v>767</v>
      </c>
      <c r="C128" s="148" t="s">
        <v>674</v>
      </c>
      <c r="D128" s="125" t="s">
        <v>167</v>
      </c>
      <c r="E128" s="150">
        <v>21.664967000000001</v>
      </c>
      <c r="F128" s="150">
        <v>115.262333</v>
      </c>
      <c r="G128" s="128" t="s">
        <v>168</v>
      </c>
      <c r="H128" s="151">
        <v>10440</v>
      </c>
      <c r="I128" s="151">
        <v>148.66068747318505</v>
      </c>
      <c r="J128" s="151">
        <v>12293</v>
      </c>
      <c r="K128" s="151">
        <v>420</v>
      </c>
      <c r="L128" s="151">
        <v>461</v>
      </c>
      <c r="M128" s="153" t="s">
        <v>818</v>
      </c>
      <c r="N128" s="130" t="s">
        <v>735</v>
      </c>
      <c r="O128" s="153" t="s">
        <v>818</v>
      </c>
      <c r="P128" s="153" t="s">
        <v>819</v>
      </c>
      <c r="Q128" s="153" t="s">
        <v>172</v>
      </c>
      <c r="R128" s="131">
        <f>(0+0.25)/2</f>
        <v>0.125</v>
      </c>
      <c r="S128" s="112" t="s">
        <v>175</v>
      </c>
      <c r="T128" s="130">
        <v>1</v>
      </c>
      <c r="U128" s="132" t="s">
        <v>173</v>
      </c>
      <c r="V128" s="133">
        <v>0.1</v>
      </c>
      <c r="W128" s="132" t="s">
        <v>174</v>
      </c>
      <c r="X128" s="133">
        <v>0.1</v>
      </c>
      <c r="Y128" s="133">
        <v>0.05</v>
      </c>
      <c r="Z128" s="133">
        <v>0.13</v>
      </c>
      <c r="AA128" s="133">
        <v>0.15</v>
      </c>
      <c r="AB128" s="133">
        <f t="shared" si="77"/>
        <v>2.5000000000000001E-3</v>
      </c>
      <c r="AC128" s="134">
        <v>0</v>
      </c>
      <c r="AD128" s="134">
        <v>0</v>
      </c>
      <c r="AE128" s="134">
        <v>0.5</v>
      </c>
      <c r="AF128" s="134">
        <v>0</v>
      </c>
      <c r="AG128" s="134">
        <v>0.1</v>
      </c>
      <c r="AH128" s="134">
        <v>0</v>
      </c>
      <c r="AI128" s="134">
        <v>0</v>
      </c>
      <c r="AJ128" s="134">
        <v>0</v>
      </c>
      <c r="AK128" s="134" t="s">
        <v>175</v>
      </c>
      <c r="AL128" s="122" t="s">
        <v>175</v>
      </c>
      <c r="AM128" s="122">
        <f>-101-0.13-0.88-0.146</f>
        <v>-102.15599999999999</v>
      </c>
      <c r="AN128" s="134" t="s">
        <v>176</v>
      </c>
      <c r="AO128" s="134" t="s">
        <v>177</v>
      </c>
      <c r="AP128" s="135">
        <f t="shared" ref="AP128:AP131" si="82">SQRT(SUMSQ(IF(OR(Y128="nd",Y128="nd"),0,Y128),IF(OR(Z128="nd",Z128="nd"),0,Z128),IF(OR(AA128="nd",AA128="nd"),0,AA128),IF(OR(AB128="nd",AB128="nd"),0,AB128),IF(OR(AC128="nd",AC128="nd"),0,AC128),IF(OR(AD128="nd",AD128="nd"),0,AD128),IF(OR(AE128="nd",AE128="nd"),0,AE128),IF(OR(AF128="nd",AF128="nd"),0,AF128),IF(OR(AG128="nd",AG128="nd"),0,AG128),IF(OR(AH128="nd",AH128="nd"),0,AH128),IF(OR(AI128="nd",AI128="nd"),0,AI128),IF(OR(AJ128="nd",AJ128="nd"),0,AJ128)))</f>
        <v>0.54945996214464976</v>
      </c>
      <c r="AQ128" s="135">
        <f t="shared" ref="AQ128:AQ131" si="83">SQRT(SUMSQ(IF(OR(Y128="nd",Y128="nd"),0,Y128),IF(OR(Z128="nd",Z128="nd"),0,Z128),IF(OR(AA128="nd",AA128="nd"),0,AA128),IF(OR(AB128="nd",AB128="nd"),0,AB128),IF(OR(AC128="nd",AC128="nd"),0,AC128),IF(OR(AD128="nd",AD128="nd"),0,AD128),IF(OR(AE128="nd",AE128="nd"),0,AE128),IF(OR(AF128="nd",AF128="nd"),0,AF128),IF(OR(AG128="nd",AG128="nd"),0,AG128),IF(OR(AH128="nd",AH128="nd"),0,AH128),IF(OR(AI128="nd",AI128="nd"),0,AI128),IF(OR(AJ128="nd",AJ128="nd"),0,AJ128)))</f>
        <v>0.54945996214464976</v>
      </c>
      <c r="AR128" s="117">
        <v>-1.20334941461404</v>
      </c>
      <c r="AS128" s="117">
        <v>0</v>
      </c>
      <c r="AT128" s="117">
        <v>0</v>
      </c>
      <c r="AU128" s="117">
        <v>-0.61418716846144505</v>
      </c>
      <c r="AV128" s="117">
        <v>-0.364187168461445</v>
      </c>
      <c r="AW128" s="117">
        <v>7.0603393076705601E-2</v>
      </c>
      <c r="AX128" s="117">
        <v>0.48039395461485601</v>
      </c>
      <c r="AY128" s="117">
        <v>0.78039395461485594</v>
      </c>
      <c r="AZ128" s="117">
        <v>0</v>
      </c>
      <c r="BA128" s="117">
        <v>0</v>
      </c>
      <c r="BB128" s="117">
        <v>1.2276845161529999</v>
      </c>
      <c r="BC128" s="136">
        <v>-1</v>
      </c>
      <c r="BD128" s="136" t="s">
        <v>178</v>
      </c>
      <c r="BE128" s="152" t="s">
        <v>702</v>
      </c>
      <c r="BF128" s="152" t="s">
        <v>840</v>
      </c>
      <c r="BG128" s="120" t="s">
        <v>678</v>
      </c>
      <c r="BH128" s="136" t="str">
        <f t="shared" si="38"/>
        <v>&lt;MTL</v>
      </c>
      <c r="BI128" s="136">
        <f t="shared" si="39"/>
        <v>7.0603393076705601E-2</v>
      </c>
      <c r="BJ128" s="136" t="str">
        <f t="shared" si="41"/>
        <v>Nil</v>
      </c>
      <c r="BK128" s="136">
        <f t="shared" si="42"/>
        <v>0.05</v>
      </c>
      <c r="BL128" s="136" t="s">
        <v>736</v>
      </c>
      <c r="BM128" s="136" t="s">
        <v>175</v>
      </c>
      <c r="BN128" s="136" t="s">
        <v>175</v>
      </c>
      <c r="BO128" s="136" t="s">
        <v>736</v>
      </c>
      <c r="BP128" s="137" t="s">
        <v>175</v>
      </c>
      <c r="BQ128" s="137" t="s">
        <v>175</v>
      </c>
      <c r="BR128" s="137" t="s">
        <v>175</v>
      </c>
      <c r="BS128" s="137" t="s">
        <v>175</v>
      </c>
      <c r="BT128" s="138">
        <f t="shared" si="46"/>
        <v>-102.2266033930767</v>
      </c>
      <c r="BU128" s="138">
        <f t="shared" si="47"/>
        <v>0.5517302329943502</v>
      </c>
      <c r="BV128" s="138">
        <f t="shared" si="48"/>
        <v>0.5517302329943502</v>
      </c>
      <c r="BW128" s="53" t="s">
        <v>175</v>
      </c>
      <c r="BX128" s="53" t="s">
        <v>175</v>
      </c>
      <c r="BY128" s="53" t="s">
        <v>175</v>
      </c>
      <c r="BZ128" s="53" t="s">
        <v>175</v>
      </c>
      <c r="CA128" s="147">
        <v>1</v>
      </c>
      <c r="CB128" s="54">
        <v>0</v>
      </c>
    </row>
    <row r="129" spans="1:80">
      <c r="A129" s="123" t="s">
        <v>811</v>
      </c>
      <c r="B129" s="124" t="s">
        <v>767</v>
      </c>
      <c r="C129" s="148" t="s">
        <v>674</v>
      </c>
      <c r="D129" s="125" t="s">
        <v>167</v>
      </c>
      <c r="E129" s="150">
        <v>21.664967000000001</v>
      </c>
      <c r="F129" s="150">
        <v>115.262333</v>
      </c>
      <c r="G129" s="128" t="s">
        <v>168</v>
      </c>
      <c r="H129" s="151">
        <v>3050</v>
      </c>
      <c r="I129" s="151">
        <v>105.94810050208545</v>
      </c>
      <c r="J129" s="151">
        <v>3234</v>
      </c>
      <c r="K129" s="151">
        <v>230</v>
      </c>
      <c r="L129" s="151">
        <v>281</v>
      </c>
      <c r="M129" s="153" t="s">
        <v>818</v>
      </c>
      <c r="N129" s="130" t="s">
        <v>735</v>
      </c>
      <c r="O129" s="153" t="s">
        <v>818</v>
      </c>
      <c r="P129" s="153" t="s">
        <v>819</v>
      </c>
      <c r="Q129" s="153" t="s">
        <v>172</v>
      </c>
      <c r="R129" s="131">
        <f>(0.25+0.5)/2</f>
        <v>0.375</v>
      </c>
      <c r="S129" s="112" t="s">
        <v>175</v>
      </c>
      <c r="T129" s="130">
        <v>1</v>
      </c>
      <c r="U129" s="132" t="s">
        <v>173</v>
      </c>
      <c r="V129" s="133">
        <v>0.1</v>
      </c>
      <c r="W129" s="132" t="s">
        <v>174</v>
      </c>
      <c r="X129" s="133">
        <v>0.1</v>
      </c>
      <c r="Y129" s="133">
        <v>0.05</v>
      </c>
      <c r="Z129" s="133">
        <v>0.13</v>
      </c>
      <c r="AA129" s="133">
        <v>0.15</v>
      </c>
      <c r="AB129" s="133">
        <f t="shared" si="77"/>
        <v>7.4999999999999997E-3</v>
      </c>
      <c r="AC129" s="134">
        <v>0</v>
      </c>
      <c r="AD129" s="134">
        <v>0</v>
      </c>
      <c r="AE129" s="134">
        <v>0.5</v>
      </c>
      <c r="AF129" s="134">
        <v>0</v>
      </c>
      <c r="AG129" s="134">
        <v>0.1</v>
      </c>
      <c r="AH129" s="134">
        <v>0</v>
      </c>
      <c r="AI129" s="134">
        <v>0</v>
      </c>
      <c r="AJ129" s="134">
        <v>0</v>
      </c>
      <c r="AK129" s="134" t="s">
        <v>175</v>
      </c>
      <c r="AL129" s="122" t="s">
        <v>175</v>
      </c>
      <c r="AM129" s="122">
        <f>-101-0.38-0.88-0.146</f>
        <v>-102.40599999999999</v>
      </c>
      <c r="AN129" s="134" t="s">
        <v>176</v>
      </c>
      <c r="AO129" s="134" t="s">
        <v>177</v>
      </c>
      <c r="AP129" s="135">
        <f t="shared" si="82"/>
        <v>0.5495054594815233</v>
      </c>
      <c r="AQ129" s="135">
        <f t="shared" si="83"/>
        <v>0.5495054594815233</v>
      </c>
      <c r="AR129" s="117">
        <v>-1.20334941461404</v>
      </c>
      <c r="AS129" s="117">
        <v>0</v>
      </c>
      <c r="AT129" s="117">
        <v>0</v>
      </c>
      <c r="AU129" s="117">
        <v>-0.61418716846144505</v>
      </c>
      <c r="AV129" s="117">
        <v>-0.364187168461445</v>
      </c>
      <c r="AW129" s="117">
        <v>7.0603393076705601E-2</v>
      </c>
      <c r="AX129" s="117">
        <v>0.48039395461485601</v>
      </c>
      <c r="AY129" s="117">
        <v>0.78039395461485594</v>
      </c>
      <c r="AZ129" s="117">
        <v>0</v>
      </c>
      <c r="BA129" s="117">
        <v>0</v>
      </c>
      <c r="BB129" s="117">
        <v>1.2276845161529999</v>
      </c>
      <c r="BC129" s="136">
        <v>-1</v>
      </c>
      <c r="BD129" s="136" t="s">
        <v>178</v>
      </c>
      <c r="BE129" s="152" t="s">
        <v>702</v>
      </c>
      <c r="BF129" s="152" t="s">
        <v>840</v>
      </c>
      <c r="BG129" s="120" t="s">
        <v>678</v>
      </c>
      <c r="BH129" s="136" t="str">
        <f t="shared" si="38"/>
        <v>&lt;MTL</v>
      </c>
      <c r="BI129" s="136">
        <f t="shared" si="39"/>
        <v>7.0603393076705601E-2</v>
      </c>
      <c r="BJ129" s="136" t="str">
        <f t="shared" si="41"/>
        <v>Nil</v>
      </c>
      <c r="BK129" s="136">
        <f t="shared" si="42"/>
        <v>0.05</v>
      </c>
      <c r="BL129" s="136" t="s">
        <v>736</v>
      </c>
      <c r="BM129" s="136" t="s">
        <v>175</v>
      </c>
      <c r="BN129" s="136" t="s">
        <v>175</v>
      </c>
      <c r="BO129" s="136" t="s">
        <v>736</v>
      </c>
      <c r="BP129" s="137" t="s">
        <v>175</v>
      </c>
      <c r="BQ129" s="137" t="s">
        <v>175</v>
      </c>
      <c r="BR129" s="137" t="s">
        <v>175</v>
      </c>
      <c r="BS129" s="137" t="s">
        <v>175</v>
      </c>
      <c r="BT129" s="138">
        <f t="shared" si="46"/>
        <v>-102.4766033930767</v>
      </c>
      <c r="BU129" s="138">
        <f t="shared" si="47"/>
        <v>0.55177554313325639</v>
      </c>
      <c r="BV129" s="138">
        <f t="shared" si="48"/>
        <v>0.55177554313325639</v>
      </c>
      <c r="BW129" s="53" t="s">
        <v>175</v>
      </c>
      <c r="BX129" s="53" t="s">
        <v>175</v>
      </c>
      <c r="BY129" s="53" t="s">
        <v>175</v>
      </c>
      <c r="BZ129" s="53" t="s">
        <v>175</v>
      </c>
      <c r="CA129" s="147">
        <v>1</v>
      </c>
      <c r="CB129" s="54">
        <v>0</v>
      </c>
    </row>
    <row r="130" spans="1:80">
      <c r="A130" s="123" t="s">
        <v>812</v>
      </c>
      <c r="B130" s="124" t="s">
        <v>767</v>
      </c>
      <c r="C130" s="148" t="s">
        <v>674</v>
      </c>
      <c r="D130" s="125" t="s">
        <v>167</v>
      </c>
      <c r="E130" s="150">
        <v>21.664967000000001</v>
      </c>
      <c r="F130" s="150">
        <v>115.262333</v>
      </c>
      <c r="G130" s="128" t="s">
        <v>168</v>
      </c>
      <c r="H130" s="151">
        <v>3690</v>
      </c>
      <c r="I130" s="151">
        <v>114.12712210513327</v>
      </c>
      <c r="J130" s="151">
        <v>4036</v>
      </c>
      <c r="K130" s="151">
        <v>368</v>
      </c>
      <c r="L130" s="151">
        <v>315</v>
      </c>
      <c r="M130" s="153" t="s">
        <v>818</v>
      </c>
      <c r="N130" s="130" t="s">
        <v>735</v>
      </c>
      <c r="O130" s="153" t="s">
        <v>818</v>
      </c>
      <c r="P130" s="153" t="s">
        <v>819</v>
      </c>
      <c r="Q130" s="153" t="s">
        <v>172</v>
      </c>
      <c r="R130" s="131">
        <f>(0.5+0.75)/2</f>
        <v>0.625</v>
      </c>
      <c r="S130" s="112" t="s">
        <v>175</v>
      </c>
      <c r="T130" s="130">
        <v>1</v>
      </c>
      <c r="U130" s="132" t="s">
        <v>173</v>
      </c>
      <c r="V130" s="133">
        <v>0.1</v>
      </c>
      <c r="W130" s="132" t="s">
        <v>174</v>
      </c>
      <c r="X130" s="133">
        <v>0.1</v>
      </c>
      <c r="Y130" s="133">
        <v>0.05</v>
      </c>
      <c r="Z130" s="133">
        <v>0.13</v>
      </c>
      <c r="AA130" s="133">
        <v>0.15</v>
      </c>
      <c r="AB130" s="133">
        <f t="shared" si="77"/>
        <v>1.2500000000000001E-2</v>
      </c>
      <c r="AC130" s="134">
        <v>0</v>
      </c>
      <c r="AD130" s="134">
        <v>0</v>
      </c>
      <c r="AE130" s="134">
        <v>0.5</v>
      </c>
      <c r="AF130" s="134">
        <v>0</v>
      </c>
      <c r="AG130" s="134">
        <v>0.1</v>
      </c>
      <c r="AH130" s="134">
        <v>0</v>
      </c>
      <c r="AI130" s="134">
        <v>0</v>
      </c>
      <c r="AJ130" s="134">
        <v>0</v>
      </c>
      <c r="AK130" s="134" t="s">
        <v>175</v>
      </c>
      <c r="AL130" s="122" t="s">
        <v>175</v>
      </c>
      <c r="AM130" s="122">
        <f>-101-0.63-0.88-0.146</f>
        <v>-102.65599999999999</v>
      </c>
      <c r="AN130" s="134" t="s">
        <v>176</v>
      </c>
      <c r="AO130" s="134" t="s">
        <v>177</v>
      </c>
      <c r="AP130" s="135">
        <f t="shared" si="82"/>
        <v>0.54959644285602871</v>
      </c>
      <c r="AQ130" s="135">
        <f t="shared" si="83"/>
        <v>0.54959644285602871</v>
      </c>
      <c r="AR130" s="117">
        <v>-1.20334941461404</v>
      </c>
      <c r="AS130" s="117">
        <v>0</v>
      </c>
      <c r="AT130" s="117">
        <v>0</v>
      </c>
      <c r="AU130" s="117">
        <v>-0.61418716846144505</v>
      </c>
      <c r="AV130" s="117">
        <v>-0.364187168461445</v>
      </c>
      <c r="AW130" s="117">
        <v>7.0603393076705601E-2</v>
      </c>
      <c r="AX130" s="117">
        <v>0.48039395461485601</v>
      </c>
      <c r="AY130" s="117">
        <v>0.78039395461485594</v>
      </c>
      <c r="AZ130" s="117">
        <v>0</v>
      </c>
      <c r="BA130" s="117">
        <v>0</v>
      </c>
      <c r="BB130" s="117">
        <v>1.2276845161529999</v>
      </c>
      <c r="BC130" s="136">
        <v>-1</v>
      </c>
      <c r="BD130" s="136" t="s">
        <v>178</v>
      </c>
      <c r="BE130" s="152" t="s">
        <v>702</v>
      </c>
      <c r="BF130" s="152" t="s">
        <v>840</v>
      </c>
      <c r="BG130" s="120" t="s">
        <v>678</v>
      </c>
      <c r="BH130" s="136" t="str">
        <f t="shared" si="38"/>
        <v>&lt;MTL</v>
      </c>
      <c r="BI130" s="136">
        <f t="shared" si="39"/>
        <v>7.0603393076705601E-2</v>
      </c>
      <c r="BJ130" s="136" t="str">
        <f t="shared" si="41"/>
        <v>Nil</v>
      </c>
      <c r="BK130" s="136">
        <f t="shared" si="42"/>
        <v>0.05</v>
      </c>
      <c r="BL130" s="136" t="s">
        <v>736</v>
      </c>
      <c r="BM130" s="136" t="s">
        <v>175</v>
      </c>
      <c r="BN130" s="136" t="s">
        <v>175</v>
      </c>
      <c r="BO130" s="136" t="s">
        <v>736</v>
      </c>
      <c r="BP130" s="137" t="s">
        <v>175</v>
      </c>
      <c r="BQ130" s="137" t="s">
        <v>175</v>
      </c>
      <c r="BR130" s="137" t="s">
        <v>175</v>
      </c>
      <c r="BS130" s="137" t="s">
        <v>175</v>
      </c>
      <c r="BT130" s="138">
        <f t="shared" si="46"/>
        <v>-102.7266033930767</v>
      </c>
      <c r="BU130" s="138">
        <f t="shared" si="47"/>
        <v>0.55186615225070657</v>
      </c>
      <c r="BV130" s="138">
        <f t="shared" si="48"/>
        <v>0.55186615225070657</v>
      </c>
      <c r="BW130" s="53" t="s">
        <v>175</v>
      </c>
      <c r="BX130" s="53" t="s">
        <v>175</v>
      </c>
      <c r="BY130" s="53" t="s">
        <v>175</v>
      </c>
      <c r="BZ130" s="53" t="s">
        <v>175</v>
      </c>
      <c r="CA130" s="147">
        <v>1</v>
      </c>
      <c r="CB130" s="54">
        <v>0</v>
      </c>
    </row>
    <row r="131" spans="1:80">
      <c r="A131" s="123" t="s">
        <v>813</v>
      </c>
      <c r="B131" s="124" t="s">
        <v>767</v>
      </c>
      <c r="C131" s="148" t="s">
        <v>674</v>
      </c>
      <c r="D131" s="125" t="s">
        <v>167</v>
      </c>
      <c r="E131" s="150">
        <v>21.664967000000001</v>
      </c>
      <c r="F131" s="150">
        <v>115.262333</v>
      </c>
      <c r="G131" s="128" t="s">
        <v>168</v>
      </c>
      <c r="H131" s="151">
        <v>4945</v>
      </c>
      <c r="I131" s="151">
        <v>107.70329614269008</v>
      </c>
      <c r="J131" s="151">
        <v>5694</v>
      </c>
      <c r="K131" s="151">
        <v>225</v>
      </c>
      <c r="L131" s="151">
        <v>222</v>
      </c>
      <c r="M131" s="153" t="s">
        <v>818</v>
      </c>
      <c r="N131" s="130" t="s">
        <v>735</v>
      </c>
      <c r="O131" s="153" t="s">
        <v>818</v>
      </c>
      <c r="P131" s="153" t="s">
        <v>819</v>
      </c>
      <c r="Q131" s="153" t="s">
        <v>172</v>
      </c>
      <c r="R131" s="131">
        <f>(0.75+1)/2</f>
        <v>0.875</v>
      </c>
      <c r="S131" s="112" t="s">
        <v>175</v>
      </c>
      <c r="T131" s="130">
        <v>1</v>
      </c>
      <c r="U131" s="132" t="s">
        <v>173</v>
      </c>
      <c r="V131" s="133">
        <v>0.1</v>
      </c>
      <c r="W131" s="132" t="s">
        <v>174</v>
      </c>
      <c r="X131" s="133">
        <v>0.1</v>
      </c>
      <c r="Y131" s="133">
        <v>0.05</v>
      </c>
      <c r="Z131" s="133">
        <v>0.13</v>
      </c>
      <c r="AA131" s="133">
        <v>0.15</v>
      </c>
      <c r="AB131" s="133">
        <f>0.02*R131</f>
        <v>1.7500000000000002E-2</v>
      </c>
      <c r="AC131" s="134">
        <v>0</v>
      </c>
      <c r="AD131" s="134">
        <v>0</v>
      </c>
      <c r="AE131" s="134">
        <v>0.5</v>
      </c>
      <c r="AF131" s="134">
        <v>0</v>
      </c>
      <c r="AG131" s="134">
        <v>0.1</v>
      </c>
      <c r="AH131" s="134">
        <v>0</v>
      </c>
      <c r="AI131" s="134">
        <v>0</v>
      </c>
      <c r="AJ131" s="134">
        <v>0</v>
      </c>
      <c r="AK131" s="134" t="s">
        <v>175</v>
      </c>
      <c r="AL131" s="122" t="s">
        <v>175</v>
      </c>
      <c r="AM131" s="122">
        <f>-101-0.88-0.88-0.146</f>
        <v>-102.90599999999999</v>
      </c>
      <c r="AN131" s="134" t="s">
        <v>176</v>
      </c>
      <c r="AO131" s="134" t="s">
        <v>177</v>
      </c>
      <c r="AP131" s="135">
        <f t="shared" si="82"/>
        <v>0.54973288968370815</v>
      </c>
      <c r="AQ131" s="135">
        <f t="shared" si="83"/>
        <v>0.54973288968370815</v>
      </c>
      <c r="AR131" s="117">
        <v>-1.20334941461404</v>
      </c>
      <c r="AS131" s="117">
        <v>0</v>
      </c>
      <c r="AT131" s="117">
        <v>0</v>
      </c>
      <c r="AU131" s="117">
        <v>-0.61418716846144505</v>
      </c>
      <c r="AV131" s="117">
        <v>-0.364187168461445</v>
      </c>
      <c r="AW131" s="117">
        <v>7.0603393076705601E-2</v>
      </c>
      <c r="AX131" s="117">
        <v>0.48039395461485601</v>
      </c>
      <c r="AY131" s="117">
        <v>0.78039395461485594</v>
      </c>
      <c r="AZ131" s="117">
        <v>0</v>
      </c>
      <c r="BA131" s="117">
        <v>0</v>
      </c>
      <c r="BB131" s="117">
        <v>1.2276845161529999</v>
      </c>
      <c r="BC131" s="136">
        <v>-1</v>
      </c>
      <c r="BD131" s="136" t="s">
        <v>178</v>
      </c>
      <c r="BE131" s="152" t="s">
        <v>702</v>
      </c>
      <c r="BF131" s="152" t="s">
        <v>840</v>
      </c>
      <c r="BG131" s="120" t="s">
        <v>678</v>
      </c>
      <c r="BH131" s="136" t="str">
        <f t="shared" si="38"/>
        <v>&lt;MTL</v>
      </c>
      <c r="BI131" s="136">
        <f t="shared" si="39"/>
        <v>7.0603393076705601E-2</v>
      </c>
      <c r="BJ131" s="136" t="str">
        <f t="shared" si="41"/>
        <v>Nil</v>
      </c>
      <c r="BK131" s="136">
        <f t="shared" si="42"/>
        <v>0.05</v>
      </c>
      <c r="BL131" s="136" t="s">
        <v>736</v>
      </c>
      <c r="BM131" s="136" t="s">
        <v>175</v>
      </c>
      <c r="BN131" s="136" t="s">
        <v>175</v>
      </c>
      <c r="BO131" s="136" t="s">
        <v>736</v>
      </c>
      <c r="BP131" s="137" t="s">
        <v>175</v>
      </c>
      <c r="BQ131" s="137" t="s">
        <v>175</v>
      </c>
      <c r="BR131" s="137" t="s">
        <v>175</v>
      </c>
      <c r="BS131" s="137" t="s">
        <v>175</v>
      </c>
      <c r="BT131" s="138">
        <f t="shared" si="46"/>
        <v>-102.9766033930767</v>
      </c>
      <c r="BU131" s="138">
        <f t="shared" si="47"/>
        <v>0.55200203803971593</v>
      </c>
      <c r="BV131" s="138">
        <f t="shared" si="48"/>
        <v>0.55200203803971593</v>
      </c>
      <c r="BW131" s="53" t="s">
        <v>175</v>
      </c>
      <c r="BX131" s="53" t="s">
        <v>175</v>
      </c>
      <c r="BY131" s="53" t="s">
        <v>175</v>
      </c>
      <c r="BZ131" s="53" t="s">
        <v>175</v>
      </c>
      <c r="CA131" s="147">
        <v>1</v>
      </c>
      <c r="CB131" s="54">
        <v>0</v>
      </c>
    </row>
    <row r="132" spans="1:80">
      <c r="A132" s="123" t="s">
        <v>814</v>
      </c>
      <c r="B132" s="124" t="s">
        <v>767</v>
      </c>
      <c r="C132" s="148" t="s">
        <v>674</v>
      </c>
      <c r="D132" s="125" t="s">
        <v>167</v>
      </c>
      <c r="E132" s="150">
        <v>21.664967000000001</v>
      </c>
      <c r="F132" s="150">
        <v>115.262333</v>
      </c>
      <c r="G132" s="128" t="s">
        <v>168</v>
      </c>
      <c r="H132" s="151">
        <v>6190</v>
      </c>
      <c r="I132" s="151">
        <v>75</v>
      </c>
      <c r="J132" s="151">
        <v>6441</v>
      </c>
      <c r="K132" s="151">
        <v>267</v>
      </c>
      <c r="L132" s="151">
        <v>248</v>
      </c>
      <c r="M132" s="153" t="s">
        <v>818</v>
      </c>
      <c r="N132" s="130" t="s">
        <v>339</v>
      </c>
      <c r="O132" s="153" t="s">
        <v>818</v>
      </c>
      <c r="P132" s="153" t="s">
        <v>819</v>
      </c>
      <c r="Q132" s="153" t="s">
        <v>172</v>
      </c>
      <c r="R132" s="131">
        <f>(1+1.25)/2</f>
        <v>1.125</v>
      </c>
      <c r="S132" s="112" t="s">
        <v>175</v>
      </c>
      <c r="T132" s="130">
        <v>1</v>
      </c>
      <c r="U132" s="132" t="s">
        <v>173</v>
      </c>
      <c r="V132" s="133">
        <v>0.01</v>
      </c>
      <c r="W132" s="132" t="s">
        <v>174</v>
      </c>
      <c r="X132" s="133">
        <v>0.01</v>
      </c>
      <c r="Y132" s="133">
        <v>5.0000000000000001E-3</v>
      </c>
      <c r="Z132" s="133">
        <v>0.13</v>
      </c>
      <c r="AA132" s="133">
        <v>0.15</v>
      </c>
      <c r="AB132" s="133">
        <f t="shared" ref="AB132:AB133" si="84">0.02*R132</f>
        <v>2.2499999999999999E-2</v>
      </c>
      <c r="AC132" s="134">
        <v>0</v>
      </c>
      <c r="AD132" s="134">
        <v>0</v>
      </c>
      <c r="AE132" s="134">
        <v>0.5</v>
      </c>
      <c r="AF132" s="134">
        <v>0</v>
      </c>
      <c r="AG132" s="134">
        <v>0.1</v>
      </c>
      <c r="AH132" s="134">
        <v>0</v>
      </c>
      <c r="AI132" s="134">
        <v>0</v>
      </c>
      <c r="AJ132" s="134">
        <v>0</v>
      </c>
      <c r="AK132" s="134" t="s">
        <v>175</v>
      </c>
      <c r="AL132" s="122" t="s">
        <v>175</v>
      </c>
      <c r="AM132" s="122">
        <f>-101-1.13-0.88-0.146</f>
        <v>-103.15599999999999</v>
      </c>
      <c r="AN132" s="134" t="s">
        <v>176</v>
      </c>
      <c r="AO132" s="134" t="s">
        <v>177</v>
      </c>
      <c r="AP132" s="135">
        <f t="shared" ref="AP132:AP134" si="85">SQRT(SUMSQ(IF(OR(Y132="nd",Y132="nd"),0,Y132),IF(OR(Z132="nd",Z132="nd"),0,Z132),IF(OR(AA132="nd",AA132="nd"),0,AA132),IF(OR(AB132="nd",AB132="nd"),0,AB132),IF(OR(AC132="nd",AC132="nd"),0,AC132),IF(OR(AD132="nd",AD132="nd"),0,AD132),IF(OR(AE132="nd",AE132="nd"),0,AE132),IF(OR(AF132="nd",AF132="nd"),0,AF132),IF(OR(AG132="nd",AG132="nd"),0,AG132),IF(OR(AH132="nd",AH132="nd"),0,AH132),IF(OR(AI132="nd",AI132="nd"),0,AI132),IF(OR(AJ132="nd",AJ132="nd"),0,AJ132)))</f>
        <v>0.54765979403275533</v>
      </c>
      <c r="AQ132" s="135">
        <f t="shared" ref="AQ132:AQ134" si="86">SQRT(SUMSQ(IF(OR(Y132="nd",Y132="nd"),0,Y132),IF(OR(Z132="nd",Z132="nd"),0,Z132),IF(OR(AA132="nd",AA132="nd"),0,AA132),IF(OR(AB132="nd",AB132="nd"),0,AB132),IF(OR(AC132="nd",AC132="nd"),0,AC132),IF(OR(AD132="nd",AD132="nd"),0,AD132),IF(OR(AE132="nd",AE132="nd"),0,AE132),IF(OR(AF132="nd",AF132="nd"),0,AF132),IF(OR(AG132="nd",AG132="nd"),0,AG132),IF(OR(AH132="nd",AH132="nd"),0,AH132),IF(OR(AI132="nd",AI132="nd"),0,AI132),IF(OR(AJ132="nd",AJ132="nd"),0,AJ132)))</f>
        <v>0.54765979403275533</v>
      </c>
      <c r="AR132" s="117">
        <v>-1.20334941461404</v>
      </c>
      <c r="AS132" s="117">
        <v>0</v>
      </c>
      <c r="AT132" s="117">
        <v>0</v>
      </c>
      <c r="AU132" s="117">
        <v>-0.61418716846144505</v>
      </c>
      <c r="AV132" s="117">
        <v>-0.364187168461445</v>
      </c>
      <c r="AW132" s="117">
        <v>7.0603393076705601E-2</v>
      </c>
      <c r="AX132" s="117">
        <v>0.48039395461485601</v>
      </c>
      <c r="AY132" s="117">
        <v>0.78039395461485594</v>
      </c>
      <c r="AZ132" s="117">
        <v>0</v>
      </c>
      <c r="BA132" s="117">
        <v>0</v>
      </c>
      <c r="BB132" s="117">
        <v>1.2276845161529999</v>
      </c>
      <c r="BC132" s="136">
        <v>-1</v>
      </c>
      <c r="BD132" s="136" t="s">
        <v>178</v>
      </c>
      <c r="BE132" s="152" t="s">
        <v>702</v>
      </c>
      <c r="BF132" s="152" t="s">
        <v>840</v>
      </c>
      <c r="BG132" s="120" t="s">
        <v>678</v>
      </c>
      <c r="BH132" s="136" t="str">
        <f t="shared" si="38"/>
        <v>&lt;MTL</v>
      </c>
      <c r="BI132" s="136">
        <f t="shared" si="39"/>
        <v>7.0603393076705601E-2</v>
      </c>
      <c r="BJ132" s="136" t="str">
        <f t="shared" si="41"/>
        <v>Nil</v>
      </c>
      <c r="BK132" s="136">
        <f t="shared" si="42"/>
        <v>0.05</v>
      </c>
      <c r="BL132" s="136" t="s">
        <v>736</v>
      </c>
      <c r="BM132" s="136" t="s">
        <v>175</v>
      </c>
      <c r="BN132" s="136" t="s">
        <v>175</v>
      </c>
      <c r="BO132" s="136" t="s">
        <v>736</v>
      </c>
      <c r="BP132" s="137" t="s">
        <v>175</v>
      </c>
      <c r="BQ132" s="137" t="s">
        <v>175</v>
      </c>
      <c r="BR132" s="137" t="s">
        <v>175</v>
      </c>
      <c r="BS132" s="137" t="s">
        <v>175</v>
      </c>
      <c r="BT132" s="138">
        <f t="shared" si="46"/>
        <v>-103.2266033930767</v>
      </c>
      <c r="BU132" s="138">
        <f t="shared" si="47"/>
        <v>0.54993749644846002</v>
      </c>
      <c r="BV132" s="138">
        <f t="shared" si="48"/>
        <v>0.54993749644846002</v>
      </c>
      <c r="BW132" s="53" t="s">
        <v>175</v>
      </c>
      <c r="BX132" s="53" t="s">
        <v>175</v>
      </c>
      <c r="BY132" s="53" t="s">
        <v>175</v>
      </c>
      <c r="BZ132" s="53" t="s">
        <v>175</v>
      </c>
      <c r="CA132" s="147">
        <v>1</v>
      </c>
      <c r="CB132" s="54">
        <v>0</v>
      </c>
    </row>
    <row r="133" spans="1:80">
      <c r="A133" s="123" t="s">
        <v>815</v>
      </c>
      <c r="B133" s="124" t="s">
        <v>767</v>
      </c>
      <c r="C133" s="148" t="s">
        <v>674</v>
      </c>
      <c r="D133" s="125" t="s">
        <v>167</v>
      </c>
      <c r="E133" s="150">
        <v>21.664967000000001</v>
      </c>
      <c r="F133" s="150">
        <v>115.262333</v>
      </c>
      <c r="G133" s="128" t="s">
        <v>168</v>
      </c>
      <c r="H133" s="151">
        <v>9870</v>
      </c>
      <c r="I133" s="151">
        <v>110</v>
      </c>
      <c r="J133" s="151">
        <v>10714</v>
      </c>
      <c r="K133" s="151">
        <v>395</v>
      </c>
      <c r="L133" s="151">
        <v>408</v>
      </c>
      <c r="M133" s="153" t="s">
        <v>818</v>
      </c>
      <c r="N133" s="130" t="s">
        <v>339</v>
      </c>
      <c r="O133" s="153" t="s">
        <v>818</v>
      </c>
      <c r="P133" s="153" t="s">
        <v>819</v>
      </c>
      <c r="Q133" s="153" t="s">
        <v>172</v>
      </c>
      <c r="R133" s="131">
        <f t="shared" ref="R133:R135" si="87">(1+1.25)/2</f>
        <v>1.125</v>
      </c>
      <c r="S133" s="112" t="s">
        <v>175</v>
      </c>
      <c r="T133" s="130">
        <v>1</v>
      </c>
      <c r="U133" s="132" t="s">
        <v>173</v>
      </c>
      <c r="V133" s="133">
        <v>0.01</v>
      </c>
      <c r="W133" s="132" t="s">
        <v>174</v>
      </c>
      <c r="X133" s="133">
        <v>0.01</v>
      </c>
      <c r="Y133" s="133">
        <v>5.0000000000000001E-3</v>
      </c>
      <c r="Z133" s="133">
        <v>0.13</v>
      </c>
      <c r="AA133" s="133">
        <v>0.15</v>
      </c>
      <c r="AB133" s="133">
        <f t="shared" si="84"/>
        <v>2.2499999999999999E-2</v>
      </c>
      <c r="AC133" s="134">
        <v>0</v>
      </c>
      <c r="AD133" s="134">
        <v>0</v>
      </c>
      <c r="AE133" s="134">
        <v>0.5</v>
      </c>
      <c r="AF133" s="134">
        <v>0</v>
      </c>
      <c r="AG133" s="134">
        <v>0.1</v>
      </c>
      <c r="AH133" s="134">
        <v>0</v>
      </c>
      <c r="AI133" s="134">
        <v>0</v>
      </c>
      <c r="AJ133" s="134">
        <v>0</v>
      </c>
      <c r="AK133" s="134" t="s">
        <v>175</v>
      </c>
      <c r="AL133" s="122" t="s">
        <v>175</v>
      </c>
      <c r="AM133" s="122">
        <f t="shared" ref="AM133:AM135" si="88">-101-1.13-0.88-0.146</f>
        <v>-103.15599999999999</v>
      </c>
      <c r="AN133" s="134" t="s">
        <v>176</v>
      </c>
      <c r="AO133" s="134" t="s">
        <v>177</v>
      </c>
      <c r="AP133" s="135">
        <f t="shared" si="85"/>
        <v>0.54765979403275533</v>
      </c>
      <c r="AQ133" s="135">
        <f t="shared" si="86"/>
        <v>0.54765979403275533</v>
      </c>
      <c r="AR133" s="117">
        <v>-1.20334941461404</v>
      </c>
      <c r="AS133" s="117">
        <v>0</v>
      </c>
      <c r="AT133" s="117">
        <v>0</v>
      </c>
      <c r="AU133" s="117">
        <v>-0.61418716846144505</v>
      </c>
      <c r="AV133" s="117">
        <v>-0.364187168461445</v>
      </c>
      <c r="AW133" s="117">
        <v>7.0603393076705601E-2</v>
      </c>
      <c r="AX133" s="117">
        <v>0.48039395461485601</v>
      </c>
      <c r="AY133" s="117">
        <v>0.78039395461485594</v>
      </c>
      <c r="AZ133" s="117">
        <v>0</v>
      </c>
      <c r="BA133" s="117">
        <v>0</v>
      </c>
      <c r="BB133" s="117">
        <v>1.2276845161529999</v>
      </c>
      <c r="BC133" s="136">
        <v>-1</v>
      </c>
      <c r="BD133" s="136" t="s">
        <v>178</v>
      </c>
      <c r="BE133" s="152" t="s">
        <v>702</v>
      </c>
      <c r="BF133" s="152" t="s">
        <v>840</v>
      </c>
      <c r="BG133" s="120" t="s">
        <v>678</v>
      </c>
      <c r="BH133" s="136" t="str">
        <f t="shared" si="38"/>
        <v>&lt;MTL</v>
      </c>
      <c r="BI133" s="136">
        <f t="shared" si="39"/>
        <v>7.0603393076705601E-2</v>
      </c>
      <c r="BJ133" s="136" t="str">
        <f t="shared" si="41"/>
        <v>Nil</v>
      </c>
      <c r="BK133" s="136">
        <f t="shared" si="42"/>
        <v>0.05</v>
      </c>
      <c r="BL133" s="136" t="s">
        <v>736</v>
      </c>
      <c r="BM133" s="136" t="s">
        <v>175</v>
      </c>
      <c r="BN133" s="136" t="s">
        <v>175</v>
      </c>
      <c r="BO133" s="136" t="s">
        <v>736</v>
      </c>
      <c r="BP133" s="137" t="s">
        <v>175</v>
      </c>
      <c r="BQ133" s="137" t="s">
        <v>175</v>
      </c>
      <c r="BR133" s="137" t="s">
        <v>175</v>
      </c>
      <c r="BS133" s="137" t="s">
        <v>175</v>
      </c>
      <c r="BT133" s="138">
        <f t="shared" si="46"/>
        <v>-103.2266033930767</v>
      </c>
      <c r="BU133" s="138">
        <f t="shared" si="47"/>
        <v>0.54993749644846002</v>
      </c>
      <c r="BV133" s="138">
        <f t="shared" si="48"/>
        <v>0.54993749644846002</v>
      </c>
      <c r="BW133" s="53" t="s">
        <v>175</v>
      </c>
      <c r="BX133" s="53" t="s">
        <v>175</v>
      </c>
      <c r="BY133" s="53" t="s">
        <v>175</v>
      </c>
      <c r="BZ133" s="53" t="s">
        <v>175</v>
      </c>
      <c r="CA133" s="147">
        <v>1</v>
      </c>
      <c r="CB133" s="54">
        <v>0</v>
      </c>
    </row>
    <row r="134" spans="1:80">
      <c r="A134" s="123" t="s">
        <v>816</v>
      </c>
      <c r="B134" s="124" t="s">
        <v>767</v>
      </c>
      <c r="C134" s="148" t="s">
        <v>674</v>
      </c>
      <c r="D134" s="125" t="s">
        <v>167</v>
      </c>
      <c r="E134" s="150">
        <v>21.664967000000001</v>
      </c>
      <c r="F134" s="150">
        <v>115.262333</v>
      </c>
      <c r="G134" s="128" t="s">
        <v>168</v>
      </c>
      <c r="H134" s="151">
        <v>4140</v>
      </c>
      <c r="I134" s="151">
        <v>80</v>
      </c>
      <c r="J134" s="151">
        <v>4032</v>
      </c>
      <c r="K134" s="151">
        <v>327</v>
      </c>
      <c r="L134" s="151">
        <v>319</v>
      </c>
      <c r="M134" s="153" t="s">
        <v>818</v>
      </c>
      <c r="N134" s="130" t="s">
        <v>339</v>
      </c>
      <c r="O134" s="153" t="s">
        <v>818</v>
      </c>
      <c r="P134" s="153" t="s">
        <v>819</v>
      </c>
      <c r="Q134" s="153" t="s">
        <v>172</v>
      </c>
      <c r="R134" s="131">
        <f t="shared" si="87"/>
        <v>1.125</v>
      </c>
      <c r="S134" s="112" t="s">
        <v>175</v>
      </c>
      <c r="T134" s="130">
        <v>1</v>
      </c>
      <c r="U134" s="132" t="s">
        <v>173</v>
      </c>
      <c r="V134" s="133">
        <v>0.01</v>
      </c>
      <c r="W134" s="132" t="s">
        <v>174</v>
      </c>
      <c r="X134" s="133">
        <v>0.01</v>
      </c>
      <c r="Y134" s="133">
        <v>5.0000000000000001E-3</v>
      </c>
      <c r="Z134" s="133">
        <v>0.13</v>
      </c>
      <c r="AA134" s="133">
        <v>0.15</v>
      </c>
      <c r="AB134" s="133">
        <f>0.02*R134</f>
        <v>2.2499999999999999E-2</v>
      </c>
      <c r="AC134" s="134">
        <v>0</v>
      </c>
      <c r="AD134" s="134">
        <v>0</v>
      </c>
      <c r="AE134" s="134">
        <v>0.5</v>
      </c>
      <c r="AF134" s="134">
        <v>0</v>
      </c>
      <c r="AG134" s="134">
        <v>0.1</v>
      </c>
      <c r="AH134" s="134">
        <v>0</v>
      </c>
      <c r="AI134" s="134">
        <v>0</v>
      </c>
      <c r="AJ134" s="134">
        <v>0</v>
      </c>
      <c r="AK134" s="134" t="s">
        <v>175</v>
      </c>
      <c r="AL134" s="122" t="s">
        <v>175</v>
      </c>
      <c r="AM134" s="122">
        <f t="shared" si="88"/>
        <v>-103.15599999999999</v>
      </c>
      <c r="AN134" s="134" t="s">
        <v>176</v>
      </c>
      <c r="AO134" s="134" t="s">
        <v>177</v>
      </c>
      <c r="AP134" s="135">
        <f t="shared" si="85"/>
        <v>0.54765979403275533</v>
      </c>
      <c r="AQ134" s="135">
        <f t="shared" si="86"/>
        <v>0.54765979403275533</v>
      </c>
      <c r="AR134" s="117">
        <v>-1.20334941461404</v>
      </c>
      <c r="AS134" s="117">
        <v>0</v>
      </c>
      <c r="AT134" s="117">
        <v>0</v>
      </c>
      <c r="AU134" s="117">
        <v>-0.61418716846144505</v>
      </c>
      <c r="AV134" s="117">
        <v>-0.364187168461445</v>
      </c>
      <c r="AW134" s="117">
        <v>7.0603393076705601E-2</v>
      </c>
      <c r="AX134" s="117">
        <v>0.48039395461485601</v>
      </c>
      <c r="AY134" s="117">
        <v>0.78039395461485594</v>
      </c>
      <c r="AZ134" s="117">
        <v>0</v>
      </c>
      <c r="BA134" s="117">
        <v>0</v>
      </c>
      <c r="BB134" s="117">
        <v>1.2276845161529999</v>
      </c>
      <c r="BC134" s="136">
        <v>-1</v>
      </c>
      <c r="BD134" s="136" t="s">
        <v>178</v>
      </c>
      <c r="BE134" s="152" t="s">
        <v>702</v>
      </c>
      <c r="BF134" s="152" t="s">
        <v>840</v>
      </c>
      <c r="BG134" s="120" t="s">
        <v>678</v>
      </c>
      <c r="BH134" s="136" t="str">
        <f t="shared" si="38"/>
        <v>&lt;MTL</v>
      </c>
      <c r="BI134" s="136">
        <f t="shared" si="39"/>
        <v>7.0603393076705601E-2</v>
      </c>
      <c r="BJ134" s="136" t="str">
        <f t="shared" si="41"/>
        <v>Nil</v>
      </c>
      <c r="BK134" s="136">
        <f t="shared" si="42"/>
        <v>0.05</v>
      </c>
      <c r="BL134" s="136" t="s">
        <v>736</v>
      </c>
      <c r="BM134" s="136" t="s">
        <v>175</v>
      </c>
      <c r="BN134" s="136" t="s">
        <v>175</v>
      </c>
      <c r="BO134" s="136" t="s">
        <v>736</v>
      </c>
      <c r="BP134" s="137" t="s">
        <v>175</v>
      </c>
      <c r="BQ134" s="137" t="s">
        <v>175</v>
      </c>
      <c r="BR134" s="137" t="s">
        <v>175</v>
      </c>
      <c r="BS134" s="137" t="s">
        <v>175</v>
      </c>
      <c r="BT134" s="138">
        <f t="shared" si="46"/>
        <v>-103.2266033930767</v>
      </c>
      <c r="BU134" s="138">
        <f t="shared" si="47"/>
        <v>0.54993749644846002</v>
      </c>
      <c r="BV134" s="138">
        <f t="shared" si="48"/>
        <v>0.54993749644846002</v>
      </c>
      <c r="BW134" s="53" t="s">
        <v>175</v>
      </c>
      <c r="BX134" s="53" t="s">
        <v>175</v>
      </c>
      <c r="BY134" s="53" t="s">
        <v>175</v>
      </c>
      <c r="BZ134" s="53" t="s">
        <v>175</v>
      </c>
      <c r="CA134" s="147">
        <v>1</v>
      </c>
      <c r="CB134" s="54">
        <v>0</v>
      </c>
    </row>
    <row r="135" spans="1:80">
      <c r="A135" s="123" t="s">
        <v>817</v>
      </c>
      <c r="B135" s="124" t="s">
        <v>767</v>
      </c>
      <c r="C135" s="148" t="s">
        <v>674</v>
      </c>
      <c r="D135" s="125" t="s">
        <v>167</v>
      </c>
      <c r="E135" s="150">
        <v>21.664967000000001</v>
      </c>
      <c r="F135" s="150">
        <v>115.262333</v>
      </c>
      <c r="G135" s="128" t="s">
        <v>168</v>
      </c>
      <c r="H135" s="151">
        <v>5590</v>
      </c>
      <c r="I135" s="151">
        <v>128.06248474865697</v>
      </c>
      <c r="J135" s="151">
        <v>6390</v>
      </c>
      <c r="K135" s="151">
        <v>281</v>
      </c>
      <c r="L135" s="151">
        <v>378</v>
      </c>
      <c r="M135" s="153" t="s">
        <v>818</v>
      </c>
      <c r="N135" s="130" t="s">
        <v>735</v>
      </c>
      <c r="O135" s="153" t="s">
        <v>818</v>
      </c>
      <c r="P135" s="153" t="s">
        <v>819</v>
      </c>
      <c r="Q135" s="153" t="s">
        <v>172</v>
      </c>
      <c r="R135" s="131">
        <f t="shared" si="87"/>
        <v>1.125</v>
      </c>
      <c r="S135" s="112" t="s">
        <v>175</v>
      </c>
      <c r="T135" s="130">
        <v>1</v>
      </c>
      <c r="U135" s="132" t="s">
        <v>173</v>
      </c>
      <c r="V135" s="133">
        <v>0.1</v>
      </c>
      <c r="W135" s="132" t="s">
        <v>174</v>
      </c>
      <c r="X135" s="133">
        <v>0.1</v>
      </c>
      <c r="Y135" s="133">
        <v>0.05</v>
      </c>
      <c r="Z135" s="133">
        <v>0.13</v>
      </c>
      <c r="AA135" s="133">
        <v>0.15</v>
      </c>
      <c r="AB135" s="133">
        <f>0.02*R135</f>
        <v>2.2499999999999999E-2</v>
      </c>
      <c r="AC135" s="134">
        <v>0</v>
      </c>
      <c r="AD135" s="134">
        <v>0</v>
      </c>
      <c r="AE135" s="134">
        <v>0.5</v>
      </c>
      <c r="AF135" s="134">
        <v>0</v>
      </c>
      <c r="AG135" s="134">
        <v>0.1</v>
      </c>
      <c r="AH135" s="134">
        <v>0</v>
      </c>
      <c r="AI135" s="134">
        <v>0</v>
      </c>
      <c r="AJ135" s="134">
        <v>0</v>
      </c>
      <c r="AK135" s="134" t="s">
        <v>175</v>
      </c>
      <c r="AL135" s="122" t="s">
        <v>175</v>
      </c>
      <c r="AM135" s="122">
        <f t="shared" si="88"/>
        <v>-103.15599999999999</v>
      </c>
      <c r="AN135" s="134" t="s">
        <v>176</v>
      </c>
      <c r="AO135" s="134" t="s">
        <v>177</v>
      </c>
      <c r="AP135" s="135">
        <f>SQRT(SUMSQ(IF(OR(Y135="nd",Y135="nd"),0,Y135),IF(OR(Z135="nd",Z135="nd"),0,Z135),IF(OR(AA135="nd",AA135="nd"),0,AA135),IF(OR(AB135="nd",AB135="nd"),0,AB135),IF(OR(AC135="nd",AC135="nd"),0,AC135),IF(OR(AD135="nd",AD135="nd"),0,AD135),IF(OR(AE135="nd",AE135="nd"),0,AE135),IF(OR(AF135="nd",AF135="nd"),0,AF135),IF(OR(AG135="nd",AG135="nd"),0,AG135),IF(OR(AH135="nd",AH135="nd"),0,AH135),IF(OR(AI135="nd",AI135="nd"),0,AI135),IF(OR(AJ135="nd",AJ135="nd"),0,AJ135)))</f>
        <v>0.54991476612289658</v>
      </c>
      <c r="AQ135" s="135">
        <f>SQRT(SUMSQ(IF(OR(Y135="nd",Y135="nd"),0,Y135),IF(OR(Z135="nd",Z135="nd"),0,Z135),IF(OR(AA135="nd",AA135="nd"),0,AA135),IF(OR(AB135="nd",AB135="nd"),0,AB135),IF(OR(AC135="nd",AC135="nd"),0,AC135),IF(OR(AD135="nd",AD135="nd"),0,AD135),IF(OR(AE135="nd",AE135="nd"),0,AE135),IF(OR(AF135="nd",AF135="nd"),0,AF135),IF(OR(AG135="nd",AG135="nd"),0,AG135),IF(OR(AH135="nd",AH135="nd"),0,AH135),IF(OR(AI135="nd",AI135="nd"),0,AI135),IF(OR(AJ135="nd",AJ135="nd"),0,AJ135)))</f>
        <v>0.54991476612289658</v>
      </c>
      <c r="AR135" s="117">
        <v>-1.20334941461404</v>
      </c>
      <c r="AS135" s="117">
        <v>0</v>
      </c>
      <c r="AT135" s="117">
        <v>0</v>
      </c>
      <c r="AU135" s="117">
        <v>-0.61418716846144505</v>
      </c>
      <c r="AV135" s="117">
        <v>-0.364187168461445</v>
      </c>
      <c r="AW135" s="117">
        <v>7.0603393076705601E-2</v>
      </c>
      <c r="AX135" s="117">
        <v>0.48039395461485601</v>
      </c>
      <c r="AY135" s="117">
        <v>0.78039395461485594</v>
      </c>
      <c r="AZ135" s="117">
        <v>0</v>
      </c>
      <c r="BA135" s="117">
        <v>0</v>
      </c>
      <c r="BB135" s="117">
        <v>1.2276845161529999</v>
      </c>
      <c r="BC135" s="136">
        <v>-1</v>
      </c>
      <c r="BD135" s="136" t="s">
        <v>178</v>
      </c>
      <c r="BE135" s="152" t="s">
        <v>702</v>
      </c>
      <c r="BF135" s="152" t="s">
        <v>840</v>
      </c>
      <c r="BG135" s="120" t="s">
        <v>678</v>
      </c>
      <c r="BH135" s="136" t="str">
        <f t="shared" si="38"/>
        <v>&lt;MTL</v>
      </c>
      <c r="BI135" s="136">
        <f t="shared" si="39"/>
        <v>7.0603393076705601E-2</v>
      </c>
      <c r="BJ135" s="136" t="str">
        <f t="shared" si="41"/>
        <v>Nil</v>
      </c>
      <c r="BK135" s="136">
        <f t="shared" si="42"/>
        <v>0.05</v>
      </c>
      <c r="BL135" s="136" t="s">
        <v>736</v>
      </c>
      <c r="BM135" s="136" t="s">
        <v>175</v>
      </c>
      <c r="BN135" s="136" t="s">
        <v>175</v>
      </c>
      <c r="BO135" s="136" t="s">
        <v>736</v>
      </c>
      <c r="BP135" s="137" t="s">
        <v>175</v>
      </c>
      <c r="BQ135" s="137" t="s">
        <v>175</v>
      </c>
      <c r="BR135" s="137" t="s">
        <v>175</v>
      </c>
      <c r="BS135" s="137" t="s">
        <v>175</v>
      </c>
      <c r="BT135" s="138">
        <f t="shared" si="46"/>
        <v>-103.2266033930767</v>
      </c>
      <c r="BU135" s="138">
        <f t="shared" si="47"/>
        <v>0.55218316707411508</v>
      </c>
      <c r="BV135" s="138">
        <f t="shared" si="48"/>
        <v>0.55218316707411508</v>
      </c>
      <c r="BW135" s="53" t="s">
        <v>175</v>
      </c>
      <c r="BX135" s="53" t="s">
        <v>175</v>
      </c>
      <c r="BY135" s="53" t="s">
        <v>175</v>
      </c>
      <c r="BZ135" s="53" t="s">
        <v>175</v>
      </c>
      <c r="CA135" s="147">
        <v>1</v>
      </c>
      <c r="CB135" s="54">
        <v>0</v>
      </c>
    </row>
    <row r="136" spans="1:80">
      <c r="A136" s="123" t="s">
        <v>830</v>
      </c>
      <c r="B136" s="124" t="s">
        <v>767</v>
      </c>
      <c r="C136" s="148" t="s">
        <v>674</v>
      </c>
      <c r="D136" s="125" t="s">
        <v>167</v>
      </c>
      <c r="E136" s="150">
        <v>21.664967000000001</v>
      </c>
      <c r="F136" s="150">
        <v>115.262333</v>
      </c>
      <c r="G136" s="128" t="s">
        <v>168</v>
      </c>
      <c r="H136" s="151">
        <v>8290</v>
      </c>
      <c r="I136" s="151">
        <v>134.53624047073711</v>
      </c>
      <c r="J136" s="151">
        <v>8661</v>
      </c>
      <c r="K136" s="151">
        <v>416</v>
      </c>
      <c r="L136" s="151">
        <v>375</v>
      </c>
      <c r="M136" s="153" t="s">
        <v>819</v>
      </c>
      <c r="N136" s="130" t="s">
        <v>339</v>
      </c>
      <c r="O136" s="153" t="s">
        <v>818</v>
      </c>
      <c r="P136" s="153" t="s">
        <v>175</v>
      </c>
      <c r="Q136" s="153" t="s">
        <v>172</v>
      </c>
      <c r="R136" s="131">
        <f>(1.25+1.5)/2</f>
        <v>1.375</v>
      </c>
      <c r="S136" s="112" t="s">
        <v>175</v>
      </c>
      <c r="T136" s="130">
        <v>1</v>
      </c>
      <c r="U136" s="132" t="s">
        <v>173</v>
      </c>
      <c r="V136" s="133">
        <v>0.01</v>
      </c>
      <c r="W136" s="132" t="s">
        <v>174</v>
      </c>
      <c r="X136" s="133">
        <v>0.01</v>
      </c>
      <c r="Y136" s="133">
        <v>5.0000000000000001E-3</v>
      </c>
      <c r="Z136" s="133">
        <v>0.13</v>
      </c>
      <c r="AA136" s="133">
        <v>0.15</v>
      </c>
      <c r="AB136" s="133">
        <f t="shared" ref="AB136:AB141" si="89">0.02*R136</f>
        <v>2.75E-2</v>
      </c>
      <c r="AC136" s="134">
        <v>0</v>
      </c>
      <c r="AD136" s="134">
        <v>0</v>
      </c>
      <c r="AE136" s="134">
        <v>0.5</v>
      </c>
      <c r="AF136" s="134">
        <v>0</v>
      </c>
      <c r="AG136" s="134">
        <v>0.1</v>
      </c>
      <c r="AH136" s="134">
        <v>0</v>
      </c>
      <c r="AI136" s="134">
        <v>0</v>
      </c>
      <c r="AJ136" s="134">
        <v>0</v>
      </c>
      <c r="AK136" s="134" t="s">
        <v>175</v>
      </c>
      <c r="AL136" s="122" t="s">
        <v>175</v>
      </c>
      <c r="AM136" s="122">
        <f>-101-1.38-0.88-0.146</f>
        <v>-103.40599999999999</v>
      </c>
      <c r="AN136" s="134" t="s">
        <v>176</v>
      </c>
      <c r="AO136" s="134" t="s">
        <v>177</v>
      </c>
      <c r="AP136" s="135">
        <f t="shared" ref="AP136:AP137" si="90">SQRT(SUMSQ(IF(OR(Y136="nd",Y136="nd"),0,Y136),IF(OR(Z136="nd",Z136="nd"),0,Z136),IF(OR(AA136="nd",AA136="nd"),0,AA136),IF(OR(AB136="nd",AB136="nd"),0,AB136),IF(OR(AC136="nd",AC136="nd"),0,AC136),IF(OR(AD136="nd",AD136="nd"),0,AD136),IF(OR(AE136="nd",AE136="nd"),0,AE136),IF(OR(AF136="nd",AF136="nd"),0,AF136),IF(OR(AG136="nd",AG136="nd"),0,AG136),IF(OR(AH136="nd",AH136="nd"),0,AH136),IF(OR(AI136="nd",AI136="nd"),0,AI136),IF(OR(AJ136="nd",AJ136="nd"),0,AJ136)))</f>
        <v>0.54788799037759539</v>
      </c>
      <c r="AQ136" s="135">
        <f t="shared" ref="AQ136" si="91">SQRT(SUMSQ(IF(OR(Y136="nd",Y136="nd"),0,Y136),IF(OR(Z136="nd",Z136="nd"),0,Z136),IF(OR(AA136="nd",AA136="nd"),0,AA136),IF(OR(AB136="nd",AB136="nd"),0,AB136),IF(OR(AC136="nd",AC136="nd"),0,AC136),IF(OR(AD136="nd",AD136="nd"),0,AD136),IF(OR(AE136="nd",AE136="nd"),0,AE136),IF(OR(AF136="nd",AF136="nd"),0,AF136),IF(OR(AG136="nd",AG136="nd"),0,AG136),IF(OR(AH136="nd",AH136="nd"),0,AH136),IF(OR(AI136="nd",AI136="nd"),0,AI136),IF(OR(AJ136="nd",AJ136="nd"),0,AJ136)))</f>
        <v>0.54788799037759539</v>
      </c>
      <c r="AR136" s="117">
        <v>-1.20334941461404</v>
      </c>
      <c r="AS136" s="117">
        <v>0</v>
      </c>
      <c r="AT136" s="117">
        <v>0</v>
      </c>
      <c r="AU136" s="117">
        <v>-0.61418716846144505</v>
      </c>
      <c r="AV136" s="117">
        <v>-0.364187168461445</v>
      </c>
      <c r="AW136" s="117">
        <v>7.0603393076705601E-2</v>
      </c>
      <c r="AX136" s="117">
        <v>0.48039395461485601</v>
      </c>
      <c r="AY136" s="117">
        <v>0.78039395461485594</v>
      </c>
      <c r="AZ136" s="117">
        <v>0</v>
      </c>
      <c r="BA136" s="117">
        <v>0</v>
      </c>
      <c r="BB136" s="117">
        <v>1.2276845161529999</v>
      </c>
      <c r="BC136" s="136">
        <v>-1</v>
      </c>
      <c r="BD136" s="136" t="s">
        <v>178</v>
      </c>
      <c r="BE136" s="152" t="s">
        <v>843</v>
      </c>
      <c r="BF136" s="152" t="s">
        <v>822</v>
      </c>
      <c r="BG136" s="120" t="s">
        <v>662</v>
      </c>
      <c r="BH136" s="136" t="str">
        <f t="shared" si="38"/>
        <v>&lt;HAT</v>
      </c>
      <c r="BI136" s="136">
        <f t="shared" si="39"/>
        <v>1.2276845161529999</v>
      </c>
      <c r="BJ136" s="136" t="str">
        <f t="shared" si="41"/>
        <v>Nil</v>
      </c>
      <c r="BK136" s="136">
        <f t="shared" si="42"/>
        <v>0.18</v>
      </c>
      <c r="BL136" s="136" t="s">
        <v>736</v>
      </c>
      <c r="BM136" s="136" t="s">
        <v>175</v>
      </c>
      <c r="BN136" s="136" t="s">
        <v>175</v>
      </c>
      <c r="BO136" s="136" t="s">
        <v>736</v>
      </c>
      <c r="BP136" s="137" t="s">
        <v>175</v>
      </c>
      <c r="BQ136" s="137" t="s">
        <v>175</v>
      </c>
      <c r="BR136" s="137" t="s">
        <v>175</v>
      </c>
      <c r="BS136" s="137" t="s">
        <v>175</v>
      </c>
      <c r="BT136" s="138">
        <f t="shared" si="46"/>
        <v>-104.633684516153</v>
      </c>
      <c r="BU136" s="138">
        <f t="shared" si="47"/>
        <v>0.57669857811511904</v>
      </c>
      <c r="BV136" s="138">
        <f t="shared" si="48"/>
        <v>0.57669857811511904</v>
      </c>
      <c r="BW136" s="53" t="s">
        <v>175</v>
      </c>
      <c r="BX136" s="53" t="s">
        <v>175</v>
      </c>
      <c r="BY136" s="53" t="s">
        <v>175</v>
      </c>
      <c r="BZ136" s="53" t="s">
        <v>175</v>
      </c>
      <c r="CA136" s="147">
        <v>1</v>
      </c>
      <c r="CB136" s="54">
        <v>0</v>
      </c>
    </row>
    <row r="137" spans="1:80">
      <c r="A137" s="123" t="s">
        <v>831</v>
      </c>
      <c r="B137" s="124" t="s">
        <v>767</v>
      </c>
      <c r="C137" s="148" t="s">
        <v>674</v>
      </c>
      <c r="D137" s="125" t="s">
        <v>167</v>
      </c>
      <c r="E137" s="150">
        <v>21.664967000000001</v>
      </c>
      <c r="F137" s="150">
        <v>115.262333</v>
      </c>
      <c r="G137" s="128" t="s">
        <v>168</v>
      </c>
      <c r="H137" s="151">
        <v>11430</v>
      </c>
      <c r="I137" s="151">
        <v>130</v>
      </c>
      <c r="J137" s="151">
        <v>13309</v>
      </c>
      <c r="K137" s="151">
        <v>264</v>
      </c>
      <c r="L137" s="151">
        <v>210</v>
      </c>
      <c r="M137" s="153" t="s">
        <v>819</v>
      </c>
      <c r="N137" s="130" t="s">
        <v>735</v>
      </c>
      <c r="O137" s="153" t="s">
        <v>818</v>
      </c>
      <c r="P137" s="153" t="s">
        <v>175</v>
      </c>
      <c r="Q137" s="153" t="s">
        <v>172</v>
      </c>
      <c r="R137" s="131">
        <f>(1.25+1.5)/2</f>
        <v>1.375</v>
      </c>
      <c r="S137" s="112" t="s">
        <v>175</v>
      </c>
      <c r="T137" s="130">
        <v>1</v>
      </c>
      <c r="U137" s="132" t="s">
        <v>173</v>
      </c>
      <c r="V137" s="133">
        <v>0.1</v>
      </c>
      <c r="W137" s="132" t="s">
        <v>174</v>
      </c>
      <c r="X137" s="133">
        <v>0.1</v>
      </c>
      <c r="Y137" s="133">
        <v>0.05</v>
      </c>
      <c r="Z137" s="133">
        <v>0.13</v>
      </c>
      <c r="AA137" s="133">
        <v>0.15</v>
      </c>
      <c r="AB137" s="133">
        <f t="shared" si="89"/>
        <v>2.75E-2</v>
      </c>
      <c r="AC137" s="134">
        <v>0</v>
      </c>
      <c r="AD137" s="134">
        <v>0</v>
      </c>
      <c r="AE137" s="134">
        <v>0.5</v>
      </c>
      <c r="AF137" s="134">
        <v>0</v>
      </c>
      <c r="AG137" s="134">
        <v>0.1</v>
      </c>
      <c r="AH137" s="134">
        <v>0</v>
      </c>
      <c r="AI137" s="134">
        <v>0</v>
      </c>
      <c r="AJ137" s="134">
        <v>0</v>
      </c>
      <c r="AK137" s="134" t="s">
        <v>175</v>
      </c>
      <c r="AL137" s="122" t="s">
        <v>175</v>
      </c>
      <c r="AM137" s="122">
        <f>-101-1.38-0.88-0.146</f>
        <v>-103.40599999999999</v>
      </c>
      <c r="AN137" s="134" t="s">
        <v>176</v>
      </c>
      <c r="AO137" s="134" t="s">
        <v>177</v>
      </c>
      <c r="AP137" s="135">
        <f t="shared" si="90"/>
        <v>0.55014202711663474</v>
      </c>
      <c r="AQ137" s="135">
        <f>SQRT(SUMSQ(IF(OR(Y137="nd",Y137="nd"),0,Y137),IF(OR(Z137="nd",Z137="nd"),0,Z137),IF(OR(AA137="nd",AA137="nd"),0,AA137),IF(OR(AB137="nd",AB137="nd"),0,AB137),IF(OR(AC137="nd",AC137="nd"),0,AC137),IF(OR(AD137="nd",AD137="nd"),0,AD137),IF(OR(AE137="nd",AE137="nd"),0,AE137),IF(OR(AF137="nd",AF137="nd"),0,AF137),IF(OR(AG137="nd",AG137="nd"),0,AG137),IF(OR(AH137="nd",AH137="nd"),0,AH137),IF(OR(AI137="nd",AI137="nd"),0,AI137),IF(OR(AJ137="nd",AJ137="nd"),0,AJ137)))</f>
        <v>0.55014202711663474</v>
      </c>
      <c r="AR137" s="117">
        <v>-1.20334941461404</v>
      </c>
      <c r="AS137" s="117">
        <v>0</v>
      </c>
      <c r="AT137" s="117">
        <v>0</v>
      </c>
      <c r="AU137" s="117">
        <v>-0.61418716846144505</v>
      </c>
      <c r="AV137" s="117">
        <v>-0.364187168461445</v>
      </c>
      <c r="AW137" s="117">
        <v>7.0603393076705601E-2</v>
      </c>
      <c r="AX137" s="117">
        <v>0.48039395461485601</v>
      </c>
      <c r="AY137" s="117">
        <v>0.78039395461485594</v>
      </c>
      <c r="AZ137" s="117">
        <v>0</v>
      </c>
      <c r="BA137" s="117">
        <v>0</v>
      </c>
      <c r="BB137" s="117">
        <v>1.2276845161529999</v>
      </c>
      <c r="BC137" s="136">
        <v>-1</v>
      </c>
      <c r="BD137" s="136" t="s">
        <v>178</v>
      </c>
      <c r="BE137" s="152" t="s">
        <v>843</v>
      </c>
      <c r="BF137" s="152" t="s">
        <v>822</v>
      </c>
      <c r="BG137" s="120" t="s">
        <v>662</v>
      </c>
      <c r="BH137" s="136" t="str">
        <f t="shared" si="38"/>
        <v>&lt;HAT</v>
      </c>
      <c r="BI137" s="136">
        <f t="shared" si="39"/>
        <v>1.2276845161529999</v>
      </c>
      <c r="BJ137" s="136" t="str">
        <f t="shared" si="41"/>
        <v>Nil</v>
      </c>
      <c r="BK137" s="136">
        <f t="shared" si="42"/>
        <v>0.18</v>
      </c>
      <c r="BL137" s="136" t="s">
        <v>736</v>
      </c>
      <c r="BM137" s="136" t="s">
        <v>175</v>
      </c>
      <c r="BN137" s="136" t="s">
        <v>175</v>
      </c>
      <c r="BO137" s="136" t="s">
        <v>736</v>
      </c>
      <c r="BP137" s="137" t="s">
        <v>175</v>
      </c>
      <c r="BQ137" s="137" t="s">
        <v>175</v>
      </c>
      <c r="BR137" s="137" t="s">
        <v>175</v>
      </c>
      <c r="BS137" s="137" t="s">
        <v>175</v>
      </c>
      <c r="BT137" s="138">
        <f t="shared" si="46"/>
        <v>-104.633684516153</v>
      </c>
      <c r="BU137" s="138">
        <f t="shared" si="47"/>
        <v>0.57884043569882027</v>
      </c>
      <c r="BV137" s="138">
        <f t="shared" si="48"/>
        <v>0.57884043569882027</v>
      </c>
      <c r="BW137" s="53" t="s">
        <v>175</v>
      </c>
      <c r="BX137" s="53" t="s">
        <v>175</v>
      </c>
      <c r="BY137" s="53" t="s">
        <v>175</v>
      </c>
      <c r="BZ137" s="53" t="s">
        <v>175</v>
      </c>
      <c r="CA137" s="147">
        <v>1</v>
      </c>
      <c r="CB137" s="54">
        <v>0</v>
      </c>
    </row>
    <row r="138" spans="1:80">
      <c r="A138" s="123" t="s">
        <v>832</v>
      </c>
      <c r="B138" s="124" t="s">
        <v>767</v>
      </c>
      <c r="C138" s="148" t="s">
        <v>674</v>
      </c>
      <c r="D138" s="125" t="s">
        <v>167</v>
      </c>
      <c r="E138" s="150">
        <v>21.664967000000001</v>
      </c>
      <c r="F138" s="150">
        <v>115.262333</v>
      </c>
      <c r="G138" s="128" t="s">
        <v>168</v>
      </c>
      <c r="H138" s="151">
        <v>10670</v>
      </c>
      <c r="I138" s="151">
        <v>148.66068747318505</v>
      </c>
      <c r="J138" s="151">
        <v>11855</v>
      </c>
      <c r="K138" s="151">
        <v>552</v>
      </c>
      <c r="L138" s="151">
        <v>526</v>
      </c>
      <c r="M138" s="153" t="s">
        <v>819</v>
      </c>
      <c r="N138" s="130" t="s">
        <v>339</v>
      </c>
      <c r="O138" s="153" t="s">
        <v>818</v>
      </c>
      <c r="P138" s="153" t="s">
        <v>175</v>
      </c>
      <c r="Q138" s="153" t="s">
        <v>172</v>
      </c>
      <c r="R138" s="131">
        <f>(1.5+1.8)/2</f>
        <v>1.65</v>
      </c>
      <c r="S138" s="112" t="s">
        <v>175</v>
      </c>
      <c r="T138" s="130">
        <v>1</v>
      </c>
      <c r="U138" s="132" t="s">
        <v>173</v>
      </c>
      <c r="V138" s="133">
        <v>0.01</v>
      </c>
      <c r="W138" s="132" t="s">
        <v>174</v>
      </c>
      <c r="X138" s="133">
        <v>0.01</v>
      </c>
      <c r="Y138" s="133">
        <v>5.0000000000000001E-3</v>
      </c>
      <c r="Z138" s="133">
        <v>0.15</v>
      </c>
      <c r="AA138" s="133">
        <v>0.15</v>
      </c>
      <c r="AB138" s="133">
        <f t="shared" si="89"/>
        <v>3.3000000000000002E-2</v>
      </c>
      <c r="AC138" s="134">
        <v>0</v>
      </c>
      <c r="AD138" s="134">
        <v>0</v>
      </c>
      <c r="AE138" s="134">
        <v>0.5</v>
      </c>
      <c r="AF138" s="134">
        <v>0</v>
      </c>
      <c r="AG138" s="134">
        <v>0.1</v>
      </c>
      <c r="AH138" s="134">
        <v>0</v>
      </c>
      <c r="AI138" s="134">
        <v>0</v>
      </c>
      <c r="AJ138" s="134">
        <v>0</v>
      </c>
      <c r="AK138" s="134" t="s">
        <v>175</v>
      </c>
      <c r="AL138" s="122" t="s">
        <v>175</v>
      </c>
      <c r="AM138" s="122">
        <f>-101-1.65-0.88-0.146</f>
        <v>-103.676</v>
      </c>
      <c r="AN138" s="134" t="s">
        <v>176</v>
      </c>
      <c r="AO138" s="134" t="s">
        <v>177</v>
      </c>
      <c r="AP138" s="135">
        <f t="shared" ref="AP138:AP139" si="92">SQRT(SUMSQ(IF(OR(Y138="nd",Y138="nd"),0,Y138),IF(OR(Z138="nd",Z138="nd"),0,Z138),IF(OR(AA138="nd",AA138="nd"),0,AA138),IF(OR(AB138="nd",AB138="nd"),0,AB138),IF(OR(AC138="nd",AC138="nd"),0,AC138),IF(OR(AD138="nd",AD138="nd"),0,AD138),IF(OR(AE138="nd",AE138="nd"),0,AE138),IF(OR(AF138="nd",AF138="nd"),0,AF138),IF(OR(AG138="nd",AG138="nd"),0,AG138),IF(OR(AH138="nd",AH138="nd"),0,AH138),IF(OR(AI138="nd",AI138="nd"),0,AI138),IF(OR(AJ138="nd",AJ138="nd"),0,AJ138)))</f>
        <v>0.55327569980977842</v>
      </c>
      <c r="AQ138" s="135">
        <f t="shared" ref="AQ138:AQ139" si="93">SQRT(SUMSQ(IF(OR(Y138="nd",Y138="nd"),0,Y138),IF(OR(Z138="nd",Z138="nd"),0,Z138),IF(OR(AA138="nd",AA138="nd"),0,AA138),IF(OR(AB138="nd",AB138="nd"),0,AB138),IF(OR(AC138="nd",AC138="nd"),0,AC138),IF(OR(AD138="nd",AD138="nd"),0,AD138),IF(OR(AE138="nd",AE138="nd"),0,AE138),IF(OR(AF138="nd",AF138="nd"),0,AF138),IF(OR(AG138="nd",AG138="nd"),0,AG138),IF(OR(AH138="nd",AH138="nd"),0,AH138),IF(OR(AI138="nd",AI138="nd"),0,AI138),IF(OR(AJ138="nd",AJ138="nd"),0,AJ138)))</f>
        <v>0.55327569980977842</v>
      </c>
      <c r="AR138" s="117">
        <v>-1.20334941461404</v>
      </c>
      <c r="AS138" s="117">
        <v>0</v>
      </c>
      <c r="AT138" s="117">
        <v>0</v>
      </c>
      <c r="AU138" s="117">
        <v>-0.61418716846144505</v>
      </c>
      <c r="AV138" s="117">
        <v>-0.364187168461445</v>
      </c>
      <c r="AW138" s="117">
        <v>7.0603393076705601E-2</v>
      </c>
      <c r="AX138" s="117">
        <v>0.48039395461485601</v>
      </c>
      <c r="AY138" s="117">
        <v>0.78039395461485594</v>
      </c>
      <c r="AZ138" s="117">
        <v>0</v>
      </c>
      <c r="BA138" s="117">
        <v>0</v>
      </c>
      <c r="BB138" s="117">
        <v>1.2276845161529999</v>
      </c>
      <c r="BC138" s="136">
        <v>-1</v>
      </c>
      <c r="BD138" s="136" t="s">
        <v>178</v>
      </c>
      <c r="BE138" s="152" t="s">
        <v>843</v>
      </c>
      <c r="BF138" s="152" t="s">
        <v>822</v>
      </c>
      <c r="BG138" s="120" t="s">
        <v>662</v>
      </c>
      <c r="BH138" s="136" t="str">
        <f t="shared" si="38"/>
        <v>&lt;HAT</v>
      </c>
      <c r="BI138" s="136">
        <f t="shared" si="39"/>
        <v>1.2276845161529999</v>
      </c>
      <c r="BJ138" s="136" t="str">
        <f t="shared" si="41"/>
        <v>Nil</v>
      </c>
      <c r="BK138" s="136">
        <f t="shared" si="42"/>
        <v>0.18</v>
      </c>
      <c r="BL138" s="136" t="s">
        <v>736</v>
      </c>
      <c r="BM138" s="136" t="s">
        <v>175</v>
      </c>
      <c r="BN138" s="136" t="s">
        <v>175</v>
      </c>
      <c r="BO138" s="136" t="s">
        <v>736</v>
      </c>
      <c r="BP138" s="137" t="s">
        <v>175</v>
      </c>
      <c r="BQ138" s="137" t="s">
        <v>175</v>
      </c>
      <c r="BR138" s="137" t="s">
        <v>175</v>
      </c>
      <c r="BS138" s="137" t="s">
        <v>175</v>
      </c>
      <c r="BT138" s="138">
        <f t="shared" ref="BT138:BT144" si="94">AM138-BI138</f>
        <v>-104.90368451615301</v>
      </c>
      <c r="BU138" s="138">
        <f t="shared" ref="BU138:BU144" si="95">SQRT(SUMSQ(AP138,BJ138,IF(OR(BK138="nd",BK138="nd"),0,BK138),IF(OR(BL138="nd",BL138="nd"),0,BL138),IF(OR(BO138="nd",BO138="nd"),0,BO138)))</f>
        <v>0.58181955965745946</v>
      </c>
      <c r="BV138" s="138">
        <f t="shared" ref="BV138:BV144" si="96">SQRT(SUMSQ(AP138,BJ138,IF(OR(BK138="nd",BK138="nd"),0,BK138),IF(OR(BL138="nd",BL138="nd"),0,BL138),IF(OR(BO138="nd",BO138="nd"),0,BO138)))</f>
        <v>0.58181955965745946</v>
      </c>
      <c r="BW138" s="53" t="s">
        <v>175</v>
      </c>
      <c r="BX138" s="53" t="s">
        <v>175</v>
      </c>
      <c r="BY138" s="53" t="s">
        <v>175</v>
      </c>
      <c r="BZ138" s="53" t="s">
        <v>175</v>
      </c>
      <c r="CA138" s="147">
        <v>1</v>
      </c>
      <c r="CB138" s="54">
        <v>0</v>
      </c>
    </row>
    <row r="139" spans="1:80">
      <c r="A139" s="123" t="s">
        <v>833</v>
      </c>
      <c r="B139" s="124" t="s">
        <v>767</v>
      </c>
      <c r="C139" s="148" t="s">
        <v>674</v>
      </c>
      <c r="D139" s="125" t="s">
        <v>167</v>
      </c>
      <c r="E139" s="150">
        <v>21.664967000000001</v>
      </c>
      <c r="F139" s="150">
        <v>115.262333</v>
      </c>
      <c r="G139" s="128" t="s">
        <v>168</v>
      </c>
      <c r="H139" s="151">
        <v>9840</v>
      </c>
      <c r="I139" s="151">
        <v>110</v>
      </c>
      <c r="J139" s="151">
        <v>11284</v>
      </c>
      <c r="K139" s="151">
        <v>451</v>
      </c>
      <c r="L139" s="151">
        <v>476</v>
      </c>
      <c r="M139" s="153" t="s">
        <v>819</v>
      </c>
      <c r="N139" s="130" t="s">
        <v>735</v>
      </c>
      <c r="O139" s="153" t="s">
        <v>818</v>
      </c>
      <c r="P139" s="153" t="s">
        <v>175</v>
      </c>
      <c r="Q139" s="153" t="s">
        <v>172</v>
      </c>
      <c r="R139" s="131">
        <f>(1.5+1.8)/2</f>
        <v>1.65</v>
      </c>
      <c r="S139" s="112" t="s">
        <v>175</v>
      </c>
      <c r="T139" s="130">
        <v>1</v>
      </c>
      <c r="U139" s="132" t="s">
        <v>173</v>
      </c>
      <c r="V139" s="133">
        <v>0.1</v>
      </c>
      <c r="W139" s="132" t="s">
        <v>174</v>
      </c>
      <c r="X139" s="133">
        <v>0.1</v>
      </c>
      <c r="Y139" s="133">
        <v>0.05</v>
      </c>
      <c r="Z139" s="133">
        <v>0.15</v>
      </c>
      <c r="AA139" s="133">
        <v>0.15</v>
      </c>
      <c r="AB139" s="133">
        <f t="shared" si="89"/>
        <v>3.3000000000000002E-2</v>
      </c>
      <c r="AC139" s="134">
        <v>0</v>
      </c>
      <c r="AD139" s="134">
        <v>0</v>
      </c>
      <c r="AE139" s="134">
        <v>0.5</v>
      </c>
      <c r="AF139" s="134">
        <v>0</v>
      </c>
      <c r="AG139" s="134">
        <v>0.1</v>
      </c>
      <c r="AH139" s="134">
        <v>0</v>
      </c>
      <c r="AI139" s="134">
        <v>0</v>
      </c>
      <c r="AJ139" s="134">
        <v>0</v>
      </c>
      <c r="AK139" s="134" t="s">
        <v>175</v>
      </c>
      <c r="AL139" s="122" t="s">
        <v>175</v>
      </c>
      <c r="AM139" s="122">
        <f>-101-1.65-0.88-0.146</f>
        <v>-103.676</v>
      </c>
      <c r="AN139" s="134" t="s">
        <v>176</v>
      </c>
      <c r="AO139" s="134" t="s">
        <v>177</v>
      </c>
      <c r="AP139" s="135">
        <f t="shared" si="92"/>
        <v>0.55550787573174876</v>
      </c>
      <c r="AQ139" s="135">
        <f t="shared" si="93"/>
        <v>0.55550787573174876</v>
      </c>
      <c r="AR139" s="117">
        <v>-1.20334941461404</v>
      </c>
      <c r="AS139" s="117">
        <v>0</v>
      </c>
      <c r="AT139" s="117">
        <v>0</v>
      </c>
      <c r="AU139" s="117">
        <v>-0.61418716846144505</v>
      </c>
      <c r="AV139" s="117">
        <v>-0.364187168461445</v>
      </c>
      <c r="AW139" s="117">
        <v>7.0603393076705601E-2</v>
      </c>
      <c r="AX139" s="117">
        <v>0.48039395461485601</v>
      </c>
      <c r="AY139" s="117">
        <v>0.78039395461485594</v>
      </c>
      <c r="AZ139" s="117">
        <v>0</v>
      </c>
      <c r="BA139" s="117">
        <v>0</v>
      </c>
      <c r="BB139" s="117">
        <v>1.2276845161529999</v>
      </c>
      <c r="BC139" s="136">
        <v>-1</v>
      </c>
      <c r="BD139" s="136" t="s">
        <v>178</v>
      </c>
      <c r="BE139" s="152" t="s">
        <v>843</v>
      </c>
      <c r="BF139" s="152" t="s">
        <v>822</v>
      </c>
      <c r="BG139" s="120" t="s">
        <v>662</v>
      </c>
      <c r="BH139" s="136" t="str">
        <f t="shared" si="38"/>
        <v>&lt;HAT</v>
      </c>
      <c r="BI139" s="136">
        <f t="shared" si="39"/>
        <v>1.2276845161529999</v>
      </c>
      <c r="BJ139" s="136" t="str">
        <f t="shared" si="41"/>
        <v>Nil</v>
      </c>
      <c r="BK139" s="136">
        <f t="shared" si="42"/>
        <v>0.18</v>
      </c>
      <c r="BL139" s="136" t="s">
        <v>736</v>
      </c>
      <c r="BM139" s="136" t="s">
        <v>175</v>
      </c>
      <c r="BN139" s="136" t="s">
        <v>175</v>
      </c>
      <c r="BO139" s="136" t="s">
        <v>736</v>
      </c>
      <c r="BP139" s="137" t="s">
        <v>175</v>
      </c>
      <c r="BQ139" s="137" t="s">
        <v>175</v>
      </c>
      <c r="BR139" s="137" t="s">
        <v>175</v>
      </c>
      <c r="BS139" s="137" t="s">
        <v>175</v>
      </c>
      <c r="BT139" s="138">
        <f t="shared" si="94"/>
        <v>-104.90368451615301</v>
      </c>
      <c r="BU139" s="138">
        <f t="shared" si="95"/>
        <v>0.58394263416880254</v>
      </c>
      <c r="BV139" s="138">
        <f t="shared" si="96"/>
        <v>0.58394263416880254</v>
      </c>
      <c r="BW139" s="53" t="s">
        <v>175</v>
      </c>
      <c r="BX139" s="53" t="s">
        <v>175</v>
      </c>
      <c r="BY139" s="53" t="s">
        <v>175</v>
      </c>
      <c r="BZ139" s="53" t="s">
        <v>175</v>
      </c>
      <c r="CA139" s="147">
        <v>1</v>
      </c>
      <c r="CB139" s="54">
        <v>0</v>
      </c>
    </row>
    <row r="140" spans="1:80">
      <c r="A140" s="123" t="s">
        <v>834</v>
      </c>
      <c r="B140" s="124" t="s">
        <v>767</v>
      </c>
      <c r="C140" s="148" t="s">
        <v>674</v>
      </c>
      <c r="D140" s="125" t="s">
        <v>167</v>
      </c>
      <c r="E140" s="150">
        <v>21.635432999999999</v>
      </c>
      <c r="F140" s="150">
        <v>115.35525</v>
      </c>
      <c r="G140" s="128" t="s">
        <v>168</v>
      </c>
      <c r="H140" s="151">
        <v>12340</v>
      </c>
      <c r="I140" s="151">
        <v>306.75723300355935</v>
      </c>
      <c r="J140" s="151">
        <v>13787</v>
      </c>
      <c r="K140" s="151">
        <v>989</v>
      </c>
      <c r="L140" s="151">
        <v>722</v>
      </c>
      <c r="M140" s="153" t="s">
        <v>818</v>
      </c>
      <c r="N140" s="130" t="s">
        <v>339</v>
      </c>
      <c r="O140" s="153" t="s">
        <v>818</v>
      </c>
      <c r="P140" s="153" t="s">
        <v>819</v>
      </c>
      <c r="Q140" s="153" t="s">
        <v>172</v>
      </c>
      <c r="R140" s="131">
        <f>(0.75+1)/2</f>
        <v>0.875</v>
      </c>
      <c r="S140" s="112" t="s">
        <v>175</v>
      </c>
      <c r="T140" s="130">
        <v>1</v>
      </c>
      <c r="U140" s="132" t="s">
        <v>173</v>
      </c>
      <c r="V140" s="133">
        <v>0.01</v>
      </c>
      <c r="W140" s="132" t="s">
        <v>174</v>
      </c>
      <c r="X140" s="133">
        <v>0.01</v>
      </c>
      <c r="Y140" s="133">
        <v>5.0000000000000001E-3</v>
      </c>
      <c r="Z140" s="133">
        <v>0.13</v>
      </c>
      <c r="AA140" s="133">
        <v>0.15</v>
      </c>
      <c r="AB140" s="133">
        <f>0.02*R140</f>
        <v>1.7500000000000002E-2</v>
      </c>
      <c r="AC140" s="134">
        <v>0</v>
      </c>
      <c r="AD140" s="134">
        <v>0</v>
      </c>
      <c r="AE140" s="134">
        <v>0.5</v>
      </c>
      <c r="AF140" s="134">
        <v>0</v>
      </c>
      <c r="AG140" s="134">
        <v>0.1</v>
      </c>
      <c r="AH140" s="134">
        <v>0</v>
      </c>
      <c r="AI140" s="134">
        <v>0</v>
      </c>
      <c r="AJ140" s="134">
        <v>0</v>
      </c>
      <c r="AK140" s="134" t="s">
        <v>175</v>
      </c>
      <c r="AL140" s="122" t="s">
        <v>175</v>
      </c>
      <c r="AM140" s="122">
        <f>-105-0.88-0.88-0.146</f>
        <v>-106.90599999999999</v>
      </c>
      <c r="AN140" s="134" t="s">
        <v>176</v>
      </c>
      <c r="AO140" s="134" t="s">
        <v>177</v>
      </c>
      <c r="AP140" s="135">
        <f t="shared" ref="AP140:AP141" si="97">SQRT(SUMSQ(IF(OR(Y140="nd",Y140="nd"),0,Y140),IF(OR(Z140="nd",Z140="nd"),0,Z140),IF(OR(AA140="nd",AA140="nd"),0,AA140),IF(OR(AB140="nd",AB140="nd"),0,AB140),IF(OR(AC140="nd",AC140="nd"),0,AC140),IF(OR(AD140="nd",AD140="nd"),0,AD140),IF(OR(AE140="nd",AE140="nd"),0,AE140),IF(OR(AF140="nd",AF140="nd"),0,AF140),IF(OR(AG140="nd",AG140="nd"),0,AG140),IF(OR(AH140="nd",AH140="nd"),0,AH140),IF(OR(AI140="nd",AI140="nd"),0,AI140),IF(OR(AJ140="nd",AJ140="nd"),0,AJ140)))</f>
        <v>0.54747716847371819</v>
      </c>
      <c r="AQ140" s="135">
        <f t="shared" ref="AQ140:AQ141" si="98">SQRT(SUMSQ(IF(OR(Y140="nd",Y140="nd"),0,Y140),IF(OR(Z140="nd",Z140="nd"),0,Z140),IF(OR(AA140="nd",AA140="nd"),0,AA140),IF(OR(AB140="nd",AB140="nd"),0,AB140),IF(OR(AC140="nd",AC140="nd"),0,AC140),IF(OR(AD140="nd",AD140="nd"),0,AD140),IF(OR(AE140="nd",AE140="nd"),0,AE140),IF(OR(AF140="nd",AF140="nd"),0,AF140),IF(OR(AG140="nd",AG140="nd"),0,AG140),IF(OR(AH140="nd",AH140="nd"),0,AH140),IF(OR(AI140="nd",AI140="nd"),0,AI140),IF(OR(AJ140="nd",AJ140="nd"),0,AJ140)))</f>
        <v>0.54747716847371819</v>
      </c>
      <c r="AR140" s="117">
        <v>-0.95255038431918904</v>
      </c>
      <c r="AS140" s="117">
        <v>0</v>
      </c>
      <c r="AT140" s="117">
        <v>0</v>
      </c>
      <c r="AU140" s="117">
        <v>-0.55255038431918901</v>
      </c>
      <c r="AV140" s="117">
        <v>-0.35</v>
      </c>
      <c r="AW140" s="117">
        <v>2.5637596079797299E-2</v>
      </c>
      <c r="AX140" s="117">
        <v>0.352550384319189</v>
      </c>
      <c r="AY140" s="117">
        <v>0.65255038431918899</v>
      </c>
      <c r="AZ140" s="117">
        <v>0</v>
      </c>
      <c r="BA140" s="117">
        <v>0</v>
      </c>
      <c r="BB140" s="117">
        <v>1.0525503843191799</v>
      </c>
      <c r="BC140" s="136">
        <v>-1</v>
      </c>
      <c r="BD140" s="136" t="s">
        <v>178</v>
      </c>
      <c r="BE140" s="152" t="s">
        <v>702</v>
      </c>
      <c r="BF140" s="152" t="s">
        <v>840</v>
      </c>
      <c r="BG140" s="120" t="s">
        <v>678</v>
      </c>
      <c r="BH140" s="136" t="str">
        <f t="shared" si="38"/>
        <v>&lt;MTL</v>
      </c>
      <c r="BI140" s="136">
        <f t="shared" si="39"/>
        <v>2.5637596079797299E-2</v>
      </c>
      <c r="BJ140" s="136" t="str">
        <f t="shared" si="41"/>
        <v>Nil</v>
      </c>
      <c r="BK140" s="136">
        <f t="shared" si="42"/>
        <v>0.05</v>
      </c>
      <c r="BL140" s="136" t="s">
        <v>736</v>
      </c>
      <c r="BM140" s="136" t="s">
        <v>175</v>
      </c>
      <c r="BN140" s="136" t="s">
        <v>175</v>
      </c>
      <c r="BO140" s="136" t="s">
        <v>736</v>
      </c>
      <c r="BP140" s="137" t="s">
        <v>175</v>
      </c>
      <c r="BQ140" s="137" t="s">
        <v>175</v>
      </c>
      <c r="BR140" s="137" t="s">
        <v>175</v>
      </c>
      <c r="BS140" s="137" t="s">
        <v>175</v>
      </c>
      <c r="BT140" s="138">
        <f t="shared" si="94"/>
        <v>-106.9316375960798</v>
      </c>
      <c r="BU140" s="138">
        <f t="shared" si="95"/>
        <v>0.54975562752917773</v>
      </c>
      <c r="BV140" s="138">
        <f t="shared" si="96"/>
        <v>0.54975562752917773</v>
      </c>
      <c r="BW140" s="53" t="s">
        <v>175</v>
      </c>
      <c r="BX140" s="53" t="s">
        <v>175</v>
      </c>
      <c r="BY140" s="53" t="s">
        <v>175</v>
      </c>
      <c r="BZ140" s="53" t="s">
        <v>175</v>
      </c>
      <c r="CA140" s="147">
        <v>1</v>
      </c>
      <c r="CB140" s="54">
        <v>0</v>
      </c>
    </row>
    <row r="141" spans="1:80">
      <c r="A141" s="123" t="s">
        <v>835</v>
      </c>
      <c r="B141" s="124" t="s">
        <v>767</v>
      </c>
      <c r="C141" s="148" t="s">
        <v>674</v>
      </c>
      <c r="D141" s="125" t="s">
        <v>167</v>
      </c>
      <c r="E141" s="150">
        <v>21.635432999999999</v>
      </c>
      <c r="F141" s="150">
        <v>115.35525</v>
      </c>
      <c r="G141" s="128" t="s">
        <v>168</v>
      </c>
      <c r="H141" s="151">
        <v>4670</v>
      </c>
      <c r="I141" s="151">
        <v>80</v>
      </c>
      <c r="J141" s="151">
        <v>4716</v>
      </c>
      <c r="K141" s="151">
        <v>314</v>
      </c>
      <c r="L141" s="151">
        <v>309</v>
      </c>
      <c r="M141" s="153" t="s">
        <v>841</v>
      </c>
      <c r="N141" s="130" t="s">
        <v>339</v>
      </c>
      <c r="O141" s="153" t="s">
        <v>819</v>
      </c>
      <c r="P141" s="153" t="s">
        <v>175</v>
      </c>
      <c r="Q141" s="153" t="s">
        <v>172</v>
      </c>
      <c r="R141" s="131">
        <f>(1.25+1.6)/2</f>
        <v>1.425</v>
      </c>
      <c r="S141" s="112" t="s">
        <v>175</v>
      </c>
      <c r="T141" s="130">
        <v>1</v>
      </c>
      <c r="U141" s="132" t="s">
        <v>173</v>
      </c>
      <c r="V141" s="133">
        <v>0.01</v>
      </c>
      <c r="W141" s="132" t="s">
        <v>174</v>
      </c>
      <c r="X141" s="133">
        <v>0.01</v>
      </c>
      <c r="Y141" s="133">
        <v>5.0000000000000001E-3</v>
      </c>
      <c r="Z141" s="133">
        <f>(1.6-1.25)/2</f>
        <v>0.17500000000000004</v>
      </c>
      <c r="AA141" s="133">
        <v>0.15</v>
      </c>
      <c r="AB141" s="133">
        <f t="shared" si="89"/>
        <v>2.8500000000000001E-2</v>
      </c>
      <c r="AC141" s="134">
        <v>0</v>
      </c>
      <c r="AD141" s="134">
        <v>0</v>
      </c>
      <c r="AE141" s="134">
        <v>0.5</v>
      </c>
      <c r="AF141" s="134">
        <v>0</v>
      </c>
      <c r="AG141" s="134">
        <v>0.1</v>
      </c>
      <c r="AH141" s="134">
        <v>0</v>
      </c>
      <c r="AI141" s="134">
        <v>0</v>
      </c>
      <c r="AJ141" s="134">
        <v>0</v>
      </c>
      <c r="AK141" s="134" t="s">
        <v>175</v>
      </c>
      <c r="AL141" s="122" t="s">
        <v>175</v>
      </c>
      <c r="AM141" s="122">
        <f>-105-1.43-0.88-0.146</f>
        <v>-107.456</v>
      </c>
      <c r="AN141" s="134" t="s">
        <v>176</v>
      </c>
      <c r="AO141" s="134" t="s">
        <v>177</v>
      </c>
      <c r="AP141" s="135">
        <f t="shared" si="97"/>
        <v>0.56032334415050034</v>
      </c>
      <c r="AQ141" s="135">
        <f t="shared" si="98"/>
        <v>0.56032334415050034</v>
      </c>
      <c r="AR141" s="117">
        <v>-0.95255038431918904</v>
      </c>
      <c r="AS141" s="117">
        <v>0</v>
      </c>
      <c r="AT141" s="117">
        <v>0</v>
      </c>
      <c r="AU141" s="117">
        <v>-0.55255038431918901</v>
      </c>
      <c r="AV141" s="117">
        <v>-0.35</v>
      </c>
      <c r="AW141" s="117">
        <v>2.5637596079797299E-2</v>
      </c>
      <c r="AX141" s="117">
        <v>0.352550384319189</v>
      </c>
      <c r="AY141" s="117">
        <v>0.65255038431918899</v>
      </c>
      <c r="AZ141" s="117">
        <v>0</v>
      </c>
      <c r="BA141" s="117">
        <v>0</v>
      </c>
      <c r="BB141" s="117">
        <v>1.0525503843191799</v>
      </c>
      <c r="BC141" s="136">
        <v>1</v>
      </c>
      <c r="BD141" s="136" t="s">
        <v>209</v>
      </c>
      <c r="BE141" s="152" t="s">
        <v>669</v>
      </c>
      <c r="BF141" s="152" t="s">
        <v>842</v>
      </c>
      <c r="BG141" s="120" t="s">
        <v>670</v>
      </c>
      <c r="BH141" s="136" t="str">
        <f t="shared" si="38"/>
        <v>&gt;MLLW</v>
      </c>
      <c r="BI141" s="136">
        <f t="shared" si="39"/>
        <v>-0.55255038431918901</v>
      </c>
      <c r="BJ141" s="136" t="str">
        <f t="shared" si="41"/>
        <v>Nil</v>
      </c>
      <c r="BK141" s="136">
        <f t="shared" si="42"/>
        <v>0.4</v>
      </c>
      <c r="BL141" s="136" t="s">
        <v>736</v>
      </c>
      <c r="BM141" s="136" t="s">
        <v>175</v>
      </c>
      <c r="BN141" s="136" t="s">
        <v>175</v>
      </c>
      <c r="BO141" s="136" t="s">
        <v>736</v>
      </c>
      <c r="BP141" s="137" t="s">
        <v>175</v>
      </c>
      <c r="BQ141" s="137" t="s">
        <v>175</v>
      </c>
      <c r="BR141" s="137" t="s">
        <v>175</v>
      </c>
      <c r="BS141" s="137" t="s">
        <v>175</v>
      </c>
      <c r="BT141" s="138">
        <f t="shared" si="94"/>
        <v>-106.90344961568081</v>
      </c>
      <c r="BU141" s="138">
        <f t="shared" si="95"/>
        <v>0.68844916297428971</v>
      </c>
      <c r="BV141" s="138">
        <f t="shared" si="96"/>
        <v>0.68844916297428971</v>
      </c>
      <c r="BW141" s="53" t="s">
        <v>175</v>
      </c>
      <c r="BX141" s="53" t="s">
        <v>175</v>
      </c>
      <c r="BY141" s="53" t="s">
        <v>175</v>
      </c>
      <c r="BZ141" s="53" t="s">
        <v>175</v>
      </c>
      <c r="CA141" s="147">
        <v>1</v>
      </c>
      <c r="CB141" s="54">
        <v>0</v>
      </c>
    </row>
    <row r="142" spans="1:80">
      <c r="A142" s="123" t="s">
        <v>836</v>
      </c>
      <c r="B142" s="124" t="s">
        <v>767</v>
      </c>
      <c r="C142" s="148" t="s">
        <v>674</v>
      </c>
      <c r="D142" s="125" t="s">
        <v>167</v>
      </c>
      <c r="E142" s="150">
        <v>21.545133</v>
      </c>
      <c r="F142" s="150">
        <v>115.496833</v>
      </c>
      <c r="G142" s="128" t="s">
        <v>168</v>
      </c>
      <c r="H142" s="151">
        <v>12640</v>
      </c>
      <c r="I142" s="151">
        <v>110</v>
      </c>
      <c r="J142" s="151">
        <v>14147</v>
      </c>
      <c r="K142" s="151">
        <v>582</v>
      </c>
      <c r="L142" s="151">
        <v>407</v>
      </c>
      <c r="M142" s="153" t="s">
        <v>818</v>
      </c>
      <c r="N142" s="130" t="s">
        <v>339</v>
      </c>
      <c r="O142" s="153" t="s">
        <v>818</v>
      </c>
      <c r="P142" s="153" t="s">
        <v>819</v>
      </c>
      <c r="Q142" s="153" t="s">
        <v>172</v>
      </c>
      <c r="R142" s="131">
        <f>(0.75+1)/2</f>
        <v>0.875</v>
      </c>
      <c r="S142" s="112" t="s">
        <v>175</v>
      </c>
      <c r="T142" s="130">
        <v>1</v>
      </c>
      <c r="U142" s="132" t="s">
        <v>173</v>
      </c>
      <c r="V142" s="133">
        <v>0.01</v>
      </c>
      <c r="W142" s="132" t="s">
        <v>174</v>
      </c>
      <c r="X142" s="133">
        <v>0.01</v>
      </c>
      <c r="Y142" s="133">
        <v>5.0000000000000001E-3</v>
      </c>
      <c r="Z142" s="133">
        <v>0.13</v>
      </c>
      <c r="AA142" s="133">
        <v>0.15</v>
      </c>
      <c r="AB142" s="133">
        <f>0.02*R142</f>
        <v>1.7500000000000002E-2</v>
      </c>
      <c r="AC142" s="134">
        <v>0</v>
      </c>
      <c r="AD142" s="134">
        <v>0</v>
      </c>
      <c r="AE142" s="134">
        <v>0.5</v>
      </c>
      <c r="AF142" s="134">
        <v>0</v>
      </c>
      <c r="AG142" s="134">
        <v>0.1</v>
      </c>
      <c r="AH142" s="134">
        <v>0</v>
      </c>
      <c r="AI142" s="134">
        <v>0</v>
      </c>
      <c r="AJ142" s="134">
        <v>0</v>
      </c>
      <c r="AK142" s="134" t="s">
        <v>175</v>
      </c>
      <c r="AL142" s="122" t="s">
        <v>175</v>
      </c>
      <c r="AM142" s="122">
        <f>-113-0.88-0.88-0.146</f>
        <v>-114.90599999999999</v>
      </c>
      <c r="AN142" s="134" t="s">
        <v>176</v>
      </c>
      <c r="AO142" s="134" t="s">
        <v>177</v>
      </c>
      <c r="AP142" s="135">
        <f t="shared" ref="AP142:AP143" si="99">SQRT(SUMSQ(IF(OR(Y142="nd",Y142="nd"),0,Y142),IF(OR(Z142="nd",Z142="nd"),0,Z142),IF(OR(AA142="nd",AA142="nd"),0,AA142),IF(OR(AB142="nd",AB142="nd"),0,AB142),IF(OR(AC142="nd",AC142="nd"),0,AC142),IF(OR(AD142="nd",AD142="nd"),0,AD142),IF(OR(AE142="nd",AE142="nd"),0,AE142),IF(OR(AF142="nd",AF142="nd"),0,AF142),IF(OR(AG142="nd",AG142="nd"),0,AG142),IF(OR(AH142="nd",AH142="nd"),0,AH142),IF(OR(AI142="nd",AI142="nd"),0,AI142),IF(OR(AJ142="nd",AJ142="nd"),0,AJ142)))</f>
        <v>0.54747716847371819</v>
      </c>
      <c r="AQ142" s="135">
        <f t="shared" ref="AQ142:AQ143" si="100">SQRT(SUMSQ(IF(OR(Y142="nd",Y142="nd"),0,Y142),IF(OR(Z142="nd",Z142="nd"),0,Z142),IF(OR(AA142="nd",AA142="nd"),0,AA142),IF(OR(AB142="nd",AB142="nd"),0,AB142),IF(OR(AC142="nd",AC142="nd"),0,AC142),IF(OR(AD142="nd",AD142="nd"),0,AD142),IF(OR(AE142="nd",AE142="nd"),0,AE142),IF(OR(AF142="nd",AF142="nd"),0,AF142),IF(OR(AG142="nd",AG142="nd"),0,AG142),IF(OR(AH142="nd",AH142="nd"),0,AH142),IF(OR(AI142="nd",AI142="nd"),0,AI142),IF(OR(AJ142="nd",AJ142="nd"),0,AJ142)))</f>
        <v>0.54747716847371819</v>
      </c>
      <c r="AR142" s="117">
        <v>-0.95061499245357495</v>
      </c>
      <c r="AS142" s="117">
        <v>0</v>
      </c>
      <c r="AT142" s="117">
        <v>0</v>
      </c>
      <c r="AU142" s="117">
        <v>-0.55061499245357504</v>
      </c>
      <c r="AV142" s="117">
        <v>-0.35</v>
      </c>
      <c r="AW142" s="117">
        <v>2.5153748113393899E-2</v>
      </c>
      <c r="AX142" s="117">
        <v>0.35061499245357503</v>
      </c>
      <c r="AY142" s="117">
        <v>0.65061499245357501</v>
      </c>
      <c r="AZ142" s="117">
        <v>0</v>
      </c>
      <c r="BA142" s="117">
        <v>0</v>
      </c>
      <c r="BB142" s="117">
        <v>1.0506149924535699</v>
      </c>
      <c r="BC142" s="136">
        <v>-1</v>
      </c>
      <c r="BD142" s="136" t="s">
        <v>178</v>
      </c>
      <c r="BE142" s="152" t="s">
        <v>702</v>
      </c>
      <c r="BF142" s="152" t="s">
        <v>840</v>
      </c>
      <c r="BG142" s="120" t="s">
        <v>678</v>
      </c>
      <c r="BH142" s="136" t="str">
        <f t="shared" si="38"/>
        <v>&lt;MTL</v>
      </c>
      <c r="BI142" s="136">
        <f t="shared" si="39"/>
        <v>2.5153748113393899E-2</v>
      </c>
      <c r="BJ142" s="136" t="str">
        <f t="shared" si="41"/>
        <v>Nil</v>
      </c>
      <c r="BK142" s="136">
        <f t="shared" si="42"/>
        <v>0.05</v>
      </c>
      <c r="BL142" s="136" t="s">
        <v>736</v>
      </c>
      <c r="BM142" s="136" t="s">
        <v>175</v>
      </c>
      <c r="BN142" s="136" t="s">
        <v>175</v>
      </c>
      <c r="BO142" s="136" t="s">
        <v>736</v>
      </c>
      <c r="BP142" s="137" t="s">
        <v>175</v>
      </c>
      <c r="BQ142" s="137" t="s">
        <v>175</v>
      </c>
      <c r="BR142" s="137" t="s">
        <v>175</v>
      </c>
      <c r="BS142" s="137" t="s">
        <v>175</v>
      </c>
      <c r="BT142" s="138">
        <f t="shared" si="94"/>
        <v>-114.93115374811339</v>
      </c>
      <c r="BU142" s="138">
        <f t="shared" si="95"/>
        <v>0.54975562752917773</v>
      </c>
      <c r="BV142" s="138">
        <f t="shared" si="96"/>
        <v>0.54975562752917773</v>
      </c>
      <c r="BW142" s="53" t="s">
        <v>175</v>
      </c>
      <c r="BX142" s="53" t="s">
        <v>175</v>
      </c>
      <c r="BY142" s="53" t="s">
        <v>175</v>
      </c>
      <c r="BZ142" s="53" t="s">
        <v>175</v>
      </c>
      <c r="CA142" s="147">
        <v>1</v>
      </c>
      <c r="CB142" s="54">
        <v>0</v>
      </c>
    </row>
    <row r="143" spans="1:80">
      <c r="A143" s="123" t="s">
        <v>837</v>
      </c>
      <c r="B143" s="124" t="s">
        <v>767</v>
      </c>
      <c r="C143" s="148" t="s">
        <v>674</v>
      </c>
      <c r="D143" s="125" t="s">
        <v>167</v>
      </c>
      <c r="E143" s="150">
        <v>21.545133</v>
      </c>
      <c r="F143" s="150">
        <v>115.496833</v>
      </c>
      <c r="G143" s="128" t="s">
        <v>168</v>
      </c>
      <c r="H143" s="151">
        <v>6240</v>
      </c>
      <c r="I143" s="151">
        <v>90</v>
      </c>
      <c r="J143" s="151">
        <v>6495</v>
      </c>
      <c r="K143" s="151">
        <v>287</v>
      </c>
      <c r="L143" s="151">
        <v>277</v>
      </c>
      <c r="M143" s="153" t="s">
        <v>819</v>
      </c>
      <c r="N143" s="130" t="s">
        <v>339</v>
      </c>
      <c r="O143" s="153" t="s">
        <v>818</v>
      </c>
      <c r="P143" s="153" t="s">
        <v>175</v>
      </c>
      <c r="Q143" s="153" t="s">
        <v>172</v>
      </c>
      <c r="R143" s="131">
        <f>(1.25+1.65)/2</f>
        <v>1.45</v>
      </c>
      <c r="S143" s="112" t="s">
        <v>175</v>
      </c>
      <c r="T143" s="130">
        <v>1</v>
      </c>
      <c r="U143" s="132" t="s">
        <v>173</v>
      </c>
      <c r="V143" s="133">
        <v>0.01</v>
      </c>
      <c r="W143" s="132" t="s">
        <v>174</v>
      </c>
      <c r="X143" s="133">
        <v>0.01</v>
      </c>
      <c r="Y143" s="133">
        <v>5.0000000000000001E-3</v>
      </c>
      <c r="Z143" s="133">
        <v>0.2</v>
      </c>
      <c r="AA143" s="133">
        <v>0.15</v>
      </c>
      <c r="AB143" s="133">
        <f>0.02*R143</f>
        <v>2.8999999999999998E-2</v>
      </c>
      <c r="AC143" s="134">
        <v>0</v>
      </c>
      <c r="AD143" s="134">
        <v>0</v>
      </c>
      <c r="AE143" s="134">
        <v>0.5</v>
      </c>
      <c r="AF143" s="134">
        <v>0</v>
      </c>
      <c r="AG143" s="134">
        <v>0.1</v>
      </c>
      <c r="AH143" s="134">
        <v>0</v>
      </c>
      <c r="AI143" s="134">
        <v>0</v>
      </c>
      <c r="AJ143" s="134">
        <v>0</v>
      </c>
      <c r="AK143" s="134" t="s">
        <v>175</v>
      </c>
      <c r="AL143" s="122" t="s">
        <v>175</v>
      </c>
      <c r="AM143" s="122">
        <f>-113-1.45-0.88-0.146</f>
        <v>-115.476</v>
      </c>
      <c r="AN143" s="134" t="s">
        <v>176</v>
      </c>
      <c r="AO143" s="134" t="s">
        <v>177</v>
      </c>
      <c r="AP143" s="135">
        <f t="shared" si="99"/>
        <v>0.56865279389096468</v>
      </c>
      <c r="AQ143" s="135">
        <f t="shared" si="100"/>
        <v>0.56865279389096468</v>
      </c>
      <c r="AR143" s="117">
        <v>-0.95061499245357495</v>
      </c>
      <c r="AS143" s="117">
        <v>0</v>
      </c>
      <c r="AT143" s="117">
        <v>0</v>
      </c>
      <c r="AU143" s="117">
        <v>-0.55061499245357504</v>
      </c>
      <c r="AV143" s="117">
        <v>-0.35</v>
      </c>
      <c r="AW143" s="117">
        <v>2.5153748113393899E-2</v>
      </c>
      <c r="AX143" s="117">
        <v>0.35061499245357503</v>
      </c>
      <c r="AY143" s="117">
        <v>0.65061499245357501</v>
      </c>
      <c r="AZ143" s="117">
        <v>0</v>
      </c>
      <c r="BA143" s="117">
        <v>0</v>
      </c>
      <c r="BB143" s="117">
        <v>1.0506149924535699</v>
      </c>
      <c r="BC143" s="136">
        <v>-1</v>
      </c>
      <c r="BD143" s="136" t="s">
        <v>178</v>
      </c>
      <c r="BE143" s="152" t="s">
        <v>843</v>
      </c>
      <c r="BF143" s="152" t="s">
        <v>822</v>
      </c>
      <c r="BG143" s="120" t="s">
        <v>662</v>
      </c>
      <c r="BH143" s="136" t="str">
        <f t="shared" si="38"/>
        <v>&lt;HAT</v>
      </c>
      <c r="BI143" s="136">
        <f t="shared" si="39"/>
        <v>1.0506149924535699</v>
      </c>
      <c r="BJ143" s="136" t="str">
        <f t="shared" si="41"/>
        <v>Nil</v>
      </c>
      <c r="BK143" s="136">
        <f t="shared" si="42"/>
        <v>0.18</v>
      </c>
      <c r="BL143" s="136" t="s">
        <v>736</v>
      </c>
      <c r="BM143" s="136" t="s">
        <v>175</v>
      </c>
      <c r="BN143" s="136" t="s">
        <v>175</v>
      </c>
      <c r="BO143" s="136" t="s">
        <v>736</v>
      </c>
      <c r="BP143" s="137" t="s">
        <v>175</v>
      </c>
      <c r="BQ143" s="137" t="s">
        <v>175</v>
      </c>
      <c r="BR143" s="137" t="s">
        <v>175</v>
      </c>
      <c r="BS143" s="137" t="s">
        <v>175</v>
      </c>
      <c r="BT143" s="138">
        <f t="shared" si="94"/>
        <v>-116.52661499245357</v>
      </c>
      <c r="BU143" s="138">
        <f t="shared" si="95"/>
        <v>0.59646123092787839</v>
      </c>
      <c r="BV143" s="138">
        <f t="shared" si="96"/>
        <v>0.59646123092787839</v>
      </c>
      <c r="BW143" s="53" t="s">
        <v>175</v>
      </c>
      <c r="BX143" s="53" t="s">
        <v>175</v>
      </c>
      <c r="BY143" s="53" t="s">
        <v>175</v>
      </c>
      <c r="BZ143" s="53" t="s">
        <v>175</v>
      </c>
      <c r="CA143" s="147">
        <v>1</v>
      </c>
      <c r="CB143" s="54">
        <v>0</v>
      </c>
    </row>
    <row r="144" spans="1:80">
      <c r="A144" s="123" t="s">
        <v>838</v>
      </c>
      <c r="B144" s="124" t="s">
        <v>767</v>
      </c>
      <c r="C144" s="148" t="s">
        <v>674</v>
      </c>
      <c r="D144" s="125" t="s">
        <v>167</v>
      </c>
      <c r="E144" s="150">
        <v>21.461666999999998</v>
      </c>
      <c r="F144" s="150">
        <v>115.58825</v>
      </c>
      <c r="G144" s="128" t="s">
        <v>168</v>
      </c>
      <c r="H144" s="151">
        <v>11760</v>
      </c>
      <c r="I144" s="151">
        <v>130</v>
      </c>
      <c r="J144" s="151">
        <v>13093</v>
      </c>
      <c r="K144" s="151">
        <v>317</v>
      </c>
      <c r="L144" s="151">
        <v>332</v>
      </c>
      <c r="M144" s="153" t="s">
        <v>819</v>
      </c>
      <c r="N144" s="130" t="s">
        <v>339</v>
      </c>
      <c r="O144" s="153" t="s">
        <v>818</v>
      </c>
      <c r="P144" s="153" t="s">
        <v>175</v>
      </c>
      <c r="Q144" s="153" t="s">
        <v>172</v>
      </c>
      <c r="R144" s="131">
        <f>(0.5+0.75)/2</f>
        <v>0.625</v>
      </c>
      <c r="S144" s="112" t="s">
        <v>175</v>
      </c>
      <c r="T144" s="130">
        <v>1</v>
      </c>
      <c r="U144" s="132" t="s">
        <v>173</v>
      </c>
      <c r="V144" s="133">
        <v>0.01</v>
      </c>
      <c r="W144" s="132" t="s">
        <v>174</v>
      </c>
      <c r="X144" s="133">
        <v>0.01</v>
      </c>
      <c r="Y144" s="133">
        <v>5.0000000000000001E-3</v>
      </c>
      <c r="Z144" s="133">
        <v>0.13</v>
      </c>
      <c r="AA144" s="133">
        <v>0.15</v>
      </c>
      <c r="AB144" s="133">
        <f>0.02*R144</f>
        <v>1.2500000000000001E-2</v>
      </c>
      <c r="AC144" s="134">
        <v>0</v>
      </c>
      <c r="AD144" s="134">
        <v>0</v>
      </c>
      <c r="AE144" s="134">
        <v>0.5</v>
      </c>
      <c r="AF144" s="134">
        <v>0</v>
      </c>
      <c r="AG144" s="134">
        <v>0.1</v>
      </c>
      <c r="AH144" s="134">
        <v>0</v>
      </c>
      <c r="AI144" s="134">
        <v>0</v>
      </c>
      <c r="AJ144" s="134">
        <v>0</v>
      </c>
      <c r="AK144" s="134" t="s">
        <v>175</v>
      </c>
      <c r="AL144" s="122" t="s">
        <v>175</v>
      </c>
      <c r="AM144" s="122">
        <f>-117-0.63-0.88-0.146</f>
        <v>-118.65599999999999</v>
      </c>
      <c r="AN144" s="134" t="s">
        <v>176</v>
      </c>
      <c r="AO144" s="134" t="s">
        <v>177</v>
      </c>
      <c r="AP144" s="135">
        <f t="shared" ref="AP144" si="101">SQRT(SUMSQ(IF(OR(Y144="nd",Y144="nd"),0,Y144),IF(OR(Z144="nd",Z144="nd"),0,Z144),IF(OR(AA144="nd",AA144="nd"),0,AA144),IF(OR(AB144="nd",AB144="nd"),0,AB144),IF(OR(AC144="nd",AC144="nd"),0,AC144),IF(OR(AD144="nd",AD144="nd"),0,AD144),IF(OR(AE144="nd",AE144="nd"),0,AE144),IF(OR(AF144="nd",AF144="nd"),0,AF144),IF(OR(AG144="nd",AG144="nd"),0,AG144),IF(OR(AH144="nd",AH144="nd"),0,AH144),IF(OR(AI144="nd",AI144="nd"),0,AI144),IF(OR(AJ144="nd",AJ144="nd"),0,AJ144)))</f>
        <v>0.54734015931594127</v>
      </c>
      <c r="AQ144" s="135">
        <f t="shared" ref="AQ144" si="102">SQRT(SUMSQ(IF(OR(Y144="nd",Y144="nd"),0,Y144),IF(OR(Z144="nd",Z144="nd"),0,Z144),IF(OR(AA144="nd",AA144="nd"),0,AA144),IF(OR(AB144="nd",AB144="nd"),0,AB144),IF(OR(AC144="nd",AC144="nd"),0,AC144),IF(OR(AD144="nd",AD144="nd"),0,AD144),IF(OR(AE144="nd",AE144="nd"),0,AE144),IF(OR(AF144="nd",AF144="nd"),0,AF144),IF(OR(AG144="nd",AG144="nd"),0,AG144),IF(OR(AH144="nd",AH144="nd"),0,AH144),IF(OR(AI144="nd",AI144="nd"),0,AI144),IF(OR(AJ144="nd",AJ144="nd"),0,AJ144)))</f>
        <v>0.54734015931594127</v>
      </c>
      <c r="AR144" s="117">
        <v>-0.79506704316035604</v>
      </c>
      <c r="AS144" s="117">
        <v>0</v>
      </c>
      <c r="AT144" s="117">
        <v>0</v>
      </c>
      <c r="AU144" s="117">
        <v>-0.49835568105345102</v>
      </c>
      <c r="AV144" s="117">
        <v>-0.32376676079008898</v>
      </c>
      <c r="AW144" s="117">
        <v>-4.4058309802477699E-2</v>
      </c>
      <c r="AX144" s="117">
        <v>0.198355681053452</v>
      </c>
      <c r="AY144" s="117">
        <v>0.44753352158017701</v>
      </c>
      <c r="AZ144" s="117">
        <v>0</v>
      </c>
      <c r="BA144" s="117">
        <v>0</v>
      </c>
      <c r="BB144" s="117">
        <v>0.94588920263362897</v>
      </c>
      <c r="BC144" s="136">
        <v>-1</v>
      </c>
      <c r="BD144" s="136" t="s">
        <v>178</v>
      </c>
      <c r="BE144" s="152" t="s">
        <v>843</v>
      </c>
      <c r="BF144" s="152" t="s">
        <v>822</v>
      </c>
      <c r="BG144" s="120" t="s">
        <v>662</v>
      </c>
      <c r="BH144" s="136" t="str">
        <f t="shared" si="38"/>
        <v>&lt;HAT</v>
      </c>
      <c r="BI144" s="136">
        <f t="shared" si="39"/>
        <v>0.94588920263362897</v>
      </c>
      <c r="BJ144" s="136" t="str">
        <f t="shared" si="41"/>
        <v>Nil</v>
      </c>
      <c r="BK144" s="136">
        <f t="shared" si="42"/>
        <v>0.18</v>
      </c>
      <c r="BL144" s="136" t="s">
        <v>736</v>
      </c>
      <c r="BM144" s="136" t="s">
        <v>175</v>
      </c>
      <c r="BN144" s="136" t="s">
        <v>175</v>
      </c>
      <c r="BO144" s="136" t="s">
        <v>736</v>
      </c>
      <c r="BP144" s="137" t="s">
        <v>175</v>
      </c>
      <c r="BQ144" s="137" t="s">
        <v>175</v>
      </c>
      <c r="BR144" s="137" t="s">
        <v>175</v>
      </c>
      <c r="BS144" s="137" t="s">
        <v>175</v>
      </c>
      <c r="BT144" s="138">
        <f t="shared" si="94"/>
        <v>-119.60188920263361</v>
      </c>
      <c r="BU144" s="138">
        <f t="shared" si="95"/>
        <v>0.57617814085575991</v>
      </c>
      <c r="BV144" s="138">
        <f t="shared" si="96"/>
        <v>0.57617814085575991</v>
      </c>
      <c r="BW144" s="53" t="s">
        <v>175</v>
      </c>
      <c r="BX144" s="53" t="s">
        <v>175</v>
      </c>
      <c r="BY144" s="53" t="s">
        <v>175</v>
      </c>
      <c r="BZ144" s="53" t="s">
        <v>175</v>
      </c>
      <c r="CA144" s="147">
        <v>1</v>
      </c>
      <c r="CB144" s="54">
        <v>0</v>
      </c>
    </row>
    <row r="145" spans="1:80">
      <c r="A145" s="123" t="s">
        <v>839</v>
      </c>
      <c r="B145" s="124" t="s">
        <v>767</v>
      </c>
      <c r="C145" s="148" t="s">
        <v>674</v>
      </c>
      <c r="D145" s="125" t="s">
        <v>167</v>
      </c>
      <c r="E145" s="150">
        <v>21.461666999999998</v>
      </c>
      <c r="F145" s="150">
        <v>115.58825</v>
      </c>
      <c r="G145" s="128" t="s">
        <v>168</v>
      </c>
      <c r="H145" s="151">
        <v>9050</v>
      </c>
      <c r="I145" s="151">
        <v>90</v>
      </c>
      <c r="J145" s="151">
        <v>9607</v>
      </c>
      <c r="K145" s="151">
        <v>359</v>
      </c>
      <c r="L145" s="151">
        <v>315</v>
      </c>
      <c r="M145" s="153" t="s">
        <v>819</v>
      </c>
      <c r="N145" s="130" t="s">
        <v>339</v>
      </c>
      <c r="O145" s="153" t="s">
        <v>818</v>
      </c>
      <c r="P145" s="153" t="s">
        <v>175</v>
      </c>
      <c r="Q145" s="153" t="s">
        <v>172</v>
      </c>
      <c r="R145" s="131">
        <f>(0.75+1)/2</f>
        <v>0.875</v>
      </c>
      <c r="S145" s="112" t="s">
        <v>175</v>
      </c>
      <c r="T145" s="130">
        <v>1</v>
      </c>
      <c r="U145" s="132" t="s">
        <v>173</v>
      </c>
      <c r="V145" s="133">
        <v>0.01</v>
      </c>
      <c r="W145" s="132" t="s">
        <v>174</v>
      </c>
      <c r="X145" s="133">
        <v>0.01</v>
      </c>
      <c r="Y145" s="133">
        <v>5.0000000000000001E-3</v>
      </c>
      <c r="Z145" s="133">
        <v>0.13</v>
      </c>
      <c r="AA145" s="133">
        <v>0.15</v>
      </c>
      <c r="AB145" s="133">
        <f>0.02*R145</f>
        <v>1.7500000000000002E-2</v>
      </c>
      <c r="AC145" s="134">
        <v>0</v>
      </c>
      <c r="AD145" s="134">
        <v>0</v>
      </c>
      <c r="AE145" s="134">
        <v>0.5</v>
      </c>
      <c r="AF145" s="134">
        <v>0</v>
      </c>
      <c r="AG145" s="134">
        <v>0.1</v>
      </c>
      <c r="AH145" s="134">
        <v>0</v>
      </c>
      <c r="AI145" s="134">
        <v>0</v>
      </c>
      <c r="AJ145" s="134">
        <v>0</v>
      </c>
      <c r="AK145" s="134" t="s">
        <v>175</v>
      </c>
      <c r="AL145" s="122" t="s">
        <v>175</v>
      </c>
      <c r="AM145" s="122">
        <f>-117-0.88-0.88-0.146</f>
        <v>-118.90599999999999</v>
      </c>
      <c r="AN145" s="134" t="s">
        <v>176</v>
      </c>
      <c r="AO145" s="134" t="s">
        <v>177</v>
      </c>
      <c r="AP145" s="135">
        <f t="shared" ref="AP145" si="103">SQRT(SUMSQ(IF(OR(Y145="nd",Y145="nd"),0,Y145),IF(OR(Z145="nd",Z145="nd"),0,Z145),IF(OR(AA145="nd",AA145="nd"),0,AA145),IF(OR(AB145="nd",AB145="nd"),0,AB145),IF(OR(AC145="nd",AC145="nd"),0,AC145),IF(OR(AD145="nd",AD145="nd"),0,AD145),IF(OR(AE145="nd",AE145="nd"),0,AE145),IF(OR(AF145="nd",AF145="nd"),0,AF145),IF(OR(AG145="nd",AG145="nd"),0,AG145),IF(OR(AH145="nd",AH145="nd"),0,AH145),IF(OR(AI145="nd",AI145="nd"),0,AI145),IF(OR(AJ145="nd",AJ145="nd"),0,AJ145)))</f>
        <v>0.54747716847371819</v>
      </c>
      <c r="AQ145" s="135">
        <f t="shared" ref="AQ145" si="104">SQRT(SUMSQ(IF(OR(Y145="nd",Y145="nd"),0,Y145),IF(OR(Z145="nd",Z145="nd"),0,Z145),IF(OR(AA145="nd",AA145="nd"),0,AA145),IF(OR(AB145="nd",AB145="nd"),0,AB145),IF(OR(AC145="nd",AC145="nd"),0,AC145),IF(OR(AD145="nd",AD145="nd"),0,AD145),IF(OR(AE145="nd",AE145="nd"),0,AE145),IF(OR(AF145="nd",AF145="nd"),0,AF145),IF(OR(AG145="nd",AG145="nd"),0,AG145),IF(OR(AH145="nd",AH145="nd"),0,AH145),IF(OR(AI145="nd",AI145="nd"),0,AI145),IF(OR(AJ145="nd",AJ145="nd"),0,AJ145)))</f>
        <v>0.54747716847371819</v>
      </c>
      <c r="AR145" s="117">
        <v>-0.79506704316035604</v>
      </c>
      <c r="AS145" s="117">
        <v>0</v>
      </c>
      <c r="AT145" s="117">
        <v>0</v>
      </c>
      <c r="AU145" s="117">
        <v>-0.49835568105345102</v>
      </c>
      <c r="AV145" s="117">
        <v>-0.32376676079008898</v>
      </c>
      <c r="AW145" s="117">
        <v>-4.4058309802477699E-2</v>
      </c>
      <c r="AX145" s="117">
        <v>0.198355681053452</v>
      </c>
      <c r="AY145" s="117">
        <v>0.44753352158017701</v>
      </c>
      <c r="AZ145" s="117">
        <v>0</v>
      </c>
      <c r="BA145" s="117">
        <v>0</v>
      </c>
      <c r="BB145" s="117">
        <v>0.94588920263362897</v>
      </c>
      <c r="BC145" s="136">
        <v>-1</v>
      </c>
      <c r="BD145" s="136" t="s">
        <v>178</v>
      </c>
      <c r="BE145" s="152" t="s">
        <v>843</v>
      </c>
      <c r="BF145" s="152" t="s">
        <v>822</v>
      </c>
      <c r="BG145" s="120" t="s">
        <v>662</v>
      </c>
      <c r="BH145" s="136" t="str">
        <f t="shared" ref="BH145:BH206" si="105">IF(BG145="1","&gt;MTL",
IF(BG145="2a","HAT-LAT",
IF(BG145="2b","&gt;MLLW",
IF(BG145="3a","&lt;HAT",
IF(BG145="3b","MLLW-LAT",
IF(BG145="3c","(MLLW)-(MLLW-8)",
IF(BG145="3d","&lt;HAT",
IF(BG145="3e","&gt;MLLW",
IF(BG145="4","&gt;MTL",
IF(BG145="5","&gt;MTL",
IF(BG145="6","&lt;HAT",
IF(BG145="7","&lt;HAT",
IF(BG145="8","HAT-MTL",
IF(BG145="9","&lt;MTL",
IF(BG145="10a","&lt;MTL",
IF(BG145="10b","MHHW-MLLW",
IF(BG145="11","&gt;MHHW",
IF(BG145="12a","HAT-LAT",
IF(BG145="12b","&lt;HAT","")))))))))))))))))))</f>
        <v>&lt;HAT</v>
      </c>
      <c r="BI145" s="136">
        <f t="shared" ref="BI145:BI206" si="106">IF(BG145="1",AW145,
IF(BG145="2a",(AR145+BB145)/2,
IF(BG145="2b",AU145,
IF(BG145="3a",BB145,
IF(BG145="3b",(AU145+AR145)/2,
IF(BG145="3c",(AU145+(AU145-8))/2,
IF(BG145="3d",BB145,
IF(BG145="3e",AU145,
IF(BG145="4",AW145,
IF(BG145="5",AW145,
IF(BG145="6",BB145,
IF(BG145="7",BB145,
IF(BG145="8",(AW145+BB145)/2,
IF(BG145="9",AW145,
IF(BG145="10a",AW145,
IF(BG145="10b",(AU145+AY145)/2,
IF(BG145="11",AY145,
IF(BG145="12a",(AR145+BB145)/2,
IF(BG145="12b",BB145,"")))))))))))))))))))</f>
        <v>0.94588920263362897</v>
      </c>
      <c r="BJ145" s="136" t="str">
        <f t="shared" si="41"/>
        <v>Nil</v>
      </c>
      <c r="BK145" s="136">
        <f t="shared" si="42"/>
        <v>0.18</v>
      </c>
      <c r="BL145" s="136" t="s">
        <v>736</v>
      </c>
      <c r="BM145" s="136" t="s">
        <v>175</v>
      </c>
      <c r="BN145" s="136" t="s">
        <v>175</v>
      </c>
      <c r="BO145" s="136" t="s">
        <v>736</v>
      </c>
      <c r="BP145" s="137" t="s">
        <v>175</v>
      </c>
      <c r="BQ145" s="137" t="s">
        <v>175</v>
      </c>
      <c r="BR145" s="137" t="s">
        <v>175</v>
      </c>
      <c r="BS145" s="137" t="s">
        <v>175</v>
      </c>
      <c r="BT145" s="138">
        <f t="shared" si="46"/>
        <v>-119.85188920263361</v>
      </c>
      <c r="BU145" s="138">
        <f t="shared" si="47"/>
        <v>0.57630829423148167</v>
      </c>
      <c r="BV145" s="138">
        <f t="shared" si="48"/>
        <v>0.57630829423148167</v>
      </c>
      <c r="BW145" s="53" t="s">
        <v>175</v>
      </c>
      <c r="BX145" s="53" t="s">
        <v>175</v>
      </c>
      <c r="BY145" s="53" t="s">
        <v>175</v>
      </c>
      <c r="BZ145" s="53" t="s">
        <v>175</v>
      </c>
      <c r="CA145" s="147">
        <v>1</v>
      </c>
      <c r="CB145" s="54">
        <v>0</v>
      </c>
    </row>
    <row r="146" spans="1:80">
      <c r="A146" s="123" t="s">
        <v>511</v>
      </c>
      <c r="B146" s="124" t="s">
        <v>849</v>
      </c>
      <c r="C146" s="148" t="s">
        <v>674</v>
      </c>
      <c r="D146" s="125" t="s">
        <v>742</v>
      </c>
      <c r="E146" s="127">
        <v>23.159655000000001</v>
      </c>
      <c r="F146" s="127">
        <v>113.929134</v>
      </c>
      <c r="G146" s="128" t="s">
        <v>168</v>
      </c>
      <c r="H146" s="129">
        <v>7750.681864716249</v>
      </c>
      <c r="I146" s="129">
        <v>102.09332595228739</v>
      </c>
      <c r="J146" s="129">
        <v>8049</v>
      </c>
      <c r="K146" s="129">
        <v>288</v>
      </c>
      <c r="L146" s="129">
        <v>283</v>
      </c>
      <c r="M146" s="130" t="s">
        <v>512</v>
      </c>
      <c r="N146" s="130" t="s">
        <v>339</v>
      </c>
      <c r="O146" s="130" t="s">
        <v>175</v>
      </c>
      <c r="P146" s="130" t="s">
        <v>175</v>
      </c>
      <c r="Q146" s="130" t="s">
        <v>175</v>
      </c>
      <c r="R146" s="130" t="s">
        <v>175</v>
      </c>
      <c r="S146" s="130" t="s">
        <v>175</v>
      </c>
      <c r="T146" s="130">
        <v>0</v>
      </c>
      <c r="U146" s="132" t="s">
        <v>192</v>
      </c>
      <c r="V146" s="133">
        <v>0.1</v>
      </c>
      <c r="W146" s="132" t="s">
        <v>174</v>
      </c>
      <c r="X146" s="133">
        <v>0.1</v>
      </c>
      <c r="Y146" s="133">
        <v>0.05</v>
      </c>
      <c r="Z146" s="133">
        <v>0.01</v>
      </c>
      <c r="AA146" s="133">
        <v>0.05</v>
      </c>
      <c r="AB146" s="133">
        <v>0</v>
      </c>
      <c r="AC146" s="134">
        <v>0</v>
      </c>
      <c r="AD146" s="134">
        <v>0</v>
      </c>
      <c r="AE146" s="134">
        <v>0.5</v>
      </c>
      <c r="AF146" s="134">
        <v>0</v>
      </c>
      <c r="AG146" s="134">
        <v>0.1</v>
      </c>
      <c r="AH146" s="134">
        <v>0</v>
      </c>
      <c r="AI146" s="134">
        <v>0</v>
      </c>
      <c r="AJ146" s="134">
        <v>0</v>
      </c>
      <c r="AK146" s="134" t="s">
        <v>175</v>
      </c>
      <c r="AL146" s="122" t="s">
        <v>175</v>
      </c>
      <c r="AM146" s="122">
        <v>2</v>
      </c>
      <c r="AN146" s="134" t="s">
        <v>176</v>
      </c>
      <c r="AO146" s="134" t="s">
        <v>177</v>
      </c>
      <c r="AP146" s="135">
        <f t="shared" si="27"/>
        <v>0.5148786264742401</v>
      </c>
      <c r="AQ146" s="135">
        <f t="shared" si="24"/>
        <v>0.5148786264742401</v>
      </c>
      <c r="AR146" s="117">
        <v>-2.4931199930000001</v>
      </c>
      <c r="AS146" s="117">
        <v>0</v>
      </c>
      <c r="AT146" s="117">
        <v>0</v>
      </c>
      <c r="AU146" s="117">
        <v>-1.275549091</v>
      </c>
      <c r="AV146" s="117">
        <v>-0.69890181900000004</v>
      </c>
      <c r="AW146" s="117">
        <v>-4.8901818999999999E-2</v>
      </c>
      <c r="AX146" s="117">
        <v>0.65219636299999995</v>
      </c>
      <c r="AY146" s="117">
        <v>1.126647272</v>
      </c>
      <c r="AZ146" s="117">
        <v>0</v>
      </c>
      <c r="BA146" s="117">
        <v>0</v>
      </c>
      <c r="BB146" s="117">
        <v>1.8873989520000001</v>
      </c>
      <c r="BC146" s="136" t="str">
        <f t="shared" si="28"/>
        <v xml:space="preserve">1 </v>
      </c>
      <c r="BD146" s="136" t="s">
        <v>199</v>
      </c>
      <c r="BE146" s="136" t="s">
        <v>667</v>
      </c>
      <c r="BF146" s="136" t="s">
        <v>710</v>
      </c>
      <c r="BG146" s="120" t="s">
        <v>664</v>
      </c>
      <c r="BH146" s="136" t="str">
        <f t="shared" si="105"/>
        <v>&gt;MHHW</v>
      </c>
      <c r="BI146" s="136">
        <f t="shared" si="106"/>
        <v>1.126647272</v>
      </c>
      <c r="BJ146" s="136" t="str">
        <f t="shared" si="21"/>
        <v>Nil</v>
      </c>
      <c r="BK146" s="136">
        <f t="shared" si="22"/>
        <v>0.44</v>
      </c>
      <c r="BL146" s="136" t="s">
        <v>736</v>
      </c>
      <c r="BM146" s="136" t="s">
        <v>175</v>
      </c>
      <c r="BN146" s="136" t="s">
        <v>175</v>
      </c>
      <c r="BO146" s="136" t="s">
        <v>736</v>
      </c>
      <c r="BP146" s="137" t="s">
        <v>175</v>
      </c>
      <c r="BQ146" s="137" t="s">
        <v>175</v>
      </c>
      <c r="BR146" s="137" t="s">
        <v>175</v>
      </c>
      <c r="BS146" s="137" t="s">
        <v>175</v>
      </c>
      <c r="BT146" s="138">
        <f t="shared" si="29"/>
        <v>0.87335272799999997</v>
      </c>
      <c r="BU146" s="138">
        <f t="shared" si="30"/>
        <v>0.67727394752788184</v>
      </c>
      <c r="BV146" s="138">
        <f t="shared" si="31"/>
        <v>0.67727394752788184</v>
      </c>
      <c r="BW146" s="53" t="s">
        <v>175</v>
      </c>
      <c r="BX146" s="53" t="s">
        <v>175</v>
      </c>
      <c r="BY146" s="53" t="s">
        <v>175</v>
      </c>
      <c r="BZ146" s="53" t="s">
        <v>175</v>
      </c>
      <c r="CA146" s="147">
        <v>2</v>
      </c>
      <c r="CB146" s="54">
        <v>0</v>
      </c>
    </row>
    <row r="147" spans="1:80">
      <c r="A147" s="123" t="s">
        <v>845</v>
      </c>
      <c r="B147" s="124" t="s">
        <v>844</v>
      </c>
      <c r="C147" s="125" t="s">
        <v>674</v>
      </c>
      <c r="D147" s="126" t="s">
        <v>742</v>
      </c>
      <c r="E147" s="127">
        <v>22.75102</v>
      </c>
      <c r="F147" s="127">
        <v>113.89887</v>
      </c>
      <c r="G147" s="128" t="s">
        <v>168</v>
      </c>
      <c r="H147" s="145">
        <v>5900.681864716249</v>
      </c>
      <c r="I147" s="145">
        <v>203.03459607662927</v>
      </c>
      <c r="J147" s="129">
        <v>6127</v>
      </c>
      <c r="K147" s="129">
        <v>489</v>
      </c>
      <c r="L147" s="129">
        <v>486</v>
      </c>
      <c r="M147" s="146" t="s">
        <v>412</v>
      </c>
      <c r="N147" s="146" t="s">
        <v>619</v>
      </c>
      <c r="O147" s="130" t="s">
        <v>175</v>
      </c>
      <c r="P147" s="130" t="s">
        <v>175</v>
      </c>
      <c r="Q147" s="130" t="s">
        <v>377</v>
      </c>
      <c r="R147" s="131">
        <v>11</v>
      </c>
      <c r="S147" s="131" t="s">
        <v>175</v>
      </c>
      <c r="T147" s="130">
        <v>1</v>
      </c>
      <c r="U147" s="132" t="s">
        <v>173</v>
      </c>
      <c r="V147" s="133">
        <v>0.1</v>
      </c>
      <c r="W147" s="132" t="s">
        <v>174</v>
      </c>
      <c r="X147" s="133">
        <v>0.1</v>
      </c>
      <c r="Y147" s="133">
        <v>0.05</v>
      </c>
      <c r="Z147" s="133">
        <v>0.01</v>
      </c>
      <c r="AA147" s="133">
        <v>0.15</v>
      </c>
      <c r="AB147" s="133">
        <f>0.02*R147</f>
        <v>0.22</v>
      </c>
      <c r="AC147" s="134">
        <v>0</v>
      </c>
      <c r="AD147" s="134">
        <v>0</v>
      </c>
      <c r="AE147" s="134">
        <v>0.5</v>
      </c>
      <c r="AF147" s="134">
        <v>0</v>
      </c>
      <c r="AG147" s="134">
        <v>0.1</v>
      </c>
      <c r="AH147" s="134">
        <v>0</v>
      </c>
      <c r="AI147" s="134">
        <v>0</v>
      </c>
      <c r="AJ147" s="134">
        <v>0</v>
      </c>
      <c r="AK147" s="134" t="s">
        <v>175</v>
      </c>
      <c r="AL147" s="122" t="s">
        <v>175</v>
      </c>
      <c r="AM147" s="122">
        <v>-13.8</v>
      </c>
      <c r="AN147" s="134" t="s">
        <v>176</v>
      </c>
      <c r="AO147" s="122" t="s">
        <v>177</v>
      </c>
      <c r="AP147" s="135">
        <f t="shared" si="27"/>
        <v>0.57749458871923642</v>
      </c>
      <c r="AQ147" s="135">
        <f t="shared" si="24"/>
        <v>0.57749458871923642</v>
      </c>
      <c r="AR147" s="117">
        <v>-3.228384632</v>
      </c>
      <c r="AS147" s="117">
        <v>0</v>
      </c>
      <c r="AT147" s="117">
        <v>0</v>
      </c>
      <c r="AU147" s="117">
        <v>-1.342794877</v>
      </c>
      <c r="AV147" s="117">
        <v>-0.72139743899999997</v>
      </c>
      <c r="AW147" s="117">
        <v>-3.2150640000000001E-2</v>
      </c>
      <c r="AX147" s="117">
        <v>0.69279487699999998</v>
      </c>
      <c r="AY147" s="117">
        <v>1.2427948769999999</v>
      </c>
      <c r="AZ147" s="117">
        <v>0</v>
      </c>
      <c r="BA147" s="117">
        <v>0</v>
      </c>
      <c r="BB147" s="117">
        <v>2.3427948770000002</v>
      </c>
      <c r="BC147" s="136" t="str">
        <f t="shared" si="28"/>
        <v>-1</v>
      </c>
      <c r="BD147" s="136" t="s">
        <v>178</v>
      </c>
      <c r="BE147" s="136" t="s">
        <v>518</v>
      </c>
      <c r="BF147" s="136" t="s">
        <v>709</v>
      </c>
      <c r="BG147" s="120" t="s">
        <v>678</v>
      </c>
      <c r="BH147" s="136" t="str">
        <f t="shared" si="105"/>
        <v>&lt;MTL</v>
      </c>
      <c r="BI147" s="136">
        <f t="shared" si="106"/>
        <v>-3.2150640000000001E-2</v>
      </c>
      <c r="BJ147" s="136" t="str">
        <f t="shared" si="21"/>
        <v>Nil</v>
      </c>
      <c r="BK147" s="136">
        <f t="shared" si="22"/>
        <v>0.05</v>
      </c>
      <c r="BL147" s="136" t="s">
        <v>736</v>
      </c>
      <c r="BM147" s="136" t="s">
        <v>175</v>
      </c>
      <c r="BN147" s="136" t="s">
        <v>175</v>
      </c>
      <c r="BO147" s="136" t="s">
        <v>736</v>
      </c>
      <c r="BP147" s="137" t="s">
        <v>175</v>
      </c>
      <c r="BQ147" s="137" t="s">
        <v>175</v>
      </c>
      <c r="BR147" s="137" t="s">
        <v>175</v>
      </c>
      <c r="BS147" s="137" t="s">
        <v>175</v>
      </c>
      <c r="BT147" s="138">
        <f t="shared" si="29"/>
        <v>-13.767849360000001</v>
      </c>
      <c r="BU147" s="138">
        <f t="shared" si="30"/>
        <v>0.57965506984757753</v>
      </c>
      <c r="BV147" s="138">
        <f t="shared" si="31"/>
        <v>0.57965506984757753</v>
      </c>
      <c r="BW147" s="53" t="s">
        <v>175</v>
      </c>
      <c r="BX147" s="53" t="s">
        <v>175</v>
      </c>
      <c r="BY147" s="53" t="s">
        <v>175</v>
      </c>
      <c r="BZ147" s="53" t="s">
        <v>175</v>
      </c>
      <c r="CA147" s="147">
        <v>2</v>
      </c>
      <c r="CB147" s="54">
        <v>0</v>
      </c>
    </row>
    <row r="148" spans="1:80">
      <c r="A148" s="123" t="s">
        <v>846</v>
      </c>
      <c r="B148" s="124" t="s">
        <v>731</v>
      </c>
      <c r="C148" s="125" t="s">
        <v>674</v>
      </c>
      <c r="D148" s="126" t="s">
        <v>742</v>
      </c>
      <c r="E148" s="127">
        <v>22.75102</v>
      </c>
      <c r="F148" s="127">
        <v>113.89887</v>
      </c>
      <c r="G148" s="128" t="s">
        <v>168</v>
      </c>
      <c r="H148" s="145">
        <v>5610.681864716249</v>
      </c>
      <c r="I148" s="145">
        <v>178.67021913010572</v>
      </c>
      <c r="J148" s="129">
        <v>5819</v>
      </c>
      <c r="K148" s="129">
        <v>446</v>
      </c>
      <c r="L148" s="129">
        <v>417</v>
      </c>
      <c r="M148" s="146" t="s">
        <v>622</v>
      </c>
      <c r="N148" s="146" t="s">
        <v>619</v>
      </c>
      <c r="O148" s="130" t="s">
        <v>175</v>
      </c>
      <c r="P148" s="130" t="s">
        <v>175</v>
      </c>
      <c r="Q148" s="130" t="s">
        <v>377</v>
      </c>
      <c r="R148" s="131">
        <v>10.4</v>
      </c>
      <c r="S148" s="131" t="s">
        <v>175</v>
      </c>
      <c r="T148" s="130">
        <v>1</v>
      </c>
      <c r="U148" s="132" t="s">
        <v>173</v>
      </c>
      <c r="V148" s="133">
        <v>0.1</v>
      </c>
      <c r="W148" s="132" t="s">
        <v>174</v>
      </c>
      <c r="X148" s="133">
        <v>0.1</v>
      </c>
      <c r="Y148" s="133">
        <v>0.05</v>
      </c>
      <c r="Z148" s="133">
        <v>0.01</v>
      </c>
      <c r="AA148" s="133">
        <v>0.15</v>
      </c>
      <c r="AB148" s="133">
        <f>0.02*R148</f>
        <v>0.20800000000000002</v>
      </c>
      <c r="AC148" s="134">
        <v>0</v>
      </c>
      <c r="AD148" s="134">
        <v>0</v>
      </c>
      <c r="AE148" s="134">
        <v>0.5</v>
      </c>
      <c r="AF148" s="134">
        <v>0</v>
      </c>
      <c r="AG148" s="134">
        <v>0.1</v>
      </c>
      <c r="AH148" s="134">
        <v>0</v>
      </c>
      <c r="AI148" s="134">
        <v>0</v>
      </c>
      <c r="AJ148" s="134">
        <v>0</v>
      </c>
      <c r="AK148" s="134" t="s">
        <v>175</v>
      </c>
      <c r="AL148" s="122" t="s">
        <v>175</v>
      </c>
      <c r="AM148" s="122">
        <v>-12.2</v>
      </c>
      <c r="AN148" s="134" t="s">
        <v>176</v>
      </c>
      <c r="AO148" s="122" t="s">
        <v>177</v>
      </c>
      <c r="AP148" s="135">
        <f t="shared" si="27"/>
        <v>0.57303054019833877</v>
      </c>
      <c r="AQ148" s="135">
        <f t="shared" si="24"/>
        <v>0.57303054019833877</v>
      </c>
      <c r="AR148" s="117">
        <v>-3.228384632</v>
      </c>
      <c r="AS148" s="117">
        <v>0</v>
      </c>
      <c r="AT148" s="117">
        <v>0</v>
      </c>
      <c r="AU148" s="117">
        <v>-1.342794877</v>
      </c>
      <c r="AV148" s="117">
        <v>-0.72139743899999997</v>
      </c>
      <c r="AW148" s="117">
        <v>-3.2150640000000001E-2</v>
      </c>
      <c r="AX148" s="117">
        <v>0.69279487699999998</v>
      </c>
      <c r="AY148" s="117">
        <v>1.2427948769999999</v>
      </c>
      <c r="AZ148" s="117">
        <v>0</v>
      </c>
      <c r="BA148" s="117">
        <v>0</v>
      </c>
      <c r="BB148" s="117">
        <v>2.3427948770000002</v>
      </c>
      <c r="BC148" s="136" t="str">
        <f t="shared" si="28"/>
        <v>-1</v>
      </c>
      <c r="BD148" s="136" t="s">
        <v>178</v>
      </c>
      <c r="BE148" s="136" t="s">
        <v>518</v>
      </c>
      <c r="BF148" s="136" t="s">
        <v>709</v>
      </c>
      <c r="BG148" s="120" t="s">
        <v>678</v>
      </c>
      <c r="BH148" s="136" t="str">
        <f t="shared" si="105"/>
        <v>&lt;MTL</v>
      </c>
      <c r="BI148" s="136">
        <f t="shared" si="106"/>
        <v>-3.2150640000000001E-2</v>
      </c>
      <c r="BJ148" s="136" t="str">
        <f t="shared" si="21"/>
        <v>Nil</v>
      </c>
      <c r="BK148" s="136">
        <f t="shared" si="22"/>
        <v>0.05</v>
      </c>
      <c r="BL148" s="136" t="s">
        <v>736</v>
      </c>
      <c r="BM148" s="136" t="s">
        <v>175</v>
      </c>
      <c r="BN148" s="136" t="s">
        <v>175</v>
      </c>
      <c r="BO148" s="136" t="s">
        <v>736</v>
      </c>
      <c r="BP148" s="137" t="s">
        <v>175</v>
      </c>
      <c r="BQ148" s="137" t="s">
        <v>175</v>
      </c>
      <c r="BR148" s="137" t="s">
        <v>175</v>
      </c>
      <c r="BS148" s="137" t="s">
        <v>175</v>
      </c>
      <c r="BT148" s="138">
        <f t="shared" si="29"/>
        <v>-12.16784936</v>
      </c>
      <c r="BU148" s="138">
        <f t="shared" si="30"/>
        <v>0.57520778854254051</v>
      </c>
      <c r="BV148" s="138">
        <f t="shared" si="31"/>
        <v>0.57520778854254051</v>
      </c>
      <c r="BW148" s="53" t="s">
        <v>175</v>
      </c>
      <c r="BX148" s="53" t="s">
        <v>175</v>
      </c>
      <c r="BY148" s="53" t="s">
        <v>175</v>
      </c>
      <c r="BZ148" s="53" t="s">
        <v>175</v>
      </c>
      <c r="CA148" s="147">
        <v>2</v>
      </c>
      <c r="CB148" s="54">
        <v>0</v>
      </c>
    </row>
    <row r="149" spans="1:80">
      <c r="A149" s="123" t="s">
        <v>543</v>
      </c>
      <c r="B149" s="124" t="s">
        <v>847</v>
      </c>
      <c r="C149" s="148" t="s">
        <v>674</v>
      </c>
      <c r="D149" s="126" t="s">
        <v>742</v>
      </c>
      <c r="E149" s="127">
        <v>23.201223555945901</v>
      </c>
      <c r="F149" s="127">
        <v>113.850451345851</v>
      </c>
      <c r="G149" s="128" t="s">
        <v>168</v>
      </c>
      <c r="H149" s="145">
        <v>4310.681864716249</v>
      </c>
      <c r="I149" s="145">
        <v>106.52721344332629</v>
      </c>
      <c r="J149" s="129">
        <v>4256</v>
      </c>
      <c r="K149" s="129">
        <v>370</v>
      </c>
      <c r="L149" s="129">
        <v>378</v>
      </c>
      <c r="M149" s="130" t="s">
        <v>535</v>
      </c>
      <c r="N149" s="130" t="s">
        <v>339</v>
      </c>
      <c r="O149" s="130" t="s">
        <v>175</v>
      </c>
      <c r="P149" s="130" t="s">
        <v>175</v>
      </c>
      <c r="Q149" s="130" t="s">
        <v>172</v>
      </c>
      <c r="R149" s="131" t="s">
        <v>175</v>
      </c>
      <c r="S149" s="131" t="s">
        <v>175</v>
      </c>
      <c r="T149" s="130">
        <v>1</v>
      </c>
      <c r="U149" s="132" t="s">
        <v>192</v>
      </c>
      <c r="V149" s="133">
        <v>0.1</v>
      </c>
      <c r="W149" s="132" t="s">
        <v>174</v>
      </c>
      <c r="X149" s="133">
        <v>0.1</v>
      </c>
      <c r="Y149" s="133">
        <v>0.05</v>
      </c>
      <c r="Z149" s="133">
        <v>0.01</v>
      </c>
      <c r="AA149" s="133">
        <v>0.05</v>
      </c>
      <c r="AB149" s="133">
        <v>0</v>
      </c>
      <c r="AC149" s="134">
        <v>0</v>
      </c>
      <c r="AD149" s="134">
        <v>0</v>
      </c>
      <c r="AE149" s="134">
        <v>0.5</v>
      </c>
      <c r="AF149" s="134">
        <v>0</v>
      </c>
      <c r="AG149" s="134">
        <v>0.1</v>
      </c>
      <c r="AH149" s="134">
        <v>0</v>
      </c>
      <c r="AI149" s="134">
        <v>0</v>
      </c>
      <c r="AJ149" s="134">
        <v>0</v>
      </c>
      <c r="AK149" s="134" t="s">
        <v>175</v>
      </c>
      <c r="AL149" s="122" t="s">
        <v>175</v>
      </c>
      <c r="AM149" s="122">
        <v>1.1000000000000001</v>
      </c>
      <c r="AN149" s="134" t="s">
        <v>176</v>
      </c>
      <c r="AO149" s="122" t="s">
        <v>177</v>
      </c>
      <c r="AP149" s="135">
        <f t="shared" si="27"/>
        <v>0.5148786264742401</v>
      </c>
      <c r="AQ149" s="135">
        <f t="shared" si="24"/>
        <v>0.5148786264742401</v>
      </c>
      <c r="AR149" s="117">
        <v>-2.4181666869999998</v>
      </c>
      <c r="AS149" s="117">
        <v>0</v>
      </c>
      <c r="AT149" s="117">
        <v>0</v>
      </c>
      <c r="AU149" s="117">
        <v>-1.273277778</v>
      </c>
      <c r="AV149" s="117">
        <v>-0.70344444299999997</v>
      </c>
      <c r="AW149" s="117">
        <v>-5.3444443000000001E-2</v>
      </c>
      <c r="AX149" s="117">
        <v>0.64311111399999998</v>
      </c>
      <c r="AY149" s="117">
        <v>1.119833335</v>
      </c>
      <c r="AZ149" s="117">
        <v>0</v>
      </c>
      <c r="BA149" s="117">
        <v>0</v>
      </c>
      <c r="BB149" s="117">
        <v>1.68785706</v>
      </c>
      <c r="BC149" s="136" t="str">
        <f t="shared" si="28"/>
        <v xml:space="preserve">1 </v>
      </c>
      <c r="BD149" s="136" t="s">
        <v>199</v>
      </c>
      <c r="BE149" s="136" t="s">
        <v>667</v>
      </c>
      <c r="BF149" s="136" t="s">
        <v>710</v>
      </c>
      <c r="BG149" s="120" t="s">
        <v>664</v>
      </c>
      <c r="BH149" s="136" t="str">
        <f t="shared" si="105"/>
        <v>&gt;MHHW</v>
      </c>
      <c r="BI149" s="136">
        <f t="shared" si="106"/>
        <v>1.119833335</v>
      </c>
      <c r="BJ149" s="136" t="str">
        <f t="shared" si="21"/>
        <v>Nil</v>
      </c>
      <c r="BK149" s="136">
        <f t="shared" si="22"/>
        <v>0.44</v>
      </c>
      <c r="BL149" s="136" t="s">
        <v>736</v>
      </c>
      <c r="BM149" s="136" t="s">
        <v>175</v>
      </c>
      <c r="BN149" s="136" t="s">
        <v>175</v>
      </c>
      <c r="BO149" s="136" t="s">
        <v>736</v>
      </c>
      <c r="BP149" s="137" t="s">
        <v>175</v>
      </c>
      <c r="BQ149" s="137" t="s">
        <v>175</v>
      </c>
      <c r="BR149" s="137" t="s">
        <v>175</v>
      </c>
      <c r="BS149" s="137" t="s">
        <v>175</v>
      </c>
      <c r="BT149" s="138">
        <f t="shared" si="29"/>
        <v>-1.9833334999999952E-2</v>
      </c>
      <c r="BU149" s="138">
        <f t="shared" si="30"/>
        <v>0.67727394752788184</v>
      </c>
      <c r="BV149" s="138">
        <f t="shared" si="31"/>
        <v>0.67727394752788184</v>
      </c>
      <c r="BW149" s="53" t="s">
        <v>175</v>
      </c>
      <c r="BX149" s="53" t="s">
        <v>175</v>
      </c>
      <c r="BY149" s="53" t="s">
        <v>175</v>
      </c>
      <c r="BZ149" s="53" t="s">
        <v>175</v>
      </c>
      <c r="CA149" s="147">
        <v>2</v>
      </c>
      <c r="CB149" s="54">
        <v>0</v>
      </c>
    </row>
    <row r="150" spans="1:80">
      <c r="A150" s="123" t="s">
        <v>386</v>
      </c>
      <c r="B150" s="124" t="s">
        <v>963</v>
      </c>
      <c r="C150" s="148" t="s">
        <v>674</v>
      </c>
      <c r="D150" s="125" t="s">
        <v>742</v>
      </c>
      <c r="E150" s="127">
        <v>22.766666666666701</v>
      </c>
      <c r="F150" s="127">
        <v>113.816666666667</v>
      </c>
      <c r="G150" s="128" t="s">
        <v>168</v>
      </c>
      <c r="H150" s="129">
        <v>1488.8105623511894</v>
      </c>
      <c r="I150" s="129">
        <v>128.31418117460044</v>
      </c>
      <c r="J150" s="129">
        <v>1393</v>
      </c>
      <c r="K150" s="129">
        <v>304</v>
      </c>
      <c r="L150" s="129">
        <v>266</v>
      </c>
      <c r="M150" s="130" t="s">
        <v>387</v>
      </c>
      <c r="N150" s="149" t="s">
        <v>735</v>
      </c>
      <c r="O150" s="130" t="s">
        <v>388</v>
      </c>
      <c r="P150" s="130" t="s">
        <v>389</v>
      </c>
      <c r="Q150" s="130" t="s">
        <v>377</v>
      </c>
      <c r="R150" s="131">
        <v>2.4</v>
      </c>
      <c r="S150" s="131">
        <v>7.5</v>
      </c>
      <c r="T150" s="130">
        <v>1</v>
      </c>
      <c r="U150" s="132" t="s">
        <v>173</v>
      </c>
      <c r="V150" s="133">
        <v>0.1</v>
      </c>
      <c r="W150" s="132" t="s">
        <v>174</v>
      </c>
      <c r="X150" s="133">
        <v>0.1</v>
      </c>
      <c r="Y150" s="133">
        <v>0.05</v>
      </c>
      <c r="Z150" s="133">
        <v>0.01</v>
      </c>
      <c r="AA150" s="133">
        <v>0.15</v>
      </c>
      <c r="AB150" s="133">
        <f>0.02*R150</f>
        <v>4.8000000000000001E-2</v>
      </c>
      <c r="AC150" s="134">
        <v>0</v>
      </c>
      <c r="AD150" s="134">
        <v>0</v>
      </c>
      <c r="AE150" s="134">
        <v>0.5</v>
      </c>
      <c r="AF150" s="134">
        <v>0</v>
      </c>
      <c r="AG150" s="134">
        <v>0.1</v>
      </c>
      <c r="AH150" s="134">
        <v>0</v>
      </c>
      <c r="AI150" s="134">
        <v>0</v>
      </c>
      <c r="AJ150" s="134">
        <v>0</v>
      </c>
      <c r="AK150" s="134" t="s">
        <v>175</v>
      </c>
      <c r="AL150" s="122" t="s">
        <v>175</v>
      </c>
      <c r="AM150" s="122">
        <v>-1.1000000000000001</v>
      </c>
      <c r="AN150" s="134" t="s">
        <v>176</v>
      </c>
      <c r="AO150" s="122" t="s">
        <v>177</v>
      </c>
      <c r="AP150" s="135">
        <f t="shared" si="27"/>
        <v>0.53610073680232895</v>
      </c>
      <c r="AQ150" s="135">
        <f t="shared" si="24"/>
        <v>0.53610073680232895</v>
      </c>
      <c r="AR150" s="117">
        <v>-3.225159407</v>
      </c>
      <c r="AS150" s="117">
        <v>0</v>
      </c>
      <c r="AT150" s="117">
        <v>0</v>
      </c>
      <c r="AU150" s="117">
        <v>-1.3417198020000001</v>
      </c>
      <c r="AV150" s="117">
        <v>-0.72085990099999997</v>
      </c>
      <c r="AW150" s="117">
        <v>-3.2285025000000002E-2</v>
      </c>
      <c r="AX150" s="117">
        <v>0.69171980200000005</v>
      </c>
      <c r="AY150" s="117">
        <v>1.241719802</v>
      </c>
      <c r="AZ150" s="117">
        <v>0</v>
      </c>
      <c r="BA150" s="117">
        <v>0</v>
      </c>
      <c r="BB150" s="117">
        <v>2.3366533289999998</v>
      </c>
      <c r="BC150" s="136" t="str">
        <f t="shared" si="28"/>
        <v>0</v>
      </c>
      <c r="BD150" s="136" t="s">
        <v>178</v>
      </c>
      <c r="BE150" s="136" t="s">
        <v>689</v>
      </c>
      <c r="BF150" s="136" t="s">
        <v>292</v>
      </c>
      <c r="BG150" s="120" t="s">
        <v>657</v>
      </c>
      <c r="BH150" s="136" t="str">
        <f t="shared" si="105"/>
        <v>HAT-LAT</v>
      </c>
      <c r="BI150" s="136">
        <f t="shared" si="106"/>
        <v>-0.44425303900000013</v>
      </c>
      <c r="BJ150" s="136">
        <f t="shared" si="21"/>
        <v>2.7809063680000001</v>
      </c>
      <c r="BK150" s="136">
        <f t="shared" si="22"/>
        <v>0.27</v>
      </c>
      <c r="BL150" s="136">
        <v>0.32869005578140165</v>
      </c>
      <c r="BM150" s="136" t="s">
        <v>175</v>
      </c>
      <c r="BN150" s="136" t="s">
        <v>175</v>
      </c>
      <c r="BO150" s="136">
        <v>1.0134222806428106</v>
      </c>
      <c r="BP150" s="137" t="s">
        <v>175</v>
      </c>
      <c r="BQ150" s="137" t="s">
        <v>175</v>
      </c>
      <c r="BR150" s="137" t="s">
        <v>175</v>
      </c>
      <c r="BS150" s="137" t="s">
        <v>175</v>
      </c>
      <c r="BT150" s="138">
        <f t="shared" si="29"/>
        <v>-0.65574696099999996</v>
      </c>
      <c r="BU150" s="138">
        <f>SQRT(SUMSQ(AP150,BJ150,IF(OR(BK150="nd",BK150="nd"),0,BK150),IF(OR(BL150="nd",BL150="nd"),0,BL150),IF(OR(BO150="nd",BO150="nd"),0,BO150)))</f>
        <v>3.0378950112299488</v>
      </c>
      <c r="BV150" s="138">
        <f t="shared" si="31"/>
        <v>3.0378950112299488</v>
      </c>
      <c r="BW150" s="53" t="s">
        <v>175</v>
      </c>
      <c r="BX150" s="53" t="s">
        <v>175</v>
      </c>
      <c r="BY150" s="53" t="s">
        <v>175</v>
      </c>
      <c r="BZ150" s="53" t="s">
        <v>175</v>
      </c>
      <c r="CA150" s="147">
        <v>2</v>
      </c>
      <c r="CB150" s="54">
        <v>0</v>
      </c>
    </row>
    <row r="151" spans="1:80" ht="17" customHeight="1">
      <c r="A151" s="123" t="s">
        <v>371</v>
      </c>
      <c r="B151" s="124" t="s">
        <v>964</v>
      </c>
      <c r="C151" s="148" t="s">
        <v>674</v>
      </c>
      <c r="D151" s="125" t="s">
        <v>742</v>
      </c>
      <c r="E151" s="127">
        <v>22.6666666666667</v>
      </c>
      <c r="F151" s="127">
        <v>113.8</v>
      </c>
      <c r="G151" s="128" t="s">
        <v>168</v>
      </c>
      <c r="H151" s="129">
        <v>1158.8105623511899</v>
      </c>
      <c r="I151" s="129">
        <v>134.77584757851901</v>
      </c>
      <c r="J151" s="129">
        <v>1075</v>
      </c>
      <c r="K151" s="129">
        <v>227</v>
      </c>
      <c r="L151" s="129">
        <v>284</v>
      </c>
      <c r="M151" s="130" t="s">
        <v>363</v>
      </c>
      <c r="N151" s="149" t="s">
        <v>735</v>
      </c>
      <c r="O151" s="130" t="s">
        <v>300</v>
      </c>
      <c r="P151" s="130" t="s">
        <v>364</v>
      </c>
      <c r="Q151" s="130" t="s">
        <v>172</v>
      </c>
      <c r="R151" s="131">
        <v>1.55</v>
      </c>
      <c r="S151" s="131" t="s">
        <v>175</v>
      </c>
      <c r="T151" s="130">
        <v>1</v>
      </c>
      <c r="U151" s="160" t="s">
        <v>365</v>
      </c>
      <c r="V151" s="133">
        <v>0.1</v>
      </c>
      <c r="W151" s="132" t="s">
        <v>174</v>
      </c>
      <c r="X151" s="133">
        <v>0.1</v>
      </c>
      <c r="Y151" s="133">
        <v>0.05</v>
      </c>
      <c r="Z151" s="133">
        <v>0.01</v>
      </c>
      <c r="AA151" s="133">
        <v>0.15</v>
      </c>
      <c r="AB151" s="133">
        <f>0.02*R151</f>
        <v>3.1000000000000003E-2</v>
      </c>
      <c r="AC151" s="134">
        <v>0</v>
      </c>
      <c r="AD151" s="134">
        <v>0</v>
      </c>
      <c r="AE151" s="134">
        <v>0.5</v>
      </c>
      <c r="AF151" s="134">
        <v>0</v>
      </c>
      <c r="AG151" s="134">
        <v>0.1</v>
      </c>
      <c r="AH151" s="134">
        <v>0</v>
      </c>
      <c r="AI151" s="134">
        <v>0</v>
      </c>
      <c r="AJ151" s="134">
        <v>0</v>
      </c>
      <c r="AK151" s="134" t="s">
        <v>175</v>
      </c>
      <c r="AL151" s="122" t="s">
        <v>175</v>
      </c>
      <c r="AM151" s="122">
        <v>-3.6</v>
      </c>
      <c r="AN151" s="134" t="s">
        <v>176</v>
      </c>
      <c r="AO151" s="122" t="s">
        <v>177</v>
      </c>
      <c r="AP151" s="135">
        <f t="shared" si="27"/>
        <v>0.53484670701052284</v>
      </c>
      <c r="AQ151" s="135">
        <f t="shared" si="24"/>
        <v>0.53484670701052284</v>
      </c>
      <c r="AR151" s="117">
        <v>-2.651417768</v>
      </c>
      <c r="AS151" s="117">
        <v>0</v>
      </c>
      <c r="AT151" s="117">
        <v>0</v>
      </c>
      <c r="AU151" s="117">
        <v>-1.267958412</v>
      </c>
      <c r="AV151" s="117">
        <v>-0.68397920599999995</v>
      </c>
      <c r="AW151" s="117">
        <v>-3.7499999999999999E-2</v>
      </c>
      <c r="AX151" s="117">
        <v>0.63397920600000002</v>
      </c>
      <c r="AY151" s="117">
        <v>1.1679584119999999</v>
      </c>
      <c r="AZ151" s="117">
        <v>0</v>
      </c>
      <c r="BA151" s="117">
        <v>0</v>
      </c>
      <c r="BB151" s="117">
        <v>2.3501036420000001</v>
      </c>
      <c r="BC151" s="136" t="str">
        <f t="shared" si="28"/>
        <v>-1</v>
      </c>
      <c r="BD151" s="136" t="s">
        <v>178</v>
      </c>
      <c r="BE151" s="136" t="s">
        <v>518</v>
      </c>
      <c r="BF151" s="152" t="s">
        <v>226</v>
      </c>
      <c r="BG151" s="120" t="s">
        <v>678</v>
      </c>
      <c r="BH151" s="136" t="str">
        <f t="shared" si="105"/>
        <v>&lt;MTL</v>
      </c>
      <c r="BI151" s="136">
        <f t="shared" si="106"/>
        <v>-3.7499999999999999E-2</v>
      </c>
      <c r="BJ151" s="136" t="str">
        <f t="shared" si="21"/>
        <v>Nil</v>
      </c>
      <c r="BK151" s="136">
        <f t="shared" si="22"/>
        <v>0.05</v>
      </c>
      <c r="BL151" s="136" t="s">
        <v>736</v>
      </c>
      <c r="BM151" s="136" t="s">
        <v>175</v>
      </c>
      <c r="BN151" s="136" t="s">
        <v>175</v>
      </c>
      <c r="BO151" s="136" t="s">
        <v>736</v>
      </c>
      <c r="BP151" s="137" t="s">
        <v>175</v>
      </c>
      <c r="BQ151" s="137" t="s">
        <v>175</v>
      </c>
      <c r="BR151" s="137" t="s">
        <v>175</v>
      </c>
      <c r="BS151" s="137" t="s">
        <v>175</v>
      </c>
      <c r="BT151" s="138">
        <f t="shared" si="29"/>
        <v>-3.5625</v>
      </c>
      <c r="BU151" s="138">
        <f t="shared" si="30"/>
        <v>0.53717874120259079</v>
      </c>
      <c r="BV151" s="138">
        <f t="shared" si="31"/>
        <v>0.53717874120259079</v>
      </c>
      <c r="BW151" s="53" t="s">
        <v>175</v>
      </c>
      <c r="BX151" s="53" t="s">
        <v>175</v>
      </c>
      <c r="BY151" s="53" t="s">
        <v>175</v>
      </c>
      <c r="BZ151" s="53" t="s">
        <v>175</v>
      </c>
      <c r="CA151" s="147">
        <v>1</v>
      </c>
      <c r="CB151" s="54">
        <v>0</v>
      </c>
    </row>
    <row r="152" spans="1:80">
      <c r="A152" s="123" t="s">
        <v>362</v>
      </c>
      <c r="B152" s="124" t="s">
        <v>964</v>
      </c>
      <c r="C152" s="148" t="s">
        <v>674</v>
      </c>
      <c r="D152" s="125" t="s">
        <v>742</v>
      </c>
      <c r="E152" s="127">
        <v>22.6666666666667</v>
      </c>
      <c r="F152" s="127">
        <v>113.8</v>
      </c>
      <c r="G152" s="128" t="s">
        <v>168</v>
      </c>
      <c r="H152" s="129">
        <v>668.81056235118911</v>
      </c>
      <c r="I152" s="129">
        <v>122.32959204750168</v>
      </c>
      <c r="J152" s="129">
        <v>632</v>
      </c>
      <c r="K152" s="129">
        <v>270</v>
      </c>
      <c r="L152" s="129">
        <v>154</v>
      </c>
      <c r="M152" s="130" t="s">
        <v>363</v>
      </c>
      <c r="N152" s="149" t="s">
        <v>735</v>
      </c>
      <c r="O152" s="130" t="s">
        <v>300</v>
      </c>
      <c r="P152" s="130" t="s">
        <v>364</v>
      </c>
      <c r="Q152" s="130" t="s">
        <v>172</v>
      </c>
      <c r="R152" s="131">
        <v>0.8</v>
      </c>
      <c r="S152" s="131" t="s">
        <v>175</v>
      </c>
      <c r="T152" s="130">
        <v>1</v>
      </c>
      <c r="U152" s="160" t="s">
        <v>365</v>
      </c>
      <c r="V152" s="133">
        <v>0.1</v>
      </c>
      <c r="W152" s="132" t="s">
        <v>174</v>
      </c>
      <c r="X152" s="133">
        <v>0.1</v>
      </c>
      <c r="Y152" s="133">
        <v>0.05</v>
      </c>
      <c r="Z152" s="133">
        <v>0.01</v>
      </c>
      <c r="AA152" s="133">
        <v>0.15</v>
      </c>
      <c r="AB152" s="133">
        <f>0.02*R152</f>
        <v>1.6E-2</v>
      </c>
      <c r="AC152" s="134">
        <v>0</v>
      </c>
      <c r="AD152" s="134">
        <v>0</v>
      </c>
      <c r="AE152" s="134">
        <v>0.5</v>
      </c>
      <c r="AF152" s="134">
        <v>0</v>
      </c>
      <c r="AG152" s="134">
        <v>0.1</v>
      </c>
      <c r="AH152" s="134">
        <v>0</v>
      </c>
      <c r="AI152" s="134">
        <v>0</v>
      </c>
      <c r="AJ152" s="134">
        <v>0</v>
      </c>
      <c r="AK152" s="134" t="s">
        <v>175</v>
      </c>
      <c r="AL152" s="122" t="s">
        <v>175</v>
      </c>
      <c r="AM152" s="122">
        <v>-2.8</v>
      </c>
      <c r="AN152" s="134" t="s">
        <v>176</v>
      </c>
      <c r="AO152" s="122" t="s">
        <v>177</v>
      </c>
      <c r="AP152" s="135">
        <f t="shared" si="27"/>
        <v>0.53418723309341642</v>
      </c>
      <c r="AQ152" s="135">
        <f t="shared" si="24"/>
        <v>0.53418723309341642</v>
      </c>
      <c r="AR152" s="117">
        <v>-2.651417768</v>
      </c>
      <c r="AS152" s="117">
        <v>0</v>
      </c>
      <c r="AT152" s="117">
        <v>0</v>
      </c>
      <c r="AU152" s="117">
        <v>-1.267958412</v>
      </c>
      <c r="AV152" s="117">
        <v>-0.68397920599999995</v>
      </c>
      <c r="AW152" s="117">
        <v>-3.7499999999999999E-2</v>
      </c>
      <c r="AX152" s="117">
        <v>0.63397920600000002</v>
      </c>
      <c r="AY152" s="117">
        <v>1.1679584119999999</v>
      </c>
      <c r="AZ152" s="117">
        <v>0</v>
      </c>
      <c r="BA152" s="117">
        <v>0</v>
      </c>
      <c r="BB152" s="117">
        <v>2.3384601620000001</v>
      </c>
      <c r="BC152" s="136" t="str">
        <f t="shared" si="28"/>
        <v>-1</v>
      </c>
      <c r="BD152" s="136" t="s">
        <v>178</v>
      </c>
      <c r="BE152" s="136" t="s">
        <v>518</v>
      </c>
      <c r="BF152" s="136" t="s">
        <v>226</v>
      </c>
      <c r="BG152" s="120" t="s">
        <v>678</v>
      </c>
      <c r="BH152" s="136" t="str">
        <f t="shared" si="105"/>
        <v>&lt;MTL</v>
      </c>
      <c r="BI152" s="136">
        <f t="shared" si="106"/>
        <v>-3.7499999999999999E-2</v>
      </c>
      <c r="BJ152" s="136" t="str">
        <f t="shared" si="21"/>
        <v>Nil</v>
      </c>
      <c r="BK152" s="136">
        <f t="shared" si="22"/>
        <v>0.05</v>
      </c>
      <c r="BL152" s="136" t="s">
        <v>736</v>
      </c>
      <c r="BM152" s="136" t="s">
        <v>175</v>
      </c>
      <c r="BN152" s="136" t="s">
        <v>175</v>
      </c>
      <c r="BO152" s="136" t="s">
        <v>736</v>
      </c>
      <c r="BP152" s="137" t="s">
        <v>175</v>
      </c>
      <c r="BQ152" s="137" t="s">
        <v>175</v>
      </c>
      <c r="BR152" s="137" t="s">
        <v>175</v>
      </c>
      <c r="BS152" s="137" t="s">
        <v>175</v>
      </c>
      <c r="BT152" s="138">
        <f t="shared" si="29"/>
        <v>-2.7624999999999997</v>
      </c>
      <c r="BU152" s="138">
        <f t="shared" si="30"/>
        <v>0.53652213374659574</v>
      </c>
      <c r="BV152" s="138">
        <f t="shared" si="31"/>
        <v>0.53652213374659574</v>
      </c>
      <c r="BW152" s="53" t="s">
        <v>175</v>
      </c>
      <c r="BX152" s="53" t="s">
        <v>175</v>
      </c>
      <c r="BY152" s="53" t="s">
        <v>175</v>
      </c>
      <c r="BZ152" s="53" t="s">
        <v>175</v>
      </c>
      <c r="CA152" s="147">
        <v>1</v>
      </c>
      <c r="CB152" s="54">
        <v>0</v>
      </c>
    </row>
    <row r="153" spans="1:80">
      <c r="A153" s="123" t="s">
        <v>757</v>
      </c>
      <c r="B153" s="124" t="s">
        <v>731</v>
      </c>
      <c r="C153" s="125" t="s">
        <v>674</v>
      </c>
      <c r="D153" s="126" t="s">
        <v>742</v>
      </c>
      <c r="E153" s="127">
        <v>22.754470000000001</v>
      </c>
      <c r="F153" s="127">
        <v>113.79058999999999</v>
      </c>
      <c r="G153" s="128" t="s">
        <v>168</v>
      </c>
      <c r="H153" s="145">
        <v>6085.3589885814699</v>
      </c>
      <c r="I153" s="145">
        <v>190.64615461330447</v>
      </c>
      <c r="J153" s="129">
        <v>6950</v>
      </c>
      <c r="K153" s="129">
        <v>468</v>
      </c>
      <c r="L153" s="129">
        <v>453</v>
      </c>
      <c r="M153" s="146" t="s">
        <v>722</v>
      </c>
      <c r="N153" s="146" t="s">
        <v>723</v>
      </c>
      <c r="O153" s="130" t="s">
        <v>175</v>
      </c>
      <c r="P153" s="130" t="s">
        <v>175</v>
      </c>
      <c r="Q153" s="130" t="s">
        <v>377</v>
      </c>
      <c r="R153" s="131">
        <v>12.2</v>
      </c>
      <c r="S153" s="131" t="s">
        <v>175</v>
      </c>
      <c r="T153" s="130">
        <v>1</v>
      </c>
      <c r="U153" s="132" t="s">
        <v>173</v>
      </c>
      <c r="V153" s="133">
        <v>0.1</v>
      </c>
      <c r="W153" s="132" t="s">
        <v>174</v>
      </c>
      <c r="X153" s="133">
        <v>0.1</v>
      </c>
      <c r="Y153" s="133">
        <v>0.05</v>
      </c>
      <c r="Z153" s="133">
        <v>0.01</v>
      </c>
      <c r="AA153" s="133">
        <v>0.15</v>
      </c>
      <c r="AB153" s="133">
        <f>0.02*R153</f>
        <v>0.24399999999999999</v>
      </c>
      <c r="AC153" s="134">
        <v>0</v>
      </c>
      <c r="AD153" s="134">
        <v>0</v>
      </c>
      <c r="AE153" s="134">
        <v>0.5</v>
      </c>
      <c r="AF153" s="134">
        <v>0</v>
      </c>
      <c r="AG153" s="134">
        <v>0.1</v>
      </c>
      <c r="AH153" s="134">
        <v>0</v>
      </c>
      <c r="AI153" s="134">
        <v>0</v>
      </c>
      <c r="AJ153" s="134">
        <v>0</v>
      </c>
      <c r="AK153" s="134" t="s">
        <v>175</v>
      </c>
      <c r="AL153" s="122" t="s">
        <v>175</v>
      </c>
      <c r="AM153" s="122">
        <v>-6.9</v>
      </c>
      <c r="AN153" s="134" t="s">
        <v>176</v>
      </c>
      <c r="AO153" s="122" t="s">
        <v>177</v>
      </c>
      <c r="AP153" s="135">
        <f t="shared" si="27"/>
        <v>0.58705706707269945</v>
      </c>
      <c r="AQ153" s="135">
        <f t="shared" si="24"/>
        <v>0.58705706707269945</v>
      </c>
      <c r="AR153" s="117">
        <v>-3.2144365530000001</v>
      </c>
      <c r="AS153" s="117">
        <v>0</v>
      </c>
      <c r="AT153" s="117">
        <v>0</v>
      </c>
      <c r="AU153" s="117">
        <v>-1.3381455179999999</v>
      </c>
      <c r="AV153" s="117">
        <v>-0.71907275900000001</v>
      </c>
      <c r="AW153" s="117">
        <v>-3.273181E-2</v>
      </c>
      <c r="AX153" s="117">
        <v>0.68814551800000001</v>
      </c>
      <c r="AY153" s="117">
        <v>1.2381455180000001</v>
      </c>
      <c r="AZ153" s="117">
        <v>0</v>
      </c>
      <c r="BA153" s="117">
        <v>0</v>
      </c>
      <c r="BB153" s="117">
        <v>2.3381455180000001</v>
      </c>
      <c r="BC153" s="136" t="str">
        <f t="shared" si="28"/>
        <v>0</v>
      </c>
      <c r="BD153" s="136" t="s">
        <v>178</v>
      </c>
      <c r="BE153" s="136" t="s">
        <v>692</v>
      </c>
      <c r="BF153" s="136" t="s">
        <v>962</v>
      </c>
      <c r="BG153" s="120" t="s">
        <v>663</v>
      </c>
      <c r="BH153" s="136" t="str">
        <f t="shared" si="105"/>
        <v>HAT-MTL</v>
      </c>
      <c r="BI153" s="136">
        <f t="shared" si="106"/>
        <v>1.1527068540000001</v>
      </c>
      <c r="BJ153" s="136">
        <f t="shared" ref="BJ153:BJ205" si="107">IF(BG153="1","Nil",
IF(BG153="2a",(BB153-AR153)/2,
IF(BG153="2b","Nil",
IF(BG153="3a","Nil",
IF(BG153="3b",(AU153 -AR153)/2,
IF(BG153="3c",4,
IF(BG153="3d","Nil",
IF(BG153="3e","Nil",
IF(BG153="4","Nil",
IF(BG153="5","Nil",
IF(BG153="6","Nil",
IF(BG153="7","Nil",
IF(BG153="8",(BB153-AW153)/2,
IF(BG153="9","Nil",
IF(BG153="10a","Nil",
IF(BG153="10b",(AY153-AU153)/2,
IF(BG153="11","Nil",
IF(BG153="12a",(BB153-AR153)/2,
IF(BG153="12b","Nil","")))))))))))))))))))</f>
        <v>1.1854386640000001</v>
      </c>
      <c r="BK153" s="136">
        <f t="shared" ref="BK153:BK205" si="108">IF(BH153="HAT-LAT",0.27,
IF(BH153="HAT-MTL",0.09,
IF(BH153="MHHW-MLLW",0.27,IF(BH153="MLLW-LAT",0.27,
IF(BH153="(MLLW)-(MLLW-8)",0.4,
IF(BH153="&lt;HAT",0.18,
IF(BH153="&gt;MHHW",0.44,
IF(BH153="&gt;MTL",0.05,
IF(BH153="&lt;MTL",0.05,
IF(BH153="&gt;MLLW",0.4,
IF(BH153="&lt;MLLW",0.4,"Nil")))))))))))</f>
        <v>0.09</v>
      </c>
      <c r="BL153" s="136">
        <v>0.18946535882505389</v>
      </c>
      <c r="BM153" s="136" t="s">
        <v>175</v>
      </c>
      <c r="BN153" s="136" t="s">
        <v>175</v>
      </c>
      <c r="BO153" s="136">
        <v>0.91405805859422085</v>
      </c>
      <c r="BP153" s="137" t="s">
        <v>175</v>
      </c>
      <c r="BQ153" s="137" t="s">
        <v>175</v>
      </c>
      <c r="BR153" s="137" t="s">
        <v>175</v>
      </c>
      <c r="BS153" s="137" t="s">
        <v>175</v>
      </c>
      <c r="BT153" s="138">
        <f>AM153-BI153</f>
        <v>-8.0527068540000002</v>
      </c>
      <c r="BU153" s="138">
        <f t="shared" si="30"/>
        <v>1.6215425010716948</v>
      </c>
      <c r="BV153" s="138">
        <f t="shared" si="31"/>
        <v>1.6215425010716948</v>
      </c>
      <c r="BW153" s="53" t="s">
        <v>175</v>
      </c>
      <c r="BX153" s="53" t="s">
        <v>175</v>
      </c>
      <c r="BY153" s="53" t="s">
        <v>175</v>
      </c>
      <c r="BZ153" s="53" t="s">
        <v>175</v>
      </c>
      <c r="CA153" s="147">
        <v>2</v>
      </c>
      <c r="CB153" s="54">
        <v>0</v>
      </c>
    </row>
    <row r="154" spans="1:80">
      <c r="A154" s="123" t="s">
        <v>400</v>
      </c>
      <c r="B154" s="124" t="s">
        <v>963</v>
      </c>
      <c r="C154" s="148" t="s">
        <v>674</v>
      </c>
      <c r="D154" s="125" t="s">
        <v>742</v>
      </c>
      <c r="E154" s="127">
        <v>22.75</v>
      </c>
      <c r="F154" s="161">
        <v>113.783333333333</v>
      </c>
      <c r="G154" s="128" t="s">
        <v>168</v>
      </c>
      <c r="H154" s="145">
        <v>2430.6818647162477</v>
      </c>
      <c r="I154" s="162">
        <v>106.52721344332629</v>
      </c>
      <c r="J154" s="129">
        <v>1914</v>
      </c>
      <c r="K154" s="129">
        <v>364</v>
      </c>
      <c r="L154" s="129">
        <v>324</v>
      </c>
      <c r="M154" s="149" t="s">
        <v>721</v>
      </c>
      <c r="N154" s="130" t="s">
        <v>339</v>
      </c>
      <c r="O154" s="130" t="s">
        <v>175</v>
      </c>
      <c r="P154" s="130" t="s">
        <v>175</v>
      </c>
      <c r="Q154" s="130" t="s">
        <v>377</v>
      </c>
      <c r="R154" s="131" t="s">
        <v>175</v>
      </c>
      <c r="S154" s="131" t="s">
        <v>175</v>
      </c>
      <c r="T154" s="130">
        <v>1</v>
      </c>
      <c r="U154" s="132" t="s">
        <v>173</v>
      </c>
      <c r="V154" s="133">
        <v>0.1</v>
      </c>
      <c r="W154" s="132" t="s">
        <v>174</v>
      </c>
      <c r="X154" s="133">
        <v>0.1</v>
      </c>
      <c r="Y154" s="133">
        <v>0.05</v>
      </c>
      <c r="Z154" s="133">
        <v>0.01</v>
      </c>
      <c r="AA154" s="133">
        <v>0.15</v>
      </c>
      <c r="AB154" s="133">
        <v>0.2</v>
      </c>
      <c r="AC154" s="134">
        <v>0</v>
      </c>
      <c r="AD154" s="134">
        <v>0</v>
      </c>
      <c r="AE154" s="134">
        <v>0.5</v>
      </c>
      <c r="AF154" s="134">
        <v>0</v>
      </c>
      <c r="AG154" s="134">
        <v>0.1</v>
      </c>
      <c r="AH154" s="134">
        <v>0</v>
      </c>
      <c r="AI154" s="134">
        <v>0</v>
      </c>
      <c r="AJ154" s="134">
        <v>0</v>
      </c>
      <c r="AK154" s="134" t="s">
        <v>175</v>
      </c>
      <c r="AL154" s="122" t="s">
        <v>175</v>
      </c>
      <c r="AM154" s="122">
        <v>-4.0999999999999996</v>
      </c>
      <c r="AN154" s="134" t="s">
        <v>176</v>
      </c>
      <c r="AO154" s="122" t="s">
        <v>177</v>
      </c>
      <c r="AP154" s="135">
        <f t="shared" si="27"/>
        <v>0.57017541160593732</v>
      </c>
      <c r="AQ154" s="135">
        <f t="shared" si="24"/>
        <v>0.57017541160593732</v>
      </c>
      <c r="AR154" s="117">
        <v>-3.209959987</v>
      </c>
      <c r="AS154" s="117">
        <v>0</v>
      </c>
      <c r="AT154" s="117">
        <v>0</v>
      </c>
      <c r="AU154" s="117">
        <v>-1.336653329</v>
      </c>
      <c r="AV154" s="117">
        <v>-0.71832666499999998</v>
      </c>
      <c r="AW154" s="117">
        <v>-3.2918334E-2</v>
      </c>
      <c r="AX154" s="117">
        <v>0.68665332899999998</v>
      </c>
      <c r="AY154" s="117">
        <v>1.2366533289999999</v>
      </c>
      <c r="AZ154" s="117">
        <v>0</v>
      </c>
      <c r="BA154" s="117">
        <v>0</v>
      </c>
      <c r="BB154" s="117">
        <v>1.204802342</v>
      </c>
      <c r="BC154" s="136" t="str">
        <f t="shared" si="28"/>
        <v>-1</v>
      </c>
      <c r="BD154" s="136" t="s">
        <v>178</v>
      </c>
      <c r="BE154" s="136" t="s">
        <v>702</v>
      </c>
      <c r="BF154" s="136" t="s">
        <v>513</v>
      </c>
      <c r="BG154" s="120" t="s">
        <v>678</v>
      </c>
      <c r="BH154" s="136" t="str">
        <f t="shared" si="105"/>
        <v>&lt;MTL</v>
      </c>
      <c r="BI154" s="136">
        <f t="shared" si="106"/>
        <v>-3.2918334E-2</v>
      </c>
      <c r="BJ154" s="136" t="str">
        <f t="shared" si="107"/>
        <v>Nil</v>
      </c>
      <c r="BK154" s="136">
        <f t="shared" si="108"/>
        <v>0.05</v>
      </c>
      <c r="BL154" s="136" t="s">
        <v>736</v>
      </c>
      <c r="BM154" s="136" t="s">
        <v>175</v>
      </c>
      <c r="BN154" s="136" t="s">
        <v>175</v>
      </c>
      <c r="BO154" s="136" t="s">
        <v>736</v>
      </c>
      <c r="BP154" s="137" t="s">
        <v>175</v>
      </c>
      <c r="BQ154" s="137" t="s">
        <v>175</v>
      </c>
      <c r="BR154" s="137" t="s">
        <v>175</v>
      </c>
      <c r="BS154" s="137" t="s">
        <v>175</v>
      </c>
      <c r="BT154" s="138">
        <f t="shared" si="29"/>
        <v>-4.067081666</v>
      </c>
      <c r="BU154" s="138">
        <f t="shared" si="30"/>
        <v>0.5723635208501674</v>
      </c>
      <c r="BV154" s="138">
        <f t="shared" si="31"/>
        <v>0.5723635208501674</v>
      </c>
      <c r="BW154" s="53" t="s">
        <v>175</v>
      </c>
      <c r="BX154" s="53" t="s">
        <v>175</v>
      </c>
      <c r="BY154" s="53" t="s">
        <v>175</v>
      </c>
      <c r="BZ154" s="53" t="s">
        <v>175</v>
      </c>
      <c r="CA154" s="147">
        <v>2</v>
      </c>
      <c r="CB154" s="54">
        <v>0</v>
      </c>
    </row>
    <row r="155" spans="1:80">
      <c r="A155" s="123" t="s">
        <v>367</v>
      </c>
      <c r="B155" s="124" t="s">
        <v>963</v>
      </c>
      <c r="C155" s="148" t="s">
        <v>674</v>
      </c>
      <c r="D155" s="125" t="s">
        <v>742</v>
      </c>
      <c r="E155" s="127">
        <v>22.75</v>
      </c>
      <c r="F155" s="127">
        <v>113.783333333333</v>
      </c>
      <c r="G155" s="128" t="s">
        <v>168</v>
      </c>
      <c r="H155" s="129">
        <v>818.81056235118888</v>
      </c>
      <c r="I155" s="129">
        <v>116.89537668577053</v>
      </c>
      <c r="J155" s="129">
        <v>756</v>
      </c>
      <c r="K155" s="129">
        <v>199</v>
      </c>
      <c r="L155" s="129">
        <v>201</v>
      </c>
      <c r="M155" s="130" t="s">
        <v>851</v>
      </c>
      <c r="N155" s="149" t="s">
        <v>735</v>
      </c>
      <c r="O155" s="130" t="s">
        <v>175</v>
      </c>
      <c r="P155" s="130" t="s">
        <v>368</v>
      </c>
      <c r="Q155" s="130" t="s">
        <v>172</v>
      </c>
      <c r="R155" s="131">
        <v>0</v>
      </c>
      <c r="S155" s="131">
        <v>0.5</v>
      </c>
      <c r="T155" s="130">
        <v>1</v>
      </c>
      <c r="U155" s="160" t="s">
        <v>365</v>
      </c>
      <c r="V155" s="133">
        <v>0.1</v>
      </c>
      <c r="W155" s="132" t="s">
        <v>174</v>
      </c>
      <c r="X155" s="133">
        <v>0.1</v>
      </c>
      <c r="Y155" s="133">
        <v>0.05</v>
      </c>
      <c r="Z155" s="133">
        <v>0.01</v>
      </c>
      <c r="AA155" s="133">
        <v>0.15</v>
      </c>
      <c r="AB155" s="133">
        <f t="shared" ref="AB155:AB162" si="109">0.02*R155</f>
        <v>0</v>
      </c>
      <c r="AC155" s="134">
        <v>0</v>
      </c>
      <c r="AD155" s="134">
        <v>0</v>
      </c>
      <c r="AE155" s="134">
        <v>0.5</v>
      </c>
      <c r="AF155" s="134">
        <v>0</v>
      </c>
      <c r="AG155" s="134">
        <v>0.1</v>
      </c>
      <c r="AH155" s="134">
        <v>0</v>
      </c>
      <c r="AI155" s="134">
        <v>0</v>
      </c>
      <c r="AJ155" s="134">
        <v>0</v>
      </c>
      <c r="AK155" s="134" t="s">
        <v>175</v>
      </c>
      <c r="AL155" s="122" t="s">
        <v>175</v>
      </c>
      <c r="AM155" s="122">
        <v>1</v>
      </c>
      <c r="AN155" s="134" t="s">
        <v>176</v>
      </c>
      <c r="AO155" s="122" t="s">
        <v>177</v>
      </c>
      <c r="AP155" s="135">
        <f t="shared" si="27"/>
        <v>0.53394756296849977</v>
      </c>
      <c r="AQ155" s="135">
        <f t="shared" si="24"/>
        <v>0.53394756296849977</v>
      </c>
      <c r="AR155" s="117">
        <v>-3.209959987</v>
      </c>
      <c r="AS155" s="117">
        <v>0</v>
      </c>
      <c r="AT155" s="117">
        <v>0</v>
      </c>
      <c r="AU155" s="117">
        <v>-1.336653329</v>
      </c>
      <c r="AV155" s="117">
        <v>-0.71832666499999998</v>
      </c>
      <c r="AW155" s="117">
        <v>-3.2918334E-2</v>
      </c>
      <c r="AX155" s="117">
        <v>0.68665332899999998</v>
      </c>
      <c r="AY155" s="117">
        <v>1.2366533289999999</v>
      </c>
      <c r="AZ155" s="117">
        <v>0</v>
      </c>
      <c r="BA155" s="117">
        <v>0</v>
      </c>
      <c r="BB155" s="117">
        <v>1.570251775</v>
      </c>
      <c r="BC155" s="136" t="str">
        <f t="shared" si="28"/>
        <v>1</v>
      </c>
      <c r="BD155" s="136" t="s">
        <v>178</v>
      </c>
      <c r="BE155" s="136" t="s">
        <v>758</v>
      </c>
      <c r="BF155" s="136" t="s">
        <v>369</v>
      </c>
      <c r="BG155" s="120" t="s">
        <v>660</v>
      </c>
      <c r="BH155" s="136" t="str">
        <f t="shared" si="105"/>
        <v>&gt;MTL</v>
      </c>
      <c r="BI155" s="136">
        <f t="shared" si="106"/>
        <v>-3.2918334E-2</v>
      </c>
      <c r="BJ155" s="136" t="str">
        <f t="shared" si="107"/>
        <v>Nil</v>
      </c>
      <c r="BK155" s="136">
        <f t="shared" si="108"/>
        <v>0.05</v>
      </c>
      <c r="BL155" s="136" t="s">
        <v>736</v>
      </c>
      <c r="BM155" s="136" t="s">
        <v>175</v>
      </c>
      <c r="BN155" s="136" t="s">
        <v>175</v>
      </c>
      <c r="BO155" s="136" t="s">
        <v>736</v>
      </c>
      <c r="BP155" s="137" t="s">
        <v>175</v>
      </c>
      <c r="BQ155" s="137" t="s">
        <v>175</v>
      </c>
      <c r="BR155" s="137" t="s">
        <v>175</v>
      </c>
      <c r="BS155" s="137" t="s">
        <v>175</v>
      </c>
      <c r="BT155" s="138">
        <f>AM155-BI155</f>
        <v>1.0329183340000001</v>
      </c>
      <c r="BU155" s="138">
        <f>SQRT(SUMSQ(AP155,BJ155,IF(OR(BK155="nd",BK155="nd"),0,BK155),IF(OR(BL155="nd",BL155="nd"),0,BL155),IF(OR(BO155="nd",BO155="nd"),0,BO155)))</f>
        <v>0.53628350711167694</v>
      </c>
      <c r="BV155" s="138">
        <f t="shared" si="31"/>
        <v>0.53628350711167694</v>
      </c>
      <c r="BW155" s="53" t="s">
        <v>175</v>
      </c>
      <c r="BX155" s="53" t="s">
        <v>175</v>
      </c>
      <c r="BY155" s="53" t="s">
        <v>175</v>
      </c>
      <c r="BZ155" s="53" t="s">
        <v>175</v>
      </c>
      <c r="CA155" s="147">
        <v>2</v>
      </c>
      <c r="CB155" s="54">
        <v>0</v>
      </c>
    </row>
    <row r="156" spans="1:80">
      <c r="A156" s="123" t="s">
        <v>441</v>
      </c>
      <c r="B156" s="124" t="s">
        <v>973</v>
      </c>
      <c r="C156" s="148" t="s">
        <v>674</v>
      </c>
      <c r="D156" s="125" t="s">
        <v>742</v>
      </c>
      <c r="E156" s="127">
        <v>22.8</v>
      </c>
      <c r="F156" s="127">
        <v>113.75</v>
      </c>
      <c r="G156" s="128" t="s">
        <v>168</v>
      </c>
      <c r="H156" s="129">
        <v>3598.8105623511897</v>
      </c>
      <c r="I156" s="129">
        <v>148.87756409381564</v>
      </c>
      <c r="J156" s="129">
        <v>3913</v>
      </c>
      <c r="K156" s="129">
        <v>468</v>
      </c>
      <c r="L156" s="129">
        <v>420</v>
      </c>
      <c r="M156" s="130" t="s">
        <v>442</v>
      </c>
      <c r="N156" s="149" t="s">
        <v>735</v>
      </c>
      <c r="O156" s="130" t="s">
        <v>443</v>
      </c>
      <c r="P156" s="130" t="s">
        <v>444</v>
      </c>
      <c r="Q156" s="130"/>
      <c r="R156" s="131">
        <v>1.4</v>
      </c>
      <c r="S156" s="131" t="s">
        <v>175</v>
      </c>
      <c r="T156" s="130">
        <v>1</v>
      </c>
      <c r="U156" s="132" t="s">
        <v>173</v>
      </c>
      <c r="V156" s="133">
        <v>0.1</v>
      </c>
      <c r="W156" s="132" t="s">
        <v>174</v>
      </c>
      <c r="X156" s="133">
        <v>0.1</v>
      </c>
      <c r="Y156" s="133">
        <v>0.05</v>
      </c>
      <c r="Z156" s="133">
        <v>0.01</v>
      </c>
      <c r="AA156" s="133">
        <v>0.15</v>
      </c>
      <c r="AB156" s="133">
        <f t="shared" si="109"/>
        <v>2.7999999999999997E-2</v>
      </c>
      <c r="AC156" s="134">
        <v>0</v>
      </c>
      <c r="AD156" s="134">
        <v>0</v>
      </c>
      <c r="AE156" s="134">
        <v>0.5</v>
      </c>
      <c r="AF156" s="134">
        <v>0</v>
      </c>
      <c r="AG156" s="134">
        <v>0.1</v>
      </c>
      <c r="AH156" s="134">
        <v>0</v>
      </c>
      <c r="AI156" s="134">
        <v>0</v>
      </c>
      <c r="AJ156" s="134">
        <v>0</v>
      </c>
      <c r="AK156" s="134" t="s">
        <v>175</v>
      </c>
      <c r="AL156" s="122" t="s">
        <v>175</v>
      </c>
      <c r="AM156" s="122">
        <v>-4.7</v>
      </c>
      <c r="AN156" s="134" t="s">
        <v>176</v>
      </c>
      <c r="AO156" s="134" t="s">
        <v>177</v>
      </c>
      <c r="AP156" s="135">
        <f t="shared" si="27"/>
        <v>0.53468121343469699</v>
      </c>
      <c r="AQ156" s="135">
        <f t="shared" si="24"/>
        <v>0.53468121343469699</v>
      </c>
      <c r="AR156" s="117">
        <v>-3.2503109270000001</v>
      </c>
      <c r="AS156" s="117">
        <v>0</v>
      </c>
      <c r="AT156" s="117">
        <v>0</v>
      </c>
      <c r="AU156" s="117">
        <v>-1.3501036420000001</v>
      </c>
      <c r="AV156" s="117">
        <v>-0.72505182099999999</v>
      </c>
      <c r="AW156" s="117">
        <v>-3.1237045000000001E-2</v>
      </c>
      <c r="AX156" s="117">
        <v>0.70010364199999997</v>
      </c>
      <c r="AY156" s="117">
        <v>1.250103642</v>
      </c>
      <c r="AZ156" s="117">
        <v>0</v>
      </c>
      <c r="BA156" s="117">
        <v>0</v>
      </c>
      <c r="BB156" s="117">
        <v>1.6746355980000001</v>
      </c>
      <c r="BC156" s="136" t="str">
        <f t="shared" si="28"/>
        <v>-1</v>
      </c>
      <c r="BD156" s="136" t="s">
        <v>178</v>
      </c>
      <c r="BE156" s="136" t="s">
        <v>518</v>
      </c>
      <c r="BF156" s="136" t="s">
        <v>226</v>
      </c>
      <c r="BG156" s="120" t="s">
        <v>678</v>
      </c>
      <c r="BH156" s="136" t="str">
        <f t="shared" si="105"/>
        <v>&lt;MTL</v>
      </c>
      <c r="BI156" s="136">
        <f t="shared" si="106"/>
        <v>-3.1237045000000001E-2</v>
      </c>
      <c r="BJ156" s="136" t="str">
        <f t="shared" si="107"/>
        <v>Nil</v>
      </c>
      <c r="BK156" s="136">
        <f t="shared" si="108"/>
        <v>0.05</v>
      </c>
      <c r="BL156" s="136" t="s">
        <v>736</v>
      </c>
      <c r="BM156" s="136" t="s">
        <v>175</v>
      </c>
      <c r="BN156" s="136" t="s">
        <v>175</v>
      </c>
      <c r="BO156" s="136" t="s">
        <v>736</v>
      </c>
      <c r="BP156" s="137" t="s">
        <v>175</v>
      </c>
      <c r="BQ156" s="137" t="s">
        <v>175</v>
      </c>
      <c r="BR156" s="137" t="s">
        <v>175</v>
      </c>
      <c r="BS156" s="137" t="s">
        <v>175</v>
      </c>
      <c r="BT156" s="138">
        <f t="shared" si="29"/>
        <v>-4.668762955</v>
      </c>
      <c r="BU156" s="138">
        <f t="shared" si="30"/>
        <v>0.53701396629882914</v>
      </c>
      <c r="BV156" s="138">
        <f t="shared" si="31"/>
        <v>0.53701396629882914</v>
      </c>
      <c r="BW156" s="53" t="s">
        <v>175</v>
      </c>
      <c r="BX156" s="53" t="s">
        <v>175</v>
      </c>
      <c r="BY156" s="53" t="s">
        <v>175</v>
      </c>
      <c r="BZ156" s="53" t="s">
        <v>175</v>
      </c>
      <c r="CA156" s="147">
        <v>1</v>
      </c>
      <c r="CB156" s="54">
        <v>0</v>
      </c>
    </row>
    <row r="157" spans="1:80">
      <c r="A157" s="123" t="s">
        <v>370</v>
      </c>
      <c r="B157" s="124" t="s">
        <v>973</v>
      </c>
      <c r="C157" s="148" t="s">
        <v>674</v>
      </c>
      <c r="D157" s="125" t="s">
        <v>742</v>
      </c>
      <c r="E157" s="127">
        <v>22.766666666666701</v>
      </c>
      <c r="F157" s="127">
        <v>113.75</v>
      </c>
      <c r="G157" s="128" t="s">
        <v>168</v>
      </c>
      <c r="H157" s="129">
        <v>988.81056235118899</v>
      </c>
      <c r="I157" s="129">
        <v>116.89537668577053</v>
      </c>
      <c r="J157" s="129">
        <v>892</v>
      </c>
      <c r="K157" s="129">
        <v>283</v>
      </c>
      <c r="L157" s="129">
        <v>210</v>
      </c>
      <c r="M157" s="130" t="s">
        <v>363</v>
      </c>
      <c r="N157" s="149" t="s">
        <v>735</v>
      </c>
      <c r="O157" s="130" t="s">
        <v>300</v>
      </c>
      <c r="P157" s="130" t="s">
        <v>364</v>
      </c>
      <c r="Q157" s="130" t="s">
        <v>172</v>
      </c>
      <c r="R157" s="131">
        <v>0.8</v>
      </c>
      <c r="S157" s="131" t="s">
        <v>175</v>
      </c>
      <c r="T157" s="130">
        <v>1</v>
      </c>
      <c r="U157" s="160" t="s">
        <v>365</v>
      </c>
      <c r="V157" s="133">
        <v>0.1</v>
      </c>
      <c r="W157" s="132" t="s">
        <v>174</v>
      </c>
      <c r="X157" s="133">
        <v>0.1</v>
      </c>
      <c r="Y157" s="133">
        <v>0.05</v>
      </c>
      <c r="Z157" s="133">
        <v>0.01</v>
      </c>
      <c r="AA157" s="133">
        <v>0.15</v>
      </c>
      <c r="AB157" s="133">
        <f t="shared" si="109"/>
        <v>1.6E-2</v>
      </c>
      <c r="AC157" s="134">
        <v>0</v>
      </c>
      <c r="AD157" s="134">
        <v>0</v>
      </c>
      <c r="AE157" s="134">
        <v>0.5</v>
      </c>
      <c r="AF157" s="134">
        <v>0</v>
      </c>
      <c r="AG157" s="134">
        <v>0.1</v>
      </c>
      <c r="AH157" s="134">
        <v>0</v>
      </c>
      <c r="AI157" s="134">
        <v>0</v>
      </c>
      <c r="AJ157" s="134">
        <v>0</v>
      </c>
      <c r="AK157" s="134" t="s">
        <v>175</v>
      </c>
      <c r="AL157" s="122" t="s">
        <v>175</v>
      </c>
      <c r="AM157" s="122">
        <v>-3.9</v>
      </c>
      <c r="AN157" s="134" t="s">
        <v>176</v>
      </c>
      <c r="AO157" s="122" t="s">
        <v>177</v>
      </c>
      <c r="AP157" s="135">
        <f t="shared" si="27"/>
        <v>0.53418723309341642</v>
      </c>
      <c r="AQ157" s="135">
        <f t="shared" si="24"/>
        <v>0.53418723309341642</v>
      </c>
      <c r="AR157" s="117">
        <v>-3.215380487</v>
      </c>
      <c r="AS157" s="117">
        <v>0</v>
      </c>
      <c r="AT157" s="117">
        <v>0</v>
      </c>
      <c r="AU157" s="117">
        <v>-1.3384601620000001</v>
      </c>
      <c r="AV157" s="117">
        <v>-0.71923008099999997</v>
      </c>
      <c r="AW157" s="117">
        <v>-3.2692480000000003E-2</v>
      </c>
      <c r="AX157" s="117">
        <v>0.68846016200000004</v>
      </c>
      <c r="AY157" s="117">
        <v>1.238460162</v>
      </c>
      <c r="AZ157" s="117">
        <v>0</v>
      </c>
      <c r="BA157" s="117">
        <v>0</v>
      </c>
      <c r="BB157" s="117">
        <v>1.6746355980000001</v>
      </c>
      <c r="BC157" s="136" t="str">
        <f t="shared" si="28"/>
        <v>-1</v>
      </c>
      <c r="BD157" s="136" t="s">
        <v>178</v>
      </c>
      <c r="BE157" s="136" t="s">
        <v>518</v>
      </c>
      <c r="BF157" s="152" t="s">
        <v>226</v>
      </c>
      <c r="BG157" s="120" t="s">
        <v>678</v>
      </c>
      <c r="BH157" s="136" t="str">
        <f t="shared" si="105"/>
        <v>&lt;MTL</v>
      </c>
      <c r="BI157" s="136">
        <f t="shared" si="106"/>
        <v>-3.2692480000000003E-2</v>
      </c>
      <c r="BJ157" s="136" t="str">
        <f t="shared" si="107"/>
        <v>Nil</v>
      </c>
      <c r="BK157" s="136">
        <f t="shared" si="108"/>
        <v>0.05</v>
      </c>
      <c r="BL157" s="136" t="s">
        <v>736</v>
      </c>
      <c r="BM157" s="136" t="s">
        <v>175</v>
      </c>
      <c r="BN157" s="136" t="s">
        <v>175</v>
      </c>
      <c r="BO157" s="136" t="s">
        <v>736</v>
      </c>
      <c r="BP157" s="137" t="s">
        <v>175</v>
      </c>
      <c r="BQ157" s="137" t="s">
        <v>175</v>
      </c>
      <c r="BR157" s="137" t="s">
        <v>175</v>
      </c>
      <c r="BS157" s="137" t="s">
        <v>175</v>
      </c>
      <c r="BT157" s="138">
        <f t="shared" si="29"/>
        <v>-3.8673075199999998</v>
      </c>
      <c r="BU157" s="138">
        <f t="shared" si="30"/>
        <v>0.53652213374659574</v>
      </c>
      <c r="BV157" s="138">
        <f t="shared" si="31"/>
        <v>0.53652213374659574</v>
      </c>
      <c r="BW157" s="53" t="s">
        <v>175</v>
      </c>
      <c r="BX157" s="53" t="s">
        <v>175</v>
      </c>
      <c r="BY157" s="53" t="s">
        <v>175</v>
      </c>
      <c r="BZ157" s="53" t="s">
        <v>175</v>
      </c>
      <c r="CA157" s="147">
        <v>1</v>
      </c>
      <c r="CB157" s="54">
        <v>0</v>
      </c>
    </row>
    <row r="158" spans="1:80">
      <c r="A158" s="123" t="s">
        <v>480</v>
      </c>
      <c r="B158" s="124" t="s">
        <v>973</v>
      </c>
      <c r="C158" s="148" t="s">
        <v>674</v>
      </c>
      <c r="D158" s="125" t="s">
        <v>742</v>
      </c>
      <c r="E158" s="127">
        <v>22.8</v>
      </c>
      <c r="F158" s="127">
        <v>113.75</v>
      </c>
      <c r="G158" s="128" t="s">
        <v>168</v>
      </c>
      <c r="H158" s="129">
        <v>6058.8105623511892</v>
      </c>
      <c r="I158" s="129">
        <v>180.45644651967461</v>
      </c>
      <c r="J158" s="129">
        <v>6302</v>
      </c>
      <c r="K158" s="129">
        <v>456</v>
      </c>
      <c r="L158" s="129">
        <v>437</v>
      </c>
      <c r="M158" s="130" t="s">
        <v>363</v>
      </c>
      <c r="N158" s="130" t="s">
        <v>339</v>
      </c>
      <c r="O158" s="130" t="s">
        <v>443</v>
      </c>
      <c r="P158" s="130" t="s">
        <v>481</v>
      </c>
      <c r="Q158" s="130" t="s">
        <v>172</v>
      </c>
      <c r="R158" s="131">
        <v>2.02</v>
      </c>
      <c r="S158" s="131" t="s">
        <v>175</v>
      </c>
      <c r="T158" s="130">
        <v>1</v>
      </c>
      <c r="U158" s="132" t="s">
        <v>173</v>
      </c>
      <c r="V158" s="133">
        <v>0.1</v>
      </c>
      <c r="W158" s="132" t="s">
        <v>174</v>
      </c>
      <c r="X158" s="133">
        <v>0.1</v>
      </c>
      <c r="Y158" s="133">
        <v>0.05</v>
      </c>
      <c r="Z158" s="133">
        <v>0.01</v>
      </c>
      <c r="AA158" s="133">
        <v>0.15</v>
      </c>
      <c r="AB158" s="133">
        <f t="shared" si="109"/>
        <v>4.0399999999999998E-2</v>
      </c>
      <c r="AC158" s="134">
        <v>0</v>
      </c>
      <c r="AD158" s="134">
        <v>0</v>
      </c>
      <c r="AE158" s="134">
        <v>0.5</v>
      </c>
      <c r="AF158" s="134">
        <v>0</v>
      </c>
      <c r="AG158" s="134">
        <v>0.1</v>
      </c>
      <c r="AH158" s="134">
        <v>0</v>
      </c>
      <c r="AI158" s="134">
        <v>0</v>
      </c>
      <c r="AJ158" s="134">
        <v>0</v>
      </c>
      <c r="AK158" s="134" t="s">
        <v>175</v>
      </c>
      <c r="AL158" s="122" t="s">
        <v>175</v>
      </c>
      <c r="AM158" s="122">
        <v>-5.9</v>
      </c>
      <c r="AN158" s="134" t="s">
        <v>176</v>
      </c>
      <c r="AO158" s="134" t="s">
        <v>177</v>
      </c>
      <c r="AP158" s="135">
        <f t="shared" si="27"/>
        <v>0.53547377153320963</v>
      </c>
      <c r="AQ158" s="135">
        <f t="shared" si="24"/>
        <v>0.53547377153320963</v>
      </c>
      <c r="AR158" s="117">
        <v>-3.2503109270000001</v>
      </c>
      <c r="AS158" s="117">
        <v>0</v>
      </c>
      <c r="AT158" s="117">
        <v>0</v>
      </c>
      <c r="AU158" s="117">
        <v>-1.3501036420000001</v>
      </c>
      <c r="AV158" s="117">
        <v>-0.72505182099999999</v>
      </c>
      <c r="AW158" s="117">
        <v>-3.1237045000000001E-2</v>
      </c>
      <c r="AX158" s="117">
        <v>0.70010364199999997</v>
      </c>
      <c r="AY158" s="117">
        <v>1.250103642</v>
      </c>
      <c r="AZ158" s="117">
        <v>0</v>
      </c>
      <c r="BA158" s="117">
        <v>0</v>
      </c>
      <c r="BB158" s="117">
        <v>1.685105852</v>
      </c>
      <c r="BC158" s="136" t="str">
        <f t="shared" si="28"/>
        <v>-1</v>
      </c>
      <c r="BD158" s="136" t="s">
        <v>178</v>
      </c>
      <c r="BE158" s="136" t="s">
        <v>518</v>
      </c>
      <c r="BF158" s="136" t="s">
        <v>226</v>
      </c>
      <c r="BG158" s="120" t="s">
        <v>678</v>
      </c>
      <c r="BH158" s="136" t="str">
        <f t="shared" si="105"/>
        <v>&lt;MTL</v>
      </c>
      <c r="BI158" s="136">
        <f t="shared" si="106"/>
        <v>-3.1237045000000001E-2</v>
      </c>
      <c r="BJ158" s="136" t="str">
        <f t="shared" si="107"/>
        <v>Nil</v>
      </c>
      <c r="BK158" s="136">
        <f t="shared" si="108"/>
        <v>0.05</v>
      </c>
      <c r="BL158" s="136" t="s">
        <v>736</v>
      </c>
      <c r="BM158" s="136" t="s">
        <v>175</v>
      </c>
      <c r="BN158" s="136" t="s">
        <v>175</v>
      </c>
      <c r="BO158" s="136" t="s">
        <v>736</v>
      </c>
      <c r="BP158" s="137" t="s">
        <v>175</v>
      </c>
      <c r="BQ158" s="137" t="s">
        <v>175</v>
      </c>
      <c r="BR158" s="137" t="s">
        <v>175</v>
      </c>
      <c r="BS158" s="137" t="s">
        <v>175</v>
      </c>
      <c r="BT158" s="138">
        <f t="shared" si="29"/>
        <v>-5.8687629550000002</v>
      </c>
      <c r="BU158" s="138">
        <f t="shared" si="30"/>
        <v>0.53780308664045429</v>
      </c>
      <c r="BV158" s="138">
        <f t="shared" si="31"/>
        <v>0.53780308664045429</v>
      </c>
      <c r="BW158" s="53" t="s">
        <v>175</v>
      </c>
      <c r="BX158" s="53" t="s">
        <v>175</v>
      </c>
      <c r="BY158" s="53" t="s">
        <v>175</v>
      </c>
      <c r="BZ158" s="53" t="s">
        <v>175</v>
      </c>
      <c r="CA158" s="147">
        <v>1</v>
      </c>
      <c r="CB158" s="54">
        <v>0</v>
      </c>
    </row>
    <row r="159" spans="1:80">
      <c r="A159" s="123" t="s">
        <v>626</v>
      </c>
      <c r="B159" s="124" t="s">
        <v>731</v>
      </c>
      <c r="C159" s="125" t="s">
        <v>674</v>
      </c>
      <c r="D159" s="126" t="s">
        <v>742</v>
      </c>
      <c r="E159" s="127">
        <v>22.918780000000002</v>
      </c>
      <c r="F159" s="127">
        <v>113.61955</v>
      </c>
      <c r="G159" s="128" t="s">
        <v>168</v>
      </c>
      <c r="H159" s="145">
        <v>1443.9526305170129</v>
      </c>
      <c r="I159" s="145">
        <v>94.53198925993253</v>
      </c>
      <c r="J159" s="129">
        <v>1347</v>
      </c>
      <c r="K159" s="129">
        <v>185</v>
      </c>
      <c r="L159" s="129">
        <v>170</v>
      </c>
      <c r="M159" s="146" t="s">
        <v>719</v>
      </c>
      <c r="N159" s="146" t="s">
        <v>615</v>
      </c>
      <c r="O159" s="130" t="s">
        <v>175</v>
      </c>
      <c r="P159" s="130" t="s">
        <v>175</v>
      </c>
      <c r="Q159" s="130" t="s">
        <v>377</v>
      </c>
      <c r="R159" s="131">
        <v>3.02</v>
      </c>
      <c r="S159" s="131" t="s">
        <v>175</v>
      </c>
      <c r="T159" s="130">
        <v>1</v>
      </c>
      <c r="U159" s="132" t="s">
        <v>173</v>
      </c>
      <c r="V159" s="133">
        <v>0.1</v>
      </c>
      <c r="W159" s="132" t="s">
        <v>174</v>
      </c>
      <c r="X159" s="133">
        <v>0.1</v>
      </c>
      <c r="Y159" s="133">
        <v>0.05</v>
      </c>
      <c r="Z159" s="133">
        <v>0.01</v>
      </c>
      <c r="AA159" s="133">
        <v>0.15</v>
      </c>
      <c r="AB159" s="133">
        <f t="shared" si="109"/>
        <v>6.0400000000000002E-2</v>
      </c>
      <c r="AC159" s="134">
        <v>0</v>
      </c>
      <c r="AD159" s="134">
        <v>0</v>
      </c>
      <c r="AE159" s="134">
        <v>0.5</v>
      </c>
      <c r="AF159" s="134">
        <v>0</v>
      </c>
      <c r="AG159" s="134">
        <v>0.1</v>
      </c>
      <c r="AH159" s="134">
        <v>0</v>
      </c>
      <c r="AI159" s="134">
        <v>0</v>
      </c>
      <c r="AJ159" s="134">
        <v>0</v>
      </c>
      <c r="AK159" s="134" t="s">
        <v>175</v>
      </c>
      <c r="AL159" s="122" t="s">
        <v>175</v>
      </c>
      <c r="AM159" s="122">
        <v>-3.5</v>
      </c>
      <c r="AN159" s="134" t="s">
        <v>176</v>
      </c>
      <c r="AO159" s="122" t="s">
        <v>177</v>
      </c>
      <c r="AP159" s="135">
        <f t="shared" si="27"/>
        <v>0.53735291941144236</v>
      </c>
      <c r="AQ159" s="135">
        <f t="shared" si="24"/>
        <v>0.53735291941144236</v>
      </c>
      <c r="AR159" s="117">
        <v>-3.3207112300000001</v>
      </c>
      <c r="AS159" s="117">
        <v>0</v>
      </c>
      <c r="AT159" s="117">
        <v>0</v>
      </c>
      <c r="AU159" s="117">
        <v>-1.3207112299999999</v>
      </c>
      <c r="AV159" s="117">
        <v>-0.67071122999999999</v>
      </c>
      <c r="AW159" s="117">
        <v>-5.1778079999999999E-3</v>
      </c>
      <c r="AX159" s="117">
        <v>0.75</v>
      </c>
      <c r="AY159" s="117">
        <v>1.22071123</v>
      </c>
      <c r="AZ159" s="117">
        <v>0</v>
      </c>
      <c r="BA159" s="117">
        <v>0</v>
      </c>
      <c r="BB159" s="117">
        <v>2.1621336900000001</v>
      </c>
      <c r="BC159" s="136" t="str">
        <f t="shared" si="28"/>
        <v>-1</v>
      </c>
      <c r="BD159" s="136" t="s">
        <v>178</v>
      </c>
      <c r="BE159" s="136" t="s">
        <v>702</v>
      </c>
      <c r="BF159" s="136" t="s">
        <v>701</v>
      </c>
      <c r="BG159" s="120" t="s">
        <v>678</v>
      </c>
      <c r="BH159" s="136" t="str">
        <f t="shared" si="105"/>
        <v>&lt;MTL</v>
      </c>
      <c r="BI159" s="136">
        <f t="shared" si="106"/>
        <v>-5.1778079999999999E-3</v>
      </c>
      <c r="BJ159" s="136" t="str">
        <f t="shared" si="107"/>
        <v>Nil</v>
      </c>
      <c r="BK159" s="136">
        <f t="shared" si="108"/>
        <v>0.05</v>
      </c>
      <c r="BL159" s="136" t="s">
        <v>736</v>
      </c>
      <c r="BM159" s="136" t="s">
        <v>175</v>
      </c>
      <c r="BN159" s="136" t="s">
        <v>175</v>
      </c>
      <c r="BO159" s="136" t="s">
        <v>736</v>
      </c>
      <c r="BP159" s="137" t="s">
        <v>175</v>
      </c>
      <c r="BQ159" s="137" t="s">
        <v>175</v>
      </c>
      <c r="BR159" s="137" t="s">
        <v>175</v>
      </c>
      <c r="BS159" s="137" t="s">
        <v>175</v>
      </c>
      <c r="BT159" s="138">
        <f t="shared" si="29"/>
        <v>-3.494822192</v>
      </c>
      <c r="BU159" s="138">
        <f t="shared" si="30"/>
        <v>0.53967412389329927</v>
      </c>
      <c r="BV159" s="138">
        <f t="shared" si="31"/>
        <v>0.53967412389329927</v>
      </c>
      <c r="BW159" s="53" t="s">
        <v>175</v>
      </c>
      <c r="BX159" s="53" t="s">
        <v>175</v>
      </c>
      <c r="BY159" s="53" t="s">
        <v>175</v>
      </c>
      <c r="BZ159" s="53" t="s">
        <v>175</v>
      </c>
      <c r="CA159" s="147">
        <v>2</v>
      </c>
      <c r="CB159" s="54">
        <v>0</v>
      </c>
    </row>
    <row r="160" spans="1:80">
      <c r="A160" s="123" t="s">
        <v>428</v>
      </c>
      <c r="B160" s="124" t="s">
        <v>966</v>
      </c>
      <c r="C160" s="148" t="s">
        <v>674</v>
      </c>
      <c r="D160" s="125" t="s">
        <v>742</v>
      </c>
      <c r="E160" s="127">
        <v>23.066666666666666</v>
      </c>
      <c r="F160" s="127">
        <v>113.61666666666666</v>
      </c>
      <c r="G160" s="128" t="s">
        <v>168</v>
      </c>
      <c r="H160" s="129">
        <v>2698.8105623511892</v>
      </c>
      <c r="I160" s="129">
        <v>180.45644651967461</v>
      </c>
      <c r="J160" s="129">
        <v>2818</v>
      </c>
      <c r="K160" s="129">
        <v>500</v>
      </c>
      <c r="L160" s="129">
        <v>468</v>
      </c>
      <c r="M160" s="130" t="s">
        <v>429</v>
      </c>
      <c r="N160" s="149" t="s">
        <v>735</v>
      </c>
      <c r="O160" s="130" t="s">
        <v>175</v>
      </c>
      <c r="P160" s="130" t="s">
        <v>376</v>
      </c>
      <c r="Q160" s="130" t="s">
        <v>172</v>
      </c>
      <c r="R160" s="131">
        <v>1.6</v>
      </c>
      <c r="S160" s="131">
        <v>31</v>
      </c>
      <c r="T160" s="130">
        <v>1</v>
      </c>
      <c r="U160" s="132" t="s">
        <v>173</v>
      </c>
      <c r="V160" s="133">
        <v>0.1</v>
      </c>
      <c r="W160" s="132" t="s">
        <v>174</v>
      </c>
      <c r="X160" s="133">
        <v>0.1</v>
      </c>
      <c r="Y160" s="133">
        <v>0.05</v>
      </c>
      <c r="Z160" s="133">
        <v>0.01</v>
      </c>
      <c r="AA160" s="133">
        <v>0.15</v>
      </c>
      <c r="AB160" s="133">
        <f t="shared" si="109"/>
        <v>3.2000000000000001E-2</v>
      </c>
      <c r="AC160" s="134">
        <v>0</v>
      </c>
      <c r="AD160" s="134">
        <v>0</v>
      </c>
      <c r="AE160" s="134">
        <v>0.5</v>
      </c>
      <c r="AF160" s="134">
        <v>0</v>
      </c>
      <c r="AG160" s="134">
        <v>0.1</v>
      </c>
      <c r="AH160" s="134">
        <v>0</v>
      </c>
      <c r="AI160" s="134">
        <v>0</v>
      </c>
      <c r="AJ160" s="134">
        <v>0</v>
      </c>
      <c r="AK160" s="134" t="s">
        <v>175</v>
      </c>
      <c r="AL160" s="122" t="s">
        <v>175</v>
      </c>
      <c r="AM160" s="122">
        <v>0.6</v>
      </c>
      <c r="AN160" s="134" t="s">
        <v>176</v>
      </c>
      <c r="AO160" s="134" t="s">
        <v>177</v>
      </c>
      <c r="AP160" s="135">
        <f t="shared" si="27"/>
        <v>0.53490559914811131</v>
      </c>
      <c r="AQ160" s="135">
        <f t="shared" si="24"/>
        <v>0.53490559914811131</v>
      </c>
      <c r="AR160" s="117">
        <v>-2.2977379180000002</v>
      </c>
      <c r="AS160" s="117">
        <v>0</v>
      </c>
      <c r="AT160" s="117">
        <v>0</v>
      </c>
      <c r="AU160" s="117">
        <v>-1.269628422</v>
      </c>
      <c r="AV160" s="117">
        <v>-0.71074315600000004</v>
      </c>
      <c r="AW160" s="117">
        <v>-6.0743156E-2</v>
      </c>
      <c r="AX160" s="117">
        <v>0.62851368699999999</v>
      </c>
      <c r="AY160" s="117">
        <v>1.1088852650000001</v>
      </c>
      <c r="AZ160" s="117">
        <v>0</v>
      </c>
      <c r="BA160" s="117">
        <v>0</v>
      </c>
      <c r="BB160" s="117">
        <v>2.3211349769999998</v>
      </c>
      <c r="BC160" s="136" t="str">
        <f t="shared" si="28"/>
        <v>0</v>
      </c>
      <c r="BD160" s="136" t="s">
        <v>178</v>
      </c>
      <c r="BE160" s="136" t="s">
        <v>689</v>
      </c>
      <c r="BF160" s="136" t="s">
        <v>226</v>
      </c>
      <c r="BG160" s="120" t="s">
        <v>657</v>
      </c>
      <c r="BH160" s="136" t="str">
        <f t="shared" si="105"/>
        <v>HAT-LAT</v>
      </c>
      <c r="BI160" s="136">
        <f t="shared" si="106"/>
        <v>1.1698529499999832E-2</v>
      </c>
      <c r="BJ160" s="136">
        <f t="shared" si="107"/>
        <v>2.3094364475</v>
      </c>
      <c r="BK160" s="136">
        <f t="shared" si="108"/>
        <v>0.27</v>
      </c>
      <c r="BL160" s="136" t="s">
        <v>736</v>
      </c>
      <c r="BM160" s="136" t="s">
        <v>175</v>
      </c>
      <c r="BN160" s="136" t="s">
        <v>175</v>
      </c>
      <c r="BO160" s="136" t="s">
        <v>736</v>
      </c>
      <c r="BP160" s="137" t="s">
        <v>175</v>
      </c>
      <c r="BQ160" s="137" t="s">
        <v>175</v>
      </c>
      <c r="BR160" s="137" t="s">
        <v>175</v>
      </c>
      <c r="BS160" s="137" t="s">
        <v>175</v>
      </c>
      <c r="BT160" s="138">
        <f t="shared" si="29"/>
        <v>0.58830147050000015</v>
      </c>
      <c r="BU160" s="138">
        <f t="shared" si="30"/>
        <v>2.3859003971334216</v>
      </c>
      <c r="BV160" s="138">
        <f t="shared" si="31"/>
        <v>2.3859003971334216</v>
      </c>
      <c r="BW160" s="53" t="s">
        <v>175</v>
      </c>
      <c r="BX160" s="53" t="s">
        <v>175</v>
      </c>
      <c r="BY160" s="53" t="s">
        <v>175</v>
      </c>
      <c r="BZ160" s="53" t="s">
        <v>175</v>
      </c>
      <c r="CA160" s="147">
        <v>2</v>
      </c>
      <c r="CB160" s="54">
        <v>0</v>
      </c>
    </row>
    <row r="161" spans="1:82">
      <c r="A161" s="123" t="s">
        <v>592</v>
      </c>
      <c r="B161" s="124" t="s">
        <v>852</v>
      </c>
      <c r="C161" s="148" t="s">
        <v>674</v>
      </c>
      <c r="D161" s="126" t="s">
        <v>742</v>
      </c>
      <c r="E161" s="127">
        <v>22.934138900000001</v>
      </c>
      <c r="F161" s="127">
        <v>113.4843056</v>
      </c>
      <c r="G161" s="128" t="s">
        <v>168</v>
      </c>
      <c r="H161" s="145">
        <v>3871.2776368064242</v>
      </c>
      <c r="I161" s="145">
        <v>138.26757352380201</v>
      </c>
      <c r="J161" s="129">
        <v>4285</v>
      </c>
      <c r="K161" s="129">
        <v>514</v>
      </c>
      <c r="L161" s="129">
        <v>390</v>
      </c>
      <c r="M161" s="149" t="s">
        <v>590</v>
      </c>
      <c r="N161" s="149" t="s">
        <v>735</v>
      </c>
      <c r="O161" s="130" t="s">
        <v>591</v>
      </c>
      <c r="P161" s="130" t="s">
        <v>175</v>
      </c>
      <c r="Q161" s="130" t="s">
        <v>172</v>
      </c>
      <c r="R161" s="131">
        <v>10.7</v>
      </c>
      <c r="S161" s="131" t="s">
        <v>175</v>
      </c>
      <c r="T161" s="130">
        <v>1</v>
      </c>
      <c r="U161" s="132" t="s">
        <v>173</v>
      </c>
      <c r="V161" s="133">
        <v>0.1</v>
      </c>
      <c r="W161" s="132" t="s">
        <v>174</v>
      </c>
      <c r="X161" s="133">
        <v>0.1</v>
      </c>
      <c r="Y161" s="133">
        <v>0.05</v>
      </c>
      <c r="Z161" s="133">
        <v>0.01</v>
      </c>
      <c r="AA161" s="133">
        <v>0.15</v>
      </c>
      <c r="AB161" s="133">
        <f t="shared" si="109"/>
        <v>0.214</v>
      </c>
      <c r="AC161" s="134">
        <v>0</v>
      </c>
      <c r="AD161" s="134">
        <v>0</v>
      </c>
      <c r="AE161" s="134">
        <v>0.5</v>
      </c>
      <c r="AF161" s="134">
        <v>0</v>
      </c>
      <c r="AG161" s="134">
        <v>0.1</v>
      </c>
      <c r="AH161" s="134">
        <v>0</v>
      </c>
      <c r="AI161" s="134">
        <v>0</v>
      </c>
      <c r="AJ161" s="134">
        <v>0</v>
      </c>
      <c r="AK161" s="134" t="s">
        <v>175</v>
      </c>
      <c r="AL161" s="122" t="s">
        <v>175</v>
      </c>
      <c r="AM161" s="122">
        <v>-10.199999999999999</v>
      </c>
      <c r="AN161" s="134" t="s">
        <v>176</v>
      </c>
      <c r="AO161" s="122" t="s">
        <v>177</v>
      </c>
      <c r="AP161" s="135">
        <f t="shared" ref="AP161:AP184" si="110">SQRT(SUMSQ(IF(OR(Y161="nd",Y161="nd"),0,Y161),IF(OR(Z161="nd",Z161="nd"),0,Z161),IF(OR(AA161="nd",AA161="nd"),0,AA161),IF(OR(AB161="nd",AB161="nd"),0,AB161),IF(OR(AC161="nd",AC161="nd"),0,AC161),IF(OR(AD161="nd",AD161="nd"),0,AD161),IF(OR(AE161="nd",AE161="nd"),0,AE161),IF(OR(AF161="nd",AF161="nd"),0,AF161),IF(OR(AG161="nd",AG161="nd"),0,AG161),IF(OR(AH161="nd",AH161="nd"),0,AH161),IF(OR(AI161="nd",AI161="nd"),0,AI161),IF(OR(AJ161="nd",AJ161="nd"),0,AJ161)))</f>
        <v>0.57523560390504347</v>
      </c>
      <c r="AQ161" s="135">
        <f t="shared" si="24"/>
        <v>0.57523560390504347</v>
      </c>
      <c r="AR161" s="117">
        <v>-2.912183599</v>
      </c>
      <c r="AS161" s="117">
        <v>0</v>
      </c>
      <c r="AT161" s="117">
        <v>0</v>
      </c>
      <c r="AU161" s="117">
        <v>-1.288247988</v>
      </c>
      <c r="AV161" s="117">
        <v>-0.67350402399999998</v>
      </c>
      <c r="AW161" s="117">
        <v>-2.3504023999999998E-2</v>
      </c>
      <c r="AX161" s="117">
        <v>0.702991951</v>
      </c>
      <c r="AY161" s="117">
        <v>1.1647439639999999</v>
      </c>
      <c r="AZ161" s="117">
        <v>0</v>
      </c>
      <c r="BA161" s="117">
        <v>0</v>
      </c>
      <c r="BB161" s="117">
        <v>1.6835097290000001</v>
      </c>
      <c r="BC161" s="136" t="str">
        <f t="shared" si="28"/>
        <v>-1</v>
      </c>
      <c r="BD161" s="136" t="s">
        <v>178</v>
      </c>
      <c r="BE161" s="136" t="s">
        <v>693</v>
      </c>
      <c r="BF161" s="136" t="s">
        <v>687</v>
      </c>
      <c r="BG161" s="120" t="s">
        <v>678</v>
      </c>
      <c r="BH161" s="136" t="str">
        <f t="shared" si="105"/>
        <v>&lt;MTL</v>
      </c>
      <c r="BI161" s="136">
        <f t="shared" si="106"/>
        <v>-2.3504023999999998E-2</v>
      </c>
      <c r="BJ161" s="136" t="str">
        <f t="shared" si="107"/>
        <v>Nil</v>
      </c>
      <c r="BK161" s="136">
        <f t="shared" si="108"/>
        <v>0.05</v>
      </c>
      <c r="BL161" s="136" t="s">
        <v>736</v>
      </c>
      <c r="BM161" s="136" t="s">
        <v>175</v>
      </c>
      <c r="BN161" s="136" t="s">
        <v>175</v>
      </c>
      <c r="BO161" s="136" t="s">
        <v>736</v>
      </c>
      <c r="BP161" s="137" t="s">
        <v>175</v>
      </c>
      <c r="BQ161" s="137" t="s">
        <v>175</v>
      </c>
      <c r="BR161" s="137" t="s">
        <v>175</v>
      </c>
      <c r="BS161" s="137" t="s">
        <v>175</v>
      </c>
      <c r="BT161" s="138">
        <f t="shared" si="29"/>
        <v>-10.176495976</v>
      </c>
      <c r="BU161" s="138">
        <f t="shared" si="30"/>
        <v>0.57740453756443588</v>
      </c>
      <c r="BV161" s="138">
        <f t="shared" si="31"/>
        <v>0.57740453756443588</v>
      </c>
      <c r="BW161" s="53" t="s">
        <v>175</v>
      </c>
      <c r="BX161" s="53" t="s">
        <v>175</v>
      </c>
      <c r="BY161" s="53" t="s">
        <v>175</v>
      </c>
      <c r="BZ161" s="53" t="s">
        <v>175</v>
      </c>
      <c r="CA161" s="147">
        <v>2</v>
      </c>
      <c r="CB161" s="54">
        <v>0</v>
      </c>
    </row>
    <row r="162" spans="1:82">
      <c r="A162" s="123" t="s">
        <v>587</v>
      </c>
      <c r="B162" s="124" t="s">
        <v>852</v>
      </c>
      <c r="C162" s="148" t="s">
        <v>674</v>
      </c>
      <c r="D162" s="126" t="s">
        <v>742</v>
      </c>
      <c r="E162" s="127">
        <v>22.934138900000001</v>
      </c>
      <c r="F162" s="127">
        <v>113.4843056</v>
      </c>
      <c r="G162" s="128" t="s">
        <v>168</v>
      </c>
      <c r="H162" s="145">
        <v>2351.2776368064251</v>
      </c>
      <c r="I162" s="145">
        <v>134.88113985342798</v>
      </c>
      <c r="J162" s="129">
        <v>2410</v>
      </c>
      <c r="K162" s="129">
        <v>332</v>
      </c>
      <c r="L162" s="129">
        <v>353</v>
      </c>
      <c r="M162" s="149" t="s">
        <v>588</v>
      </c>
      <c r="N162" s="149" t="s">
        <v>735</v>
      </c>
      <c r="O162" s="149" t="s">
        <v>562</v>
      </c>
      <c r="P162" s="149" t="s">
        <v>589</v>
      </c>
      <c r="Q162" s="130" t="s">
        <v>172</v>
      </c>
      <c r="R162" s="131">
        <v>6.8</v>
      </c>
      <c r="S162" s="131" t="s">
        <v>175</v>
      </c>
      <c r="T162" s="130">
        <v>1</v>
      </c>
      <c r="U162" s="132" t="s">
        <v>173</v>
      </c>
      <c r="V162" s="133">
        <v>0.1</v>
      </c>
      <c r="W162" s="132" t="s">
        <v>174</v>
      </c>
      <c r="X162" s="133">
        <v>0.1</v>
      </c>
      <c r="Y162" s="133">
        <v>0.05</v>
      </c>
      <c r="Z162" s="133">
        <v>0.01</v>
      </c>
      <c r="AA162" s="133">
        <v>0.15</v>
      </c>
      <c r="AB162" s="133">
        <f t="shared" si="109"/>
        <v>0.13600000000000001</v>
      </c>
      <c r="AC162" s="134">
        <v>0</v>
      </c>
      <c r="AD162" s="134">
        <v>0</v>
      </c>
      <c r="AE162" s="134">
        <v>0.5</v>
      </c>
      <c r="AF162" s="134">
        <v>0</v>
      </c>
      <c r="AG162" s="134">
        <v>0.1</v>
      </c>
      <c r="AH162" s="134">
        <v>0</v>
      </c>
      <c r="AI162" s="134">
        <v>0</v>
      </c>
      <c r="AJ162" s="134">
        <v>0</v>
      </c>
      <c r="AK162" s="134" t="s">
        <v>175</v>
      </c>
      <c r="AL162" s="122" t="s">
        <v>175</v>
      </c>
      <c r="AM162" s="122">
        <f>3.3-6.8</f>
        <v>-3.5</v>
      </c>
      <c r="AN162" s="134" t="s">
        <v>176</v>
      </c>
      <c r="AO162" s="122" t="s">
        <v>177</v>
      </c>
      <c r="AP162" s="135">
        <f t="shared" si="110"/>
        <v>0.55099546277623745</v>
      </c>
      <c r="AQ162" s="135">
        <f t="shared" si="24"/>
        <v>0.55099546277623745</v>
      </c>
      <c r="AR162" s="117">
        <v>-2.912183599</v>
      </c>
      <c r="AS162" s="117">
        <v>0</v>
      </c>
      <c r="AT162" s="117">
        <v>0</v>
      </c>
      <c r="AU162" s="117">
        <v>-1.288247988</v>
      </c>
      <c r="AV162" s="117">
        <v>-0.67350402399999998</v>
      </c>
      <c r="AW162" s="117">
        <v>-2.3504023999999998E-2</v>
      </c>
      <c r="AX162" s="117">
        <v>0.702991951</v>
      </c>
      <c r="AY162" s="117">
        <v>1.1647439639999999</v>
      </c>
      <c r="AZ162" s="117">
        <v>0</v>
      </c>
      <c r="BA162" s="117">
        <v>0</v>
      </c>
      <c r="BB162" s="117">
        <v>2.0177359149999998</v>
      </c>
      <c r="BC162" s="136" t="str">
        <f t="shared" si="28"/>
        <v>-1</v>
      </c>
      <c r="BD162" s="136" t="s">
        <v>178</v>
      </c>
      <c r="BE162" s="136" t="s">
        <v>518</v>
      </c>
      <c r="BF162" s="136" t="s">
        <v>563</v>
      </c>
      <c r="BG162" s="120" t="s">
        <v>678</v>
      </c>
      <c r="BH162" s="136" t="str">
        <f t="shared" si="105"/>
        <v>&lt;MTL</v>
      </c>
      <c r="BI162" s="136">
        <f t="shared" si="106"/>
        <v>-2.3504023999999998E-2</v>
      </c>
      <c r="BJ162" s="136" t="str">
        <f t="shared" si="107"/>
        <v>Nil</v>
      </c>
      <c r="BK162" s="136">
        <f t="shared" si="108"/>
        <v>0.05</v>
      </c>
      <c r="BL162" s="136" t="s">
        <v>736</v>
      </c>
      <c r="BM162" s="136" t="s">
        <v>175</v>
      </c>
      <c r="BN162" s="136" t="s">
        <v>175</v>
      </c>
      <c r="BO162" s="136" t="s">
        <v>736</v>
      </c>
      <c r="BP162" s="137" t="s">
        <v>175</v>
      </c>
      <c r="BQ162" s="137" t="s">
        <v>175</v>
      </c>
      <c r="BR162" s="137" t="s">
        <v>175</v>
      </c>
      <c r="BS162" s="137" t="s">
        <v>175</v>
      </c>
      <c r="BT162" s="138">
        <f t="shared" si="29"/>
        <v>-3.4764959759999998</v>
      </c>
      <c r="BU162" s="138">
        <f t="shared" si="30"/>
        <v>0.55325943281610668</v>
      </c>
      <c r="BV162" s="138">
        <f t="shared" si="31"/>
        <v>0.55325943281610668</v>
      </c>
      <c r="BW162" s="53" t="s">
        <v>175</v>
      </c>
      <c r="BX162" s="53" t="s">
        <v>175</v>
      </c>
      <c r="BY162" s="53" t="s">
        <v>175</v>
      </c>
      <c r="BZ162" s="53" t="s">
        <v>175</v>
      </c>
      <c r="CA162" s="147">
        <v>1</v>
      </c>
      <c r="CB162" s="54">
        <v>0</v>
      </c>
    </row>
    <row r="163" spans="1:82">
      <c r="A163" s="123" t="s">
        <v>514</v>
      </c>
      <c r="B163" s="124" t="s">
        <v>967</v>
      </c>
      <c r="C163" s="148" t="s">
        <v>674</v>
      </c>
      <c r="D163" s="125" t="s">
        <v>742</v>
      </c>
      <c r="E163" s="127">
        <v>22.93</v>
      </c>
      <c r="F163" s="127">
        <v>113.35</v>
      </c>
      <c r="G163" s="128" t="s">
        <v>168</v>
      </c>
      <c r="H163" s="129">
        <v>1700.681864716249</v>
      </c>
      <c r="I163" s="129">
        <v>80.920004967869346</v>
      </c>
      <c r="J163" s="129">
        <v>1105</v>
      </c>
      <c r="K163" s="129">
        <v>239</v>
      </c>
      <c r="L163" s="129">
        <v>253</v>
      </c>
      <c r="M163" s="130" t="s">
        <v>379</v>
      </c>
      <c r="N163" s="130" t="s">
        <v>339</v>
      </c>
      <c r="O163" s="157" t="s">
        <v>380</v>
      </c>
      <c r="P163" s="130" t="s">
        <v>381</v>
      </c>
      <c r="Q163" s="130" t="s">
        <v>377</v>
      </c>
      <c r="R163" s="131">
        <v>3.9</v>
      </c>
      <c r="S163" s="131">
        <v>11.4</v>
      </c>
      <c r="T163" s="130">
        <v>1</v>
      </c>
      <c r="U163" s="132" t="s">
        <v>173</v>
      </c>
      <c r="V163" s="133">
        <v>0.1</v>
      </c>
      <c r="W163" s="132" t="s">
        <v>174</v>
      </c>
      <c r="X163" s="133">
        <v>0.1</v>
      </c>
      <c r="Y163" s="133">
        <v>0.05</v>
      </c>
      <c r="Z163" s="133">
        <v>0.01</v>
      </c>
      <c r="AA163" s="133">
        <v>0.15</v>
      </c>
      <c r="AB163" s="133">
        <f>0.02*R163</f>
        <v>7.8E-2</v>
      </c>
      <c r="AC163" s="134">
        <v>0</v>
      </c>
      <c r="AD163" s="134">
        <v>0</v>
      </c>
      <c r="AE163" s="134">
        <v>0.5</v>
      </c>
      <c r="AF163" s="134">
        <v>0</v>
      </c>
      <c r="AG163" s="134">
        <v>0.1</v>
      </c>
      <c r="AH163" s="134">
        <v>0</v>
      </c>
      <c r="AI163" s="134">
        <v>0</v>
      </c>
      <c r="AJ163" s="134">
        <v>0</v>
      </c>
      <c r="AK163" s="134" t="s">
        <v>175</v>
      </c>
      <c r="AL163" s="122" t="s">
        <v>175</v>
      </c>
      <c r="AM163" s="122">
        <v>-2.7</v>
      </c>
      <c r="AN163" s="134" t="s">
        <v>176</v>
      </c>
      <c r="AO163" s="122" t="s">
        <v>177</v>
      </c>
      <c r="AP163" s="135">
        <f t="shared" si="110"/>
        <v>0.53961467733930291</v>
      </c>
      <c r="AQ163" s="135">
        <f t="shared" si="24"/>
        <v>0.53961467733930291</v>
      </c>
      <c r="AR163" s="117">
        <v>-1.4753321850000001</v>
      </c>
      <c r="AS163" s="117">
        <v>0</v>
      </c>
      <c r="AT163" s="117">
        <v>0</v>
      </c>
      <c r="AU163" s="117">
        <v>-0.96264327199999999</v>
      </c>
      <c r="AV163" s="117">
        <v>-0.63167664099999998</v>
      </c>
      <c r="AW163" s="117">
        <v>-4.5064155000000002E-2</v>
      </c>
      <c r="AX163" s="117">
        <v>0.52746221699999996</v>
      </c>
      <c r="AY163" s="117">
        <v>0.88660107600000004</v>
      </c>
      <c r="AZ163" s="117">
        <v>0</v>
      </c>
      <c r="BA163" s="117">
        <v>0</v>
      </c>
      <c r="BB163" s="117">
        <v>1.4831453429999999</v>
      </c>
      <c r="BC163" s="136" t="str">
        <f t="shared" si="28"/>
        <v>-1</v>
      </c>
      <c r="BD163" s="136" t="s">
        <v>178</v>
      </c>
      <c r="BE163" s="136" t="s">
        <v>518</v>
      </c>
      <c r="BF163" s="136" t="s">
        <v>226</v>
      </c>
      <c r="BG163" s="120" t="s">
        <v>678</v>
      </c>
      <c r="BH163" s="136" t="str">
        <f t="shared" si="105"/>
        <v>&lt;MTL</v>
      </c>
      <c r="BI163" s="136">
        <f t="shared" si="106"/>
        <v>-4.5064155000000002E-2</v>
      </c>
      <c r="BJ163" s="136" t="str">
        <f t="shared" si="107"/>
        <v>Nil</v>
      </c>
      <c r="BK163" s="136">
        <f t="shared" si="108"/>
        <v>0.05</v>
      </c>
      <c r="BL163" s="136" t="s">
        <v>736</v>
      </c>
      <c r="BM163" s="136" t="s">
        <v>175</v>
      </c>
      <c r="BN163" s="136" t="s">
        <v>175</v>
      </c>
      <c r="BO163" s="136" t="s">
        <v>736</v>
      </c>
      <c r="BP163" s="137" t="s">
        <v>175</v>
      </c>
      <c r="BQ163" s="137" t="s">
        <v>175</v>
      </c>
      <c r="BR163" s="137" t="s">
        <v>175</v>
      </c>
      <c r="BS163" s="137" t="s">
        <v>175</v>
      </c>
      <c r="BT163" s="138">
        <f t="shared" si="29"/>
        <v>-2.6549358450000002</v>
      </c>
      <c r="BU163" s="138">
        <f t="shared" si="30"/>
        <v>0.54192619423681676</v>
      </c>
      <c r="BV163" s="138">
        <f t="shared" si="31"/>
        <v>0.54192619423681676</v>
      </c>
      <c r="BW163" s="53" t="s">
        <v>175</v>
      </c>
      <c r="BX163" s="53" t="s">
        <v>175</v>
      </c>
      <c r="BY163" s="53" t="s">
        <v>175</v>
      </c>
      <c r="BZ163" s="53" t="s">
        <v>175</v>
      </c>
      <c r="CA163" s="147">
        <v>1</v>
      </c>
      <c r="CB163" s="54">
        <v>0</v>
      </c>
    </row>
    <row r="164" spans="1:82">
      <c r="A164" s="123" t="s">
        <v>418</v>
      </c>
      <c r="B164" s="124" t="s">
        <v>967</v>
      </c>
      <c r="C164" s="148" t="s">
        <v>674</v>
      </c>
      <c r="D164" s="125" t="s">
        <v>742</v>
      </c>
      <c r="E164" s="127">
        <v>22.933333333333334</v>
      </c>
      <c r="F164" s="127">
        <v>113.35</v>
      </c>
      <c r="G164" s="128" t="s">
        <v>168</v>
      </c>
      <c r="H164" s="129">
        <v>2820.6818647162472</v>
      </c>
      <c r="I164" s="129">
        <v>102.09332595228739</v>
      </c>
      <c r="J164" s="129">
        <v>2409</v>
      </c>
      <c r="K164" s="129">
        <v>319</v>
      </c>
      <c r="L164" s="129">
        <v>338</v>
      </c>
      <c r="M164" s="130" t="s">
        <v>419</v>
      </c>
      <c r="N164" s="130" t="s">
        <v>339</v>
      </c>
      <c r="O164" s="130" t="s">
        <v>420</v>
      </c>
      <c r="P164" s="130" t="s">
        <v>421</v>
      </c>
      <c r="Q164" s="130" t="s">
        <v>377</v>
      </c>
      <c r="R164" s="131">
        <v>5.9</v>
      </c>
      <c r="S164" s="131">
        <v>9.4</v>
      </c>
      <c r="T164" s="130">
        <v>1</v>
      </c>
      <c r="U164" s="132" t="s">
        <v>173</v>
      </c>
      <c r="V164" s="133">
        <v>0.1</v>
      </c>
      <c r="W164" s="132" t="s">
        <v>174</v>
      </c>
      <c r="X164" s="133">
        <v>0.1</v>
      </c>
      <c r="Y164" s="133">
        <v>0.05</v>
      </c>
      <c r="Z164" s="133">
        <v>0.01</v>
      </c>
      <c r="AA164" s="133">
        <v>0.15</v>
      </c>
      <c r="AB164" s="133">
        <f>0.02*R164</f>
        <v>0.11800000000000001</v>
      </c>
      <c r="AC164" s="134">
        <v>0</v>
      </c>
      <c r="AD164" s="134">
        <v>0</v>
      </c>
      <c r="AE164" s="134">
        <v>0.5</v>
      </c>
      <c r="AF164" s="134">
        <v>0</v>
      </c>
      <c r="AG164" s="134">
        <v>0.1</v>
      </c>
      <c r="AH164" s="134">
        <v>0</v>
      </c>
      <c r="AI164" s="134">
        <v>0</v>
      </c>
      <c r="AJ164" s="134">
        <v>0</v>
      </c>
      <c r="AK164" s="134" t="s">
        <v>175</v>
      </c>
      <c r="AL164" s="122" t="s">
        <v>175</v>
      </c>
      <c r="AM164" s="122">
        <v>-4.7</v>
      </c>
      <c r="AN164" s="134" t="s">
        <v>176</v>
      </c>
      <c r="AO164" s="134" t="s">
        <v>177</v>
      </c>
      <c r="AP164" s="135">
        <f t="shared" si="110"/>
        <v>0.54683086964801098</v>
      </c>
      <c r="AQ164" s="135">
        <f t="shared" ref="AQ164:AQ234" si="111">SQRT(SUMSQ(IF(OR(Y164="nd",Y164="nd"),0,Y164),IF(OR(Z164="nd",Z164="nd"),0,Z164),IF(OR(AA164="nd",AA164="nd"),0,AA164),IF(OR(AB164="nd",AB164="nd"),0,AB164),IF(OR(AC164="nd",AC164="nd"),0,AC164),IF(OR(AD164="nd",AD164="nd"),0,AD164),IF(OR(AE164="nd",AE164="nd"),0,AE164),IF(OR(AF164="nd",AF164="nd"),0,AF164),IF(OR(AG164="nd",AG164="nd"),0,AG164),IF(OR(AH164="nd",AH164="nd"),0,AH164),IF(OR(AI164="nd",AI164="nd"),0,AI164),IF(OR(AJ164="nd",AJ164="nd"),0,AJ164)))</f>
        <v>0.54683086964801098</v>
      </c>
      <c r="AR164" s="117">
        <v>-1.4749943910000001</v>
      </c>
      <c r="AS164" s="117">
        <v>0</v>
      </c>
      <c r="AT164" s="117">
        <v>0</v>
      </c>
      <c r="AU164" s="117">
        <v>-0.96208754600000002</v>
      </c>
      <c r="AV164" s="117">
        <v>-0.63144781299999997</v>
      </c>
      <c r="AW164" s="117">
        <v>-4.4957913000000002E-2</v>
      </c>
      <c r="AX164" s="117">
        <v>0.52741863099999997</v>
      </c>
      <c r="AY164" s="117">
        <v>0.88628507499999998</v>
      </c>
      <c r="AZ164" s="117">
        <v>0</v>
      </c>
      <c r="BA164" s="117">
        <v>0</v>
      </c>
      <c r="BB164" s="117">
        <v>1.666531199</v>
      </c>
      <c r="BC164" s="136" t="str">
        <f t="shared" si="28"/>
        <v>-1</v>
      </c>
      <c r="BD164" s="136" t="s">
        <v>178</v>
      </c>
      <c r="BE164" s="136" t="s">
        <v>518</v>
      </c>
      <c r="BF164" s="136" t="s">
        <v>226</v>
      </c>
      <c r="BG164" s="120" t="s">
        <v>678</v>
      </c>
      <c r="BH164" s="136" t="str">
        <f t="shared" si="105"/>
        <v>&lt;MTL</v>
      </c>
      <c r="BI164" s="136">
        <f t="shared" si="106"/>
        <v>-4.4957913000000002E-2</v>
      </c>
      <c r="BJ164" s="136" t="str">
        <f t="shared" si="107"/>
        <v>Nil</v>
      </c>
      <c r="BK164" s="136">
        <f t="shared" si="108"/>
        <v>0.05</v>
      </c>
      <c r="BL164" s="136" t="s">
        <v>736</v>
      </c>
      <c r="BM164" s="136" t="s">
        <v>175</v>
      </c>
      <c r="BN164" s="136" t="s">
        <v>175</v>
      </c>
      <c r="BO164" s="136" t="s">
        <v>736</v>
      </c>
      <c r="BP164" s="137" t="s">
        <v>175</v>
      </c>
      <c r="BQ164" s="137" t="s">
        <v>175</v>
      </c>
      <c r="BR164" s="137" t="s">
        <v>175</v>
      </c>
      <c r="BS164" s="137" t="s">
        <v>175</v>
      </c>
      <c r="BT164" s="138">
        <f t="shared" si="29"/>
        <v>-4.655042087</v>
      </c>
      <c r="BU164" s="138">
        <f t="shared" si="30"/>
        <v>0.54911201043138724</v>
      </c>
      <c r="BV164" s="138">
        <f t="shared" si="31"/>
        <v>0.54911201043138724</v>
      </c>
      <c r="BW164" s="53" t="s">
        <v>175</v>
      </c>
      <c r="BX164" s="53" t="s">
        <v>175</v>
      </c>
      <c r="BY164" s="53" t="s">
        <v>175</v>
      </c>
      <c r="BZ164" s="53" t="s">
        <v>175</v>
      </c>
      <c r="CA164" s="147">
        <v>1</v>
      </c>
      <c r="CB164" s="54">
        <v>0</v>
      </c>
    </row>
    <row r="165" spans="1:82" ht="17" customHeight="1">
      <c r="A165" s="123" t="s">
        <v>501</v>
      </c>
      <c r="B165" s="124" t="s">
        <v>402</v>
      </c>
      <c r="C165" s="148" t="s">
        <v>674</v>
      </c>
      <c r="D165" s="125" t="s">
        <v>742</v>
      </c>
      <c r="E165" s="127">
        <v>22.933</v>
      </c>
      <c r="F165" s="127">
        <v>113.35</v>
      </c>
      <c r="G165" s="128" t="s">
        <v>168</v>
      </c>
      <c r="H165" s="145">
        <v>7421.2776368064251</v>
      </c>
      <c r="I165" s="145">
        <v>172.31634248718257</v>
      </c>
      <c r="J165" s="129">
        <v>8225</v>
      </c>
      <c r="K165" s="129">
        <v>359</v>
      </c>
      <c r="L165" s="129">
        <v>350</v>
      </c>
      <c r="M165" s="149" t="s">
        <v>520</v>
      </c>
      <c r="N165" s="149" t="s">
        <v>735</v>
      </c>
      <c r="O165" s="130" t="s">
        <v>175</v>
      </c>
      <c r="P165" s="130" t="s">
        <v>175</v>
      </c>
      <c r="Q165" s="130" t="s">
        <v>377</v>
      </c>
      <c r="R165" s="131" t="s">
        <v>175</v>
      </c>
      <c r="S165" s="131" t="s">
        <v>175</v>
      </c>
      <c r="T165" s="130">
        <v>1</v>
      </c>
      <c r="U165" s="132" t="s">
        <v>173</v>
      </c>
      <c r="V165" s="133">
        <v>0.1</v>
      </c>
      <c r="W165" s="132" t="s">
        <v>174</v>
      </c>
      <c r="X165" s="133">
        <v>0.1</v>
      </c>
      <c r="Y165" s="133">
        <v>0.05</v>
      </c>
      <c r="Z165" s="133">
        <v>0.01</v>
      </c>
      <c r="AA165" s="133">
        <v>0.15</v>
      </c>
      <c r="AB165" s="133">
        <v>0.2</v>
      </c>
      <c r="AC165" s="134">
        <v>0</v>
      </c>
      <c r="AD165" s="134">
        <v>0</v>
      </c>
      <c r="AE165" s="134">
        <v>0.5</v>
      </c>
      <c r="AF165" s="134">
        <v>0</v>
      </c>
      <c r="AG165" s="134">
        <v>0.1</v>
      </c>
      <c r="AH165" s="134">
        <v>0</v>
      </c>
      <c r="AI165" s="134">
        <v>0</v>
      </c>
      <c r="AJ165" s="134">
        <v>0</v>
      </c>
      <c r="AK165" s="134" t="s">
        <v>175</v>
      </c>
      <c r="AL165" s="122" t="s">
        <v>175</v>
      </c>
      <c r="AM165" s="122">
        <v>-13.9</v>
      </c>
      <c r="AN165" s="134" t="s">
        <v>176</v>
      </c>
      <c r="AO165" s="122" t="s">
        <v>177</v>
      </c>
      <c r="AP165" s="135">
        <f t="shared" si="110"/>
        <v>0.57017541160593732</v>
      </c>
      <c r="AQ165" s="135">
        <f t="shared" si="111"/>
        <v>0.57017541160593732</v>
      </c>
      <c r="AR165" s="117">
        <v>-1.47502847</v>
      </c>
      <c r="AS165" s="117">
        <v>0</v>
      </c>
      <c r="AT165" s="117">
        <v>0</v>
      </c>
      <c r="AU165" s="117">
        <v>-0.96214361299999995</v>
      </c>
      <c r="AV165" s="117">
        <v>-0.63147089899999997</v>
      </c>
      <c r="AW165" s="117">
        <v>-4.4968632000000001E-2</v>
      </c>
      <c r="AX165" s="117">
        <v>0.52742302799999996</v>
      </c>
      <c r="AY165" s="117">
        <v>0.88631695600000004</v>
      </c>
      <c r="AZ165" s="117">
        <v>0</v>
      </c>
      <c r="BA165" s="117">
        <v>0</v>
      </c>
      <c r="BB165" s="117">
        <v>1.928843635</v>
      </c>
      <c r="BC165" s="136" t="str">
        <f t="shared" si="28"/>
        <v xml:space="preserve">-1 </v>
      </c>
      <c r="BD165" s="136" t="s">
        <v>178</v>
      </c>
      <c r="BE165" s="136" t="s">
        <v>694</v>
      </c>
      <c r="BF165" s="136" t="s">
        <v>513</v>
      </c>
      <c r="BG165" s="120" t="s">
        <v>665</v>
      </c>
      <c r="BH165" s="136" t="str">
        <f t="shared" si="105"/>
        <v>&lt;HAT</v>
      </c>
      <c r="BI165" s="136">
        <f t="shared" si="106"/>
        <v>1.928843635</v>
      </c>
      <c r="BJ165" s="136" t="str">
        <f t="shared" si="107"/>
        <v>Nil</v>
      </c>
      <c r="BK165" s="136">
        <f t="shared" si="108"/>
        <v>0.18</v>
      </c>
      <c r="BL165" s="136" t="s">
        <v>736</v>
      </c>
      <c r="BM165" s="136" t="s">
        <v>175</v>
      </c>
      <c r="BN165" s="136" t="s">
        <v>175</v>
      </c>
      <c r="BO165" s="136" t="s">
        <v>736</v>
      </c>
      <c r="BP165" s="137" t="s">
        <v>175</v>
      </c>
      <c r="BQ165" s="137" t="s">
        <v>175</v>
      </c>
      <c r="BR165" s="137" t="s">
        <v>175</v>
      </c>
      <c r="BS165" s="137" t="s">
        <v>175</v>
      </c>
      <c r="BT165" s="138">
        <f t="shared" si="29"/>
        <v>-15.828843635</v>
      </c>
      <c r="BU165" s="138">
        <f t="shared" si="30"/>
        <v>0.59791303715506994</v>
      </c>
      <c r="BV165" s="138">
        <f t="shared" si="31"/>
        <v>0.59791303715506994</v>
      </c>
      <c r="BW165" s="53" t="s">
        <v>175</v>
      </c>
      <c r="BX165" s="53" t="s">
        <v>175</v>
      </c>
      <c r="BY165" s="53" t="s">
        <v>175</v>
      </c>
      <c r="BZ165" s="53" t="s">
        <v>175</v>
      </c>
      <c r="CA165" s="147">
        <v>1</v>
      </c>
      <c r="CB165" s="54">
        <v>0</v>
      </c>
    </row>
    <row r="166" spans="1:82">
      <c r="A166" s="123" t="s">
        <v>394</v>
      </c>
      <c r="B166" s="124" t="s">
        <v>970</v>
      </c>
      <c r="C166" s="148" t="s">
        <v>674</v>
      </c>
      <c r="D166" s="125" t="s">
        <v>741</v>
      </c>
      <c r="E166" s="127">
        <v>22.6666666666667</v>
      </c>
      <c r="F166" s="127">
        <v>113.583333333333</v>
      </c>
      <c r="G166" s="128" t="s">
        <v>168</v>
      </c>
      <c r="H166" s="129">
        <v>1638.8105623511879</v>
      </c>
      <c r="I166" s="129">
        <v>128.31418117460044</v>
      </c>
      <c r="J166" s="129">
        <v>1530</v>
      </c>
      <c r="K166" s="129">
        <v>289</v>
      </c>
      <c r="L166" s="129">
        <v>230</v>
      </c>
      <c r="M166" s="130" t="s">
        <v>395</v>
      </c>
      <c r="N166" s="149" t="s">
        <v>735</v>
      </c>
      <c r="O166" s="130" t="s">
        <v>175</v>
      </c>
      <c r="P166" s="130" t="s">
        <v>396</v>
      </c>
      <c r="Q166" s="130" t="s">
        <v>377</v>
      </c>
      <c r="R166" s="131">
        <v>4.3</v>
      </c>
      <c r="S166" s="131">
        <v>11.4</v>
      </c>
      <c r="T166" s="130">
        <v>1</v>
      </c>
      <c r="U166" s="132" t="s">
        <v>173</v>
      </c>
      <c r="V166" s="133">
        <v>0.1</v>
      </c>
      <c r="W166" s="132" t="s">
        <v>174</v>
      </c>
      <c r="X166" s="133">
        <v>0.1</v>
      </c>
      <c r="Y166" s="133">
        <v>0.05</v>
      </c>
      <c r="Z166" s="133">
        <v>0.01</v>
      </c>
      <c r="AA166" s="133">
        <v>0.15</v>
      </c>
      <c r="AB166" s="133">
        <f>0.02*R166</f>
        <v>8.5999999999999993E-2</v>
      </c>
      <c r="AC166" s="134">
        <v>0</v>
      </c>
      <c r="AD166" s="134">
        <v>0</v>
      </c>
      <c r="AE166" s="134">
        <v>0.5</v>
      </c>
      <c r="AF166" s="134">
        <v>0</v>
      </c>
      <c r="AG166" s="134">
        <v>0.1</v>
      </c>
      <c r="AH166" s="134">
        <v>0</v>
      </c>
      <c r="AI166" s="134">
        <v>0</v>
      </c>
      <c r="AJ166" s="134">
        <v>0</v>
      </c>
      <c r="AK166" s="134" t="s">
        <v>175</v>
      </c>
      <c r="AL166" s="122" t="s">
        <v>175</v>
      </c>
      <c r="AM166" s="122">
        <v>-4.3</v>
      </c>
      <c r="AN166" s="134" t="s">
        <v>176</v>
      </c>
      <c r="AO166" s="122" t="s">
        <v>177</v>
      </c>
      <c r="AP166" s="135">
        <f t="shared" si="110"/>
        <v>0.54082899330564738</v>
      </c>
      <c r="AQ166" s="135">
        <f t="shared" si="111"/>
        <v>0.54082899330564738</v>
      </c>
      <c r="AR166" s="117">
        <v>-3.1634049320000002</v>
      </c>
      <c r="AS166" s="117">
        <v>0</v>
      </c>
      <c r="AT166" s="117">
        <v>0</v>
      </c>
      <c r="AU166" s="117">
        <v>-1.321134977</v>
      </c>
      <c r="AV166" s="117">
        <v>-0.710567489</v>
      </c>
      <c r="AW166" s="117">
        <v>-3.4858128000000002E-2</v>
      </c>
      <c r="AX166" s="117">
        <v>0.67113497700000002</v>
      </c>
      <c r="AY166" s="117">
        <v>1.221134977</v>
      </c>
      <c r="AZ166" s="117">
        <v>0</v>
      </c>
      <c r="BA166" s="117">
        <v>0</v>
      </c>
      <c r="BB166" s="117">
        <v>1.6992899889999999</v>
      </c>
      <c r="BC166" s="136" t="str">
        <f t="shared" si="28"/>
        <v>-1</v>
      </c>
      <c r="BD166" s="136" t="s">
        <v>178</v>
      </c>
      <c r="BE166" s="136" t="s">
        <v>518</v>
      </c>
      <c r="BF166" s="136" t="s">
        <v>292</v>
      </c>
      <c r="BG166" s="120" t="s">
        <v>678</v>
      </c>
      <c r="BH166" s="136" t="str">
        <f t="shared" si="105"/>
        <v>&lt;MTL</v>
      </c>
      <c r="BI166" s="136">
        <f t="shared" si="106"/>
        <v>-3.4858128000000002E-2</v>
      </c>
      <c r="BJ166" s="136" t="str">
        <f t="shared" si="107"/>
        <v>Nil</v>
      </c>
      <c r="BK166" s="136">
        <f t="shared" si="108"/>
        <v>0.05</v>
      </c>
      <c r="BL166" s="136" t="s">
        <v>736</v>
      </c>
      <c r="BM166" s="136" t="s">
        <v>175</v>
      </c>
      <c r="BN166" s="136" t="s">
        <v>175</v>
      </c>
      <c r="BO166" s="136" t="s">
        <v>736</v>
      </c>
      <c r="BP166" s="137" t="s">
        <v>175</v>
      </c>
      <c r="BQ166" s="137" t="s">
        <v>175</v>
      </c>
      <c r="BR166" s="137" t="s">
        <v>175</v>
      </c>
      <c r="BS166" s="137" t="s">
        <v>175</v>
      </c>
      <c r="BT166" s="138">
        <f t="shared" si="29"/>
        <v>-4.2651418720000001</v>
      </c>
      <c r="BU166" s="138">
        <f t="shared" si="30"/>
        <v>0.54313534224905669</v>
      </c>
      <c r="BV166" s="138">
        <f t="shared" si="31"/>
        <v>0.54313534224905669</v>
      </c>
      <c r="BW166" s="53" t="s">
        <v>175</v>
      </c>
      <c r="BX166" s="53" t="s">
        <v>175</v>
      </c>
      <c r="BY166" s="53" t="s">
        <v>175</v>
      </c>
      <c r="BZ166" s="53" t="s">
        <v>175</v>
      </c>
      <c r="CA166" s="147">
        <v>1</v>
      </c>
      <c r="CB166" s="54">
        <v>0</v>
      </c>
    </row>
    <row r="167" spans="1:82">
      <c r="A167" s="123" t="s">
        <v>390</v>
      </c>
      <c r="B167" s="124" t="s">
        <v>969</v>
      </c>
      <c r="C167" s="148" t="s">
        <v>674</v>
      </c>
      <c r="D167" s="125" t="s">
        <v>741</v>
      </c>
      <c r="E167" s="127">
        <v>22.3</v>
      </c>
      <c r="F167" s="127">
        <v>113.55</v>
      </c>
      <c r="G167" s="128" t="s">
        <v>168</v>
      </c>
      <c r="H167" s="129">
        <v>1548.8105623511901</v>
      </c>
      <c r="I167" s="129">
        <v>134.77584757851901</v>
      </c>
      <c r="J167" s="129">
        <v>1452</v>
      </c>
      <c r="K167" s="129">
        <v>272</v>
      </c>
      <c r="L167" s="129">
        <v>275</v>
      </c>
      <c r="M167" s="130" t="s">
        <v>391</v>
      </c>
      <c r="N167" s="149" t="s">
        <v>735</v>
      </c>
      <c r="O167" s="130" t="s">
        <v>392</v>
      </c>
      <c r="P167" s="130" t="s">
        <v>393</v>
      </c>
      <c r="Q167" s="130" t="s">
        <v>377</v>
      </c>
      <c r="R167" s="131">
        <v>2.6</v>
      </c>
      <c r="S167" s="131">
        <v>6.1</v>
      </c>
      <c r="T167" s="130">
        <v>1</v>
      </c>
      <c r="U167" s="132" t="s">
        <v>173</v>
      </c>
      <c r="V167" s="133">
        <v>0.1</v>
      </c>
      <c r="W167" s="132" t="s">
        <v>174</v>
      </c>
      <c r="X167" s="133">
        <v>0.1</v>
      </c>
      <c r="Y167" s="133">
        <v>0.05</v>
      </c>
      <c r="Z167" s="133">
        <v>0.01</v>
      </c>
      <c r="AA167" s="133">
        <v>0.15</v>
      </c>
      <c r="AB167" s="133">
        <f>0.02*R167</f>
        <v>5.2000000000000005E-2</v>
      </c>
      <c r="AC167" s="134">
        <v>0</v>
      </c>
      <c r="AD167" s="134">
        <v>0</v>
      </c>
      <c r="AE167" s="134">
        <v>0.5</v>
      </c>
      <c r="AF167" s="134">
        <v>0</v>
      </c>
      <c r="AG167" s="134">
        <v>0.1</v>
      </c>
      <c r="AH167" s="134">
        <v>0</v>
      </c>
      <c r="AI167" s="134">
        <v>0</v>
      </c>
      <c r="AJ167" s="134">
        <v>0</v>
      </c>
      <c r="AK167" s="134" t="s">
        <v>175</v>
      </c>
      <c r="AL167" s="122" t="s">
        <v>175</v>
      </c>
      <c r="AM167" s="122">
        <v>-1.4</v>
      </c>
      <c r="AN167" s="134" t="s">
        <v>176</v>
      </c>
      <c r="AO167" s="122" t="s">
        <v>177</v>
      </c>
      <c r="AP167" s="135">
        <f t="shared" si="110"/>
        <v>0.53647367130177037</v>
      </c>
      <c r="AQ167" s="135">
        <f t="shared" si="111"/>
        <v>0.53647367130177037</v>
      </c>
      <c r="AR167" s="117">
        <v>-1.7802990110000001</v>
      </c>
      <c r="AS167" s="117">
        <v>0</v>
      </c>
      <c r="AT167" s="117">
        <v>0</v>
      </c>
      <c r="AU167" s="117">
        <v>-1.0021889989999999</v>
      </c>
      <c r="AV167" s="117">
        <v>-0.59671650200000004</v>
      </c>
      <c r="AW167" s="117">
        <v>-2.5820875E-2</v>
      </c>
      <c r="AX167" s="117">
        <v>0.49781100099999998</v>
      </c>
      <c r="AY167" s="117">
        <v>0.99781100099999998</v>
      </c>
      <c r="AZ167" s="117">
        <v>0</v>
      </c>
      <c r="BA167" s="117">
        <v>0</v>
      </c>
      <c r="BB167" s="117">
        <v>1.4197009890000001</v>
      </c>
      <c r="BC167" s="136" t="str">
        <f t="shared" si="28"/>
        <v xml:space="preserve">-1 </v>
      </c>
      <c r="BD167" s="136" t="s">
        <v>178</v>
      </c>
      <c r="BE167" s="136" t="s">
        <v>853</v>
      </c>
      <c r="BF167" s="136" t="s">
        <v>263</v>
      </c>
      <c r="BG167" s="120" t="s">
        <v>665</v>
      </c>
      <c r="BH167" s="136" t="str">
        <f t="shared" si="105"/>
        <v>&lt;HAT</v>
      </c>
      <c r="BI167" s="136">
        <f t="shared" si="106"/>
        <v>1.4197009890000001</v>
      </c>
      <c r="BJ167" s="136" t="str">
        <f t="shared" si="107"/>
        <v>Nil</v>
      </c>
      <c r="BK167" s="136">
        <f t="shared" si="108"/>
        <v>0.18</v>
      </c>
      <c r="BL167" s="136" t="s">
        <v>736</v>
      </c>
      <c r="BM167" s="136" t="s">
        <v>175</v>
      </c>
      <c r="BN167" s="136" t="s">
        <v>175</v>
      </c>
      <c r="BO167" s="136" t="s">
        <v>736</v>
      </c>
      <c r="BP167" s="137" t="s">
        <v>175</v>
      </c>
      <c r="BQ167" s="137" t="s">
        <v>175</v>
      </c>
      <c r="BR167" s="137" t="s">
        <v>175</v>
      </c>
      <c r="BS167" s="137" t="s">
        <v>175</v>
      </c>
      <c r="BT167" s="138">
        <f t="shared" si="29"/>
        <v>-2.8197009890000002</v>
      </c>
      <c r="BU167" s="138">
        <f t="shared" si="30"/>
        <v>0.56586570845033535</v>
      </c>
      <c r="BV167" s="138">
        <f t="shared" si="31"/>
        <v>0.56586570845033535</v>
      </c>
      <c r="BW167" s="53" t="s">
        <v>175</v>
      </c>
      <c r="BX167" s="53" t="s">
        <v>175</v>
      </c>
      <c r="BY167" s="53" t="s">
        <v>175</v>
      </c>
      <c r="BZ167" s="53" t="s">
        <v>175</v>
      </c>
      <c r="CA167" s="147">
        <v>2</v>
      </c>
      <c r="CB167" s="54">
        <v>0</v>
      </c>
    </row>
    <row r="168" spans="1:82">
      <c r="A168" s="123" t="s">
        <v>593</v>
      </c>
      <c r="B168" s="124" t="s">
        <v>982</v>
      </c>
      <c r="C168" s="148" t="s">
        <v>674</v>
      </c>
      <c r="D168" s="126" t="s">
        <v>741</v>
      </c>
      <c r="E168" s="127">
        <v>22.7055556</v>
      </c>
      <c r="F168" s="127">
        <v>113.5138889</v>
      </c>
      <c r="G168" s="128" t="s">
        <v>168</v>
      </c>
      <c r="H168" s="145">
        <v>1175</v>
      </c>
      <c r="I168" s="145">
        <v>105.30432089900205</v>
      </c>
      <c r="J168" s="129">
        <v>1094</v>
      </c>
      <c r="K168" s="129">
        <v>205</v>
      </c>
      <c r="L168" s="129">
        <v>258</v>
      </c>
      <c r="M168" s="149" t="s">
        <v>594</v>
      </c>
      <c r="N168" s="149" t="s">
        <v>735</v>
      </c>
      <c r="O168" s="149" t="s">
        <v>595</v>
      </c>
      <c r="P168" s="149" t="s">
        <v>596</v>
      </c>
      <c r="Q168" s="130" t="s">
        <v>172</v>
      </c>
      <c r="R168" s="131">
        <v>2.4</v>
      </c>
      <c r="S168" s="131" t="s">
        <v>175</v>
      </c>
      <c r="T168" s="130">
        <v>1</v>
      </c>
      <c r="U168" s="132" t="s">
        <v>173</v>
      </c>
      <c r="V168" s="133">
        <v>0.05</v>
      </c>
      <c r="W168" s="132" t="s">
        <v>174</v>
      </c>
      <c r="X168" s="133">
        <v>0.05</v>
      </c>
      <c r="Y168" s="133">
        <v>2.5000000000000001E-2</v>
      </c>
      <c r="Z168" s="133">
        <v>0.01</v>
      </c>
      <c r="AA168" s="133">
        <v>0.05</v>
      </c>
      <c r="AB168" s="133">
        <v>0</v>
      </c>
      <c r="AC168" s="134">
        <v>0</v>
      </c>
      <c r="AD168" s="134">
        <v>0</v>
      </c>
      <c r="AE168" s="134">
        <v>0.5</v>
      </c>
      <c r="AF168" s="134">
        <v>0</v>
      </c>
      <c r="AG168" s="134">
        <v>0.1</v>
      </c>
      <c r="AH168" s="134">
        <v>0</v>
      </c>
      <c r="AI168" s="134">
        <v>0</v>
      </c>
      <c r="AJ168" s="134">
        <v>0</v>
      </c>
      <c r="AK168" s="134" t="s">
        <v>175</v>
      </c>
      <c r="AL168" s="122" t="s">
        <v>175</v>
      </c>
      <c r="AM168" s="122">
        <v>-1.9</v>
      </c>
      <c r="AN168" s="134" t="s">
        <v>176</v>
      </c>
      <c r="AO168" s="122" t="s">
        <v>177</v>
      </c>
      <c r="AP168" s="135">
        <f t="shared" si="110"/>
        <v>0.51305457799341381</v>
      </c>
      <c r="AQ168" s="135">
        <f t="shared" si="111"/>
        <v>0.51305457799341381</v>
      </c>
      <c r="AR168" s="117">
        <v>-3.2280752979999998</v>
      </c>
      <c r="AS168" s="117">
        <v>0</v>
      </c>
      <c r="AT168" s="117">
        <v>0</v>
      </c>
      <c r="AU168" s="117">
        <v>-1.342691766</v>
      </c>
      <c r="AV168" s="117">
        <v>-0.72134588300000002</v>
      </c>
      <c r="AW168" s="117">
        <v>-3.2163529000000003E-2</v>
      </c>
      <c r="AX168" s="117">
        <v>0.69269176600000004</v>
      </c>
      <c r="AY168" s="117">
        <v>1.2426917660000001</v>
      </c>
      <c r="AZ168" s="117">
        <v>0</v>
      </c>
      <c r="BA168" s="117">
        <v>0</v>
      </c>
      <c r="BB168" s="117">
        <v>1.6796558210000001</v>
      </c>
      <c r="BC168" s="136" t="str">
        <f t="shared" si="28"/>
        <v>-1</v>
      </c>
      <c r="BD168" s="136" t="s">
        <v>178</v>
      </c>
      <c r="BE168" s="136" t="s">
        <v>673</v>
      </c>
      <c r="BF168" s="136" t="s">
        <v>563</v>
      </c>
      <c r="BG168" s="120" t="s">
        <v>678</v>
      </c>
      <c r="BH168" s="136" t="str">
        <f t="shared" si="105"/>
        <v>&lt;MTL</v>
      </c>
      <c r="BI168" s="136">
        <f t="shared" si="106"/>
        <v>-3.2163529000000003E-2</v>
      </c>
      <c r="BJ168" s="136" t="str">
        <f t="shared" si="107"/>
        <v>Nil</v>
      </c>
      <c r="BK168" s="136">
        <f t="shared" si="108"/>
        <v>0.05</v>
      </c>
      <c r="BL168" s="136" t="s">
        <v>736</v>
      </c>
      <c r="BM168" s="136" t="s">
        <v>175</v>
      </c>
      <c r="BN168" s="136" t="s">
        <v>175</v>
      </c>
      <c r="BO168" s="136" t="s">
        <v>736</v>
      </c>
      <c r="BP168" s="137" t="s">
        <v>175</v>
      </c>
      <c r="BQ168" s="137" t="s">
        <v>175</v>
      </c>
      <c r="BR168" s="137" t="s">
        <v>175</v>
      </c>
      <c r="BS168" s="137" t="s">
        <v>175</v>
      </c>
      <c r="BT168" s="138">
        <f t="shared" si="29"/>
        <v>-1.8678364709999999</v>
      </c>
      <c r="BU168" s="138">
        <f t="shared" si="30"/>
        <v>0.51548520832318745</v>
      </c>
      <c r="BV168" s="138">
        <f t="shared" si="31"/>
        <v>0.51548520832318745</v>
      </c>
      <c r="BW168" s="53" t="s">
        <v>175</v>
      </c>
      <c r="BX168" s="53" t="s">
        <v>175</v>
      </c>
      <c r="BY168" s="53" t="s">
        <v>175</v>
      </c>
      <c r="BZ168" s="53" t="s">
        <v>175</v>
      </c>
      <c r="CA168" s="147">
        <v>2</v>
      </c>
      <c r="CB168" s="54">
        <v>0</v>
      </c>
      <c r="CD168" s="54" t="s">
        <v>995</v>
      </c>
    </row>
    <row r="169" spans="1:82">
      <c r="A169" s="123" t="s">
        <v>597</v>
      </c>
      <c r="B169" s="124" t="s">
        <v>982</v>
      </c>
      <c r="C169" s="148" t="s">
        <v>674</v>
      </c>
      <c r="D169" s="126" t="s">
        <v>741</v>
      </c>
      <c r="E169" s="127">
        <v>22.7055556</v>
      </c>
      <c r="F169" s="127">
        <v>113.5138889</v>
      </c>
      <c r="G169" s="128" t="s">
        <v>168</v>
      </c>
      <c r="H169" s="145">
        <v>1817</v>
      </c>
      <c r="I169" s="145">
        <v>104.12012293500234</v>
      </c>
      <c r="J169" s="129">
        <v>1721</v>
      </c>
      <c r="K169" s="129">
        <v>270</v>
      </c>
      <c r="L169" s="129">
        <v>299</v>
      </c>
      <c r="M169" s="149" t="s">
        <v>594</v>
      </c>
      <c r="N169" s="149" t="s">
        <v>735</v>
      </c>
      <c r="O169" s="149" t="s">
        <v>595</v>
      </c>
      <c r="P169" s="149" t="s">
        <v>596</v>
      </c>
      <c r="Q169" s="130" t="s">
        <v>172</v>
      </c>
      <c r="R169" s="131">
        <v>6.8</v>
      </c>
      <c r="S169" s="131" t="s">
        <v>175</v>
      </c>
      <c r="T169" s="130">
        <v>1</v>
      </c>
      <c r="U169" s="132" t="s">
        <v>173</v>
      </c>
      <c r="V169" s="133">
        <v>0.05</v>
      </c>
      <c r="W169" s="132" t="s">
        <v>174</v>
      </c>
      <c r="X169" s="133">
        <v>0.05</v>
      </c>
      <c r="Y169" s="133">
        <v>2.5000000000000001E-2</v>
      </c>
      <c r="Z169" s="133">
        <v>0.01</v>
      </c>
      <c r="AA169" s="133">
        <v>0.05</v>
      </c>
      <c r="AB169" s="133">
        <v>0</v>
      </c>
      <c r="AC169" s="134">
        <v>0</v>
      </c>
      <c r="AD169" s="134">
        <v>0</v>
      </c>
      <c r="AE169" s="134">
        <v>0.5</v>
      </c>
      <c r="AF169" s="134">
        <v>0</v>
      </c>
      <c r="AG169" s="134">
        <v>0.1</v>
      </c>
      <c r="AH169" s="134">
        <v>0</v>
      </c>
      <c r="AI169" s="134">
        <v>0</v>
      </c>
      <c r="AJ169" s="134">
        <v>0</v>
      </c>
      <c r="AK169" s="134" t="s">
        <v>175</v>
      </c>
      <c r="AL169" s="122" t="s">
        <v>175</v>
      </c>
      <c r="AM169" s="122">
        <v>-6.3</v>
      </c>
      <c r="AN169" s="134" t="s">
        <v>176</v>
      </c>
      <c r="AO169" s="122" t="s">
        <v>177</v>
      </c>
      <c r="AP169" s="135">
        <f t="shared" si="110"/>
        <v>0.51305457799341381</v>
      </c>
      <c r="AQ169" s="135">
        <f t="shared" si="111"/>
        <v>0.51305457799341381</v>
      </c>
      <c r="AR169" s="117">
        <v>-3.2280752979999998</v>
      </c>
      <c r="AS169" s="117">
        <v>0</v>
      </c>
      <c r="AT169" s="117">
        <v>0</v>
      </c>
      <c r="AU169" s="117">
        <v>-1.342691766</v>
      </c>
      <c r="AV169" s="117">
        <v>-0.72134588300000002</v>
      </c>
      <c r="AW169" s="117">
        <v>-3.2163529000000003E-2</v>
      </c>
      <c r="AX169" s="117">
        <v>0.69269176600000004</v>
      </c>
      <c r="AY169" s="117">
        <v>1.2426917660000001</v>
      </c>
      <c r="AZ169" s="117">
        <v>0</v>
      </c>
      <c r="BA169" s="117">
        <v>0</v>
      </c>
      <c r="BB169" s="117">
        <v>1.6796558210000001</v>
      </c>
      <c r="BC169" s="136" t="str">
        <f t="shared" si="28"/>
        <v>-1</v>
      </c>
      <c r="BD169" s="136" t="s">
        <v>178</v>
      </c>
      <c r="BE169" s="136" t="s">
        <v>673</v>
      </c>
      <c r="BF169" s="136" t="s">
        <v>563</v>
      </c>
      <c r="BG169" s="120" t="s">
        <v>678</v>
      </c>
      <c r="BH169" s="136" t="str">
        <f t="shared" si="105"/>
        <v>&lt;MTL</v>
      </c>
      <c r="BI169" s="136">
        <f t="shared" si="106"/>
        <v>-3.2163529000000003E-2</v>
      </c>
      <c r="BJ169" s="136" t="str">
        <f t="shared" si="107"/>
        <v>Nil</v>
      </c>
      <c r="BK169" s="136">
        <f t="shared" si="108"/>
        <v>0.05</v>
      </c>
      <c r="BL169" s="136" t="s">
        <v>736</v>
      </c>
      <c r="BM169" s="136" t="s">
        <v>175</v>
      </c>
      <c r="BN169" s="136" t="s">
        <v>175</v>
      </c>
      <c r="BO169" s="136" t="s">
        <v>736</v>
      </c>
      <c r="BP169" s="137" t="s">
        <v>175</v>
      </c>
      <c r="BQ169" s="137" t="s">
        <v>175</v>
      </c>
      <c r="BR169" s="137" t="s">
        <v>175</v>
      </c>
      <c r="BS169" s="137" t="s">
        <v>175</v>
      </c>
      <c r="BT169" s="138">
        <f t="shared" si="29"/>
        <v>-6.2678364709999999</v>
      </c>
      <c r="BU169" s="138">
        <f t="shared" si="30"/>
        <v>0.51548520832318745</v>
      </c>
      <c r="BV169" s="138">
        <f t="shared" si="31"/>
        <v>0.51548520832318745</v>
      </c>
      <c r="BW169" s="53" t="s">
        <v>175</v>
      </c>
      <c r="BX169" s="53" t="s">
        <v>175</v>
      </c>
      <c r="BY169" s="53" t="s">
        <v>175</v>
      </c>
      <c r="BZ169" s="53" t="s">
        <v>175</v>
      </c>
      <c r="CA169" s="147">
        <v>2</v>
      </c>
      <c r="CB169" s="54">
        <v>0</v>
      </c>
      <c r="CD169" s="54" t="s">
        <v>995</v>
      </c>
    </row>
    <row r="170" spans="1:82">
      <c r="A170" s="123" t="s">
        <v>598</v>
      </c>
      <c r="B170" s="124" t="s">
        <v>982</v>
      </c>
      <c r="C170" s="148" t="s">
        <v>674</v>
      </c>
      <c r="D170" s="126" t="s">
        <v>741</v>
      </c>
      <c r="E170" s="127">
        <v>22.7055556</v>
      </c>
      <c r="F170" s="127">
        <v>113.5138889</v>
      </c>
      <c r="G170" s="128" t="s">
        <v>168</v>
      </c>
      <c r="H170" s="145">
        <v>2452</v>
      </c>
      <c r="I170" s="145">
        <v>107.70329614269008</v>
      </c>
      <c r="J170" s="129">
        <v>2531</v>
      </c>
      <c r="K170" s="129">
        <v>227</v>
      </c>
      <c r="L170" s="129">
        <v>347</v>
      </c>
      <c r="M170" s="149" t="s">
        <v>594</v>
      </c>
      <c r="N170" s="149" t="s">
        <v>735</v>
      </c>
      <c r="O170" s="149" t="s">
        <v>595</v>
      </c>
      <c r="P170" s="149" t="s">
        <v>596</v>
      </c>
      <c r="Q170" s="130" t="s">
        <v>172</v>
      </c>
      <c r="R170" s="131">
        <v>10.5</v>
      </c>
      <c r="S170" s="131" t="s">
        <v>175</v>
      </c>
      <c r="T170" s="130">
        <v>1</v>
      </c>
      <c r="U170" s="132" t="s">
        <v>173</v>
      </c>
      <c r="V170" s="133">
        <v>0.05</v>
      </c>
      <c r="W170" s="132" t="s">
        <v>174</v>
      </c>
      <c r="X170" s="133">
        <v>0.05</v>
      </c>
      <c r="Y170" s="133">
        <v>2.5000000000000001E-2</v>
      </c>
      <c r="Z170" s="133">
        <v>0.01</v>
      </c>
      <c r="AA170" s="133">
        <v>0.05</v>
      </c>
      <c r="AB170" s="133">
        <v>0</v>
      </c>
      <c r="AC170" s="134">
        <v>0</v>
      </c>
      <c r="AD170" s="134">
        <v>0</v>
      </c>
      <c r="AE170" s="134">
        <v>0.5</v>
      </c>
      <c r="AF170" s="134">
        <v>0</v>
      </c>
      <c r="AG170" s="134">
        <v>0.1</v>
      </c>
      <c r="AH170" s="134">
        <v>0</v>
      </c>
      <c r="AI170" s="134">
        <v>0</v>
      </c>
      <c r="AJ170" s="134">
        <v>0</v>
      </c>
      <c r="AK170" s="134" t="s">
        <v>175</v>
      </c>
      <c r="AL170" s="122" t="s">
        <v>175</v>
      </c>
      <c r="AM170" s="122">
        <v>-10</v>
      </c>
      <c r="AN170" s="134" t="s">
        <v>176</v>
      </c>
      <c r="AO170" s="122" t="s">
        <v>177</v>
      </c>
      <c r="AP170" s="135">
        <f t="shared" si="110"/>
        <v>0.51305457799341381</v>
      </c>
      <c r="AQ170" s="135">
        <f t="shared" si="111"/>
        <v>0.51305457799341381</v>
      </c>
      <c r="AR170" s="117">
        <v>-3.2280752979999998</v>
      </c>
      <c r="AS170" s="117">
        <v>0</v>
      </c>
      <c r="AT170" s="117">
        <v>0</v>
      </c>
      <c r="AU170" s="117">
        <v>-1.342691766</v>
      </c>
      <c r="AV170" s="117">
        <v>-0.72134588300000002</v>
      </c>
      <c r="AW170" s="117">
        <v>-3.2163529000000003E-2</v>
      </c>
      <c r="AX170" s="117">
        <v>0.69269176600000004</v>
      </c>
      <c r="AY170" s="117">
        <v>1.2426917660000001</v>
      </c>
      <c r="AZ170" s="117">
        <v>0</v>
      </c>
      <c r="BA170" s="117">
        <v>0</v>
      </c>
      <c r="BB170" s="117">
        <v>1.6796558210000001</v>
      </c>
      <c r="BC170" s="136" t="str">
        <f t="shared" si="28"/>
        <v>-1</v>
      </c>
      <c r="BD170" s="136" t="s">
        <v>178</v>
      </c>
      <c r="BE170" s="136" t="s">
        <v>518</v>
      </c>
      <c r="BF170" s="136" t="s">
        <v>563</v>
      </c>
      <c r="BG170" s="120" t="s">
        <v>678</v>
      </c>
      <c r="BH170" s="136" t="str">
        <f t="shared" si="105"/>
        <v>&lt;MTL</v>
      </c>
      <c r="BI170" s="136">
        <f t="shared" si="106"/>
        <v>-3.2163529000000003E-2</v>
      </c>
      <c r="BJ170" s="136" t="str">
        <f t="shared" si="107"/>
        <v>Nil</v>
      </c>
      <c r="BK170" s="136">
        <f t="shared" si="108"/>
        <v>0.05</v>
      </c>
      <c r="BL170" s="136" t="s">
        <v>736</v>
      </c>
      <c r="BM170" s="136" t="s">
        <v>175</v>
      </c>
      <c r="BN170" s="136" t="s">
        <v>175</v>
      </c>
      <c r="BO170" s="136" t="s">
        <v>736</v>
      </c>
      <c r="BP170" s="137" t="s">
        <v>175</v>
      </c>
      <c r="BQ170" s="137" t="s">
        <v>175</v>
      </c>
      <c r="BR170" s="137" t="s">
        <v>175</v>
      </c>
      <c r="BS170" s="137" t="s">
        <v>175</v>
      </c>
      <c r="BT170" s="138">
        <f t="shared" si="29"/>
        <v>-9.967836471</v>
      </c>
      <c r="BU170" s="138">
        <f t="shared" si="30"/>
        <v>0.51548520832318745</v>
      </c>
      <c r="BV170" s="138">
        <f t="shared" si="31"/>
        <v>0.51548520832318745</v>
      </c>
      <c r="BW170" s="53" t="s">
        <v>175</v>
      </c>
      <c r="BX170" s="53" t="s">
        <v>175</v>
      </c>
      <c r="BY170" s="53" t="s">
        <v>175</v>
      </c>
      <c r="BZ170" s="53" t="s">
        <v>175</v>
      </c>
      <c r="CA170" s="147">
        <v>2</v>
      </c>
      <c r="CB170" s="54">
        <v>0</v>
      </c>
      <c r="CD170" s="54" t="s">
        <v>995</v>
      </c>
    </row>
    <row r="171" spans="1:82">
      <c r="A171" s="123" t="s">
        <v>599</v>
      </c>
      <c r="B171" s="124" t="s">
        <v>982</v>
      </c>
      <c r="C171" s="148" t="s">
        <v>674</v>
      </c>
      <c r="D171" s="126" t="s">
        <v>741</v>
      </c>
      <c r="E171" s="127">
        <v>22.7055556</v>
      </c>
      <c r="F171" s="127">
        <v>113.5138889</v>
      </c>
      <c r="G171" s="128" t="s">
        <v>168</v>
      </c>
      <c r="H171" s="145">
        <v>3698</v>
      </c>
      <c r="I171" s="145">
        <v>103.84603988597736</v>
      </c>
      <c r="J171" s="129">
        <v>4045</v>
      </c>
      <c r="K171" s="129">
        <v>358</v>
      </c>
      <c r="L171" s="129">
        <v>318</v>
      </c>
      <c r="M171" s="149" t="s">
        <v>596</v>
      </c>
      <c r="N171" s="149" t="s">
        <v>735</v>
      </c>
      <c r="O171" s="130" t="s">
        <v>594</v>
      </c>
      <c r="P171" s="130" t="s">
        <v>175</v>
      </c>
      <c r="Q171" s="130" t="s">
        <v>172</v>
      </c>
      <c r="R171" s="131">
        <v>12.8</v>
      </c>
      <c r="S171" s="131" t="s">
        <v>175</v>
      </c>
      <c r="T171" s="130">
        <v>1</v>
      </c>
      <c r="U171" s="132" t="s">
        <v>173</v>
      </c>
      <c r="V171" s="133">
        <v>0.05</v>
      </c>
      <c r="W171" s="132" t="s">
        <v>174</v>
      </c>
      <c r="X171" s="133">
        <v>0.05</v>
      </c>
      <c r="Y171" s="133">
        <v>2.5000000000000001E-2</v>
      </c>
      <c r="Z171" s="133">
        <v>0.01</v>
      </c>
      <c r="AA171" s="133">
        <v>0.05</v>
      </c>
      <c r="AB171" s="133">
        <v>0</v>
      </c>
      <c r="AC171" s="134">
        <v>0</v>
      </c>
      <c r="AD171" s="134">
        <v>0</v>
      </c>
      <c r="AE171" s="134">
        <v>0.5</v>
      </c>
      <c r="AF171" s="134">
        <v>0</v>
      </c>
      <c r="AG171" s="134">
        <v>0.1</v>
      </c>
      <c r="AH171" s="134">
        <v>0</v>
      </c>
      <c r="AI171" s="134">
        <v>0</v>
      </c>
      <c r="AJ171" s="134">
        <v>0</v>
      </c>
      <c r="AK171" s="134" t="s">
        <v>175</v>
      </c>
      <c r="AL171" s="122" t="s">
        <v>175</v>
      </c>
      <c r="AM171" s="122">
        <v>-12.3</v>
      </c>
      <c r="AN171" s="134" t="s">
        <v>176</v>
      </c>
      <c r="AO171" s="122" t="s">
        <v>177</v>
      </c>
      <c r="AP171" s="135">
        <f t="shared" si="110"/>
        <v>0.51305457799341381</v>
      </c>
      <c r="AQ171" s="135">
        <f t="shared" si="111"/>
        <v>0.51305457799341381</v>
      </c>
      <c r="AR171" s="117">
        <v>-3.2280752979999998</v>
      </c>
      <c r="AS171" s="117">
        <v>0</v>
      </c>
      <c r="AT171" s="117">
        <v>0</v>
      </c>
      <c r="AU171" s="117">
        <v>-1.342691766</v>
      </c>
      <c r="AV171" s="117">
        <v>-0.72134588300000002</v>
      </c>
      <c r="AW171" s="117">
        <v>-3.2163529000000003E-2</v>
      </c>
      <c r="AX171" s="117">
        <v>0.69269176600000004</v>
      </c>
      <c r="AY171" s="117">
        <v>1.2426917660000001</v>
      </c>
      <c r="AZ171" s="117">
        <v>0</v>
      </c>
      <c r="BA171" s="117">
        <v>0</v>
      </c>
      <c r="BB171" s="117">
        <v>2.3426917660000002</v>
      </c>
      <c r="BC171" s="136" t="str">
        <f t="shared" si="28"/>
        <v>-1</v>
      </c>
      <c r="BD171" s="136" t="s">
        <v>178</v>
      </c>
      <c r="BE171" s="136" t="s">
        <v>518</v>
      </c>
      <c r="BF171" s="136" t="s">
        <v>563</v>
      </c>
      <c r="BG171" s="120" t="s">
        <v>678</v>
      </c>
      <c r="BH171" s="136" t="str">
        <f t="shared" si="105"/>
        <v>&lt;MTL</v>
      </c>
      <c r="BI171" s="136">
        <f t="shared" si="106"/>
        <v>-3.2163529000000003E-2</v>
      </c>
      <c r="BJ171" s="136" t="str">
        <f t="shared" si="107"/>
        <v>Nil</v>
      </c>
      <c r="BK171" s="136">
        <f t="shared" si="108"/>
        <v>0.05</v>
      </c>
      <c r="BL171" s="136" t="s">
        <v>736</v>
      </c>
      <c r="BM171" s="136" t="s">
        <v>175</v>
      </c>
      <c r="BN171" s="136" t="s">
        <v>175</v>
      </c>
      <c r="BO171" s="136" t="s">
        <v>736</v>
      </c>
      <c r="BP171" s="137" t="s">
        <v>175</v>
      </c>
      <c r="BQ171" s="137" t="s">
        <v>175</v>
      </c>
      <c r="BR171" s="137" t="s">
        <v>175</v>
      </c>
      <c r="BS171" s="137" t="s">
        <v>175</v>
      </c>
      <c r="BT171" s="138">
        <f t="shared" si="29"/>
        <v>-12.267836471000001</v>
      </c>
      <c r="BU171" s="138">
        <f t="shared" si="30"/>
        <v>0.51548520832318745</v>
      </c>
      <c r="BV171" s="138">
        <f t="shared" si="31"/>
        <v>0.51548520832318745</v>
      </c>
      <c r="BW171" s="53" t="s">
        <v>175</v>
      </c>
      <c r="BX171" s="53" t="s">
        <v>175</v>
      </c>
      <c r="BY171" s="53" t="s">
        <v>175</v>
      </c>
      <c r="BZ171" s="53" t="s">
        <v>175</v>
      </c>
      <c r="CA171" s="147">
        <v>2</v>
      </c>
      <c r="CB171" s="54">
        <v>0</v>
      </c>
      <c r="CD171" s="54" t="s">
        <v>995</v>
      </c>
    </row>
    <row r="172" spans="1:82">
      <c r="A172" s="123" t="s">
        <v>372</v>
      </c>
      <c r="B172" s="124" t="s">
        <v>965</v>
      </c>
      <c r="C172" s="148" t="s">
        <v>674</v>
      </c>
      <c r="D172" s="125" t="s">
        <v>741</v>
      </c>
      <c r="E172" s="127">
        <v>22.35</v>
      </c>
      <c r="F172" s="127">
        <v>113.45</v>
      </c>
      <c r="G172" s="128" t="s">
        <v>168</v>
      </c>
      <c r="H172" s="129">
        <v>1650.6818647162495</v>
      </c>
      <c r="I172" s="129">
        <v>102.09332595228739</v>
      </c>
      <c r="J172" s="129">
        <v>1055</v>
      </c>
      <c r="K172" s="129">
        <v>262</v>
      </c>
      <c r="L172" s="129">
        <v>289</v>
      </c>
      <c r="M172" s="130" t="s">
        <v>373</v>
      </c>
      <c r="N172" s="130" t="s">
        <v>339</v>
      </c>
      <c r="O172" s="130" t="s">
        <v>373</v>
      </c>
      <c r="P172" s="130" t="s">
        <v>374</v>
      </c>
      <c r="Q172" s="130" t="s">
        <v>172</v>
      </c>
      <c r="R172" s="131">
        <v>0.85</v>
      </c>
      <c r="S172" s="131" t="s">
        <v>175</v>
      </c>
      <c r="T172" s="130">
        <v>1</v>
      </c>
      <c r="U172" s="160" t="s">
        <v>365</v>
      </c>
      <c r="V172" s="133">
        <v>0.1</v>
      </c>
      <c r="W172" s="132" t="s">
        <v>174</v>
      </c>
      <c r="X172" s="133">
        <v>0.1</v>
      </c>
      <c r="Y172" s="133">
        <v>0.05</v>
      </c>
      <c r="Z172" s="133">
        <v>0.01</v>
      </c>
      <c r="AA172" s="133">
        <v>0.15</v>
      </c>
      <c r="AB172" s="133">
        <f>0.02*R172</f>
        <v>1.7000000000000001E-2</v>
      </c>
      <c r="AC172" s="134">
        <v>0</v>
      </c>
      <c r="AD172" s="134">
        <v>0</v>
      </c>
      <c r="AE172" s="134">
        <v>0.5</v>
      </c>
      <c r="AF172" s="134">
        <v>0</v>
      </c>
      <c r="AG172" s="134">
        <v>0.1</v>
      </c>
      <c r="AH172" s="134">
        <v>0</v>
      </c>
      <c r="AI172" s="134">
        <v>0</v>
      </c>
      <c r="AJ172" s="134">
        <v>0</v>
      </c>
      <c r="AK172" s="134" t="s">
        <v>175</v>
      </c>
      <c r="AL172" s="122" t="s">
        <v>175</v>
      </c>
      <c r="AM172" s="122">
        <v>-4.4000000000000004</v>
      </c>
      <c r="AN172" s="134" t="s">
        <v>176</v>
      </c>
      <c r="AO172" s="122" t="s">
        <v>177</v>
      </c>
      <c r="AP172" s="135">
        <f t="shared" si="110"/>
        <v>0.53421812024677706</v>
      </c>
      <c r="AQ172" s="135">
        <f t="shared" si="111"/>
        <v>0.53421812024677706</v>
      </c>
      <c r="AR172" s="117">
        <v>-1.7302356720000001</v>
      </c>
      <c r="AS172" s="117">
        <v>0</v>
      </c>
      <c r="AT172" s="117">
        <v>0</v>
      </c>
      <c r="AU172" s="117">
        <v>-1.007751592</v>
      </c>
      <c r="AV172" s="117">
        <v>-0.58837261200000002</v>
      </c>
      <c r="AW172" s="117">
        <v>-2.7906846999999999E-2</v>
      </c>
      <c r="AX172" s="117">
        <v>0.49224840800000003</v>
      </c>
      <c r="AY172" s="117">
        <v>0.99224840800000003</v>
      </c>
      <c r="AZ172" s="117">
        <v>0</v>
      </c>
      <c r="BA172" s="117">
        <v>0</v>
      </c>
      <c r="BB172" s="117">
        <v>1.4697643279999999</v>
      </c>
      <c r="BC172" s="136" t="str">
        <f t="shared" si="28"/>
        <v>-1</v>
      </c>
      <c r="BD172" s="136" t="s">
        <v>178</v>
      </c>
      <c r="BE172" s="136" t="s">
        <v>518</v>
      </c>
      <c r="BF172" s="152" t="s">
        <v>226</v>
      </c>
      <c r="BG172" s="120" t="s">
        <v>678</v>
      </c>
      <c r="BH172" s="136" t="str">
        <f t="shared" si="105"/>
        <v>&lt;MTL</v>
      </c>
      <c r="BI172" s="136">
        <f t="shared" si="106"/>
        <v>-2.7906846999999999E-2</v>
      </c>
      <c r="BJ172" s="136" t="str">
        <f t="shared" si="107"/>
        <v>Nil</v>
      </c>
      <c r="BK172" s="136">
        <f t="shared" si="108"/>
        <v>0.05</v>
      </c>
      <c r="BL172" s="136" t="s">
        <v>736</v>
      </c>
      <c r="BM172" s="136" t="s">
        <v>175</v>
      </c>
      <c r="BN172" s="136" t="s">
        <v>175</v>
      </c>
      <c r="BO172" s="136" t="s">
        <v>736</v>
      </c>
      <c r="BP172" s="137" t="s">
        <v>175</v>
      </c>
      <c r="BQ172" s="137" t="s">
        <v>175</v>
      </c>
      <c r="BR172" s="137" t="s">
        <v>175</v>
      </c>
      <c r="BS172" s="137" t="s">
        <v>175</v>
      </c>
      <c r="BT172" s="138">
        <f t="shared" si="29"/>
        <v>-4.3720931530000007</v>
      </c>
      <c r="BU172" s="138">
        <f t="shared" si="30"/>
        <v>0.53655288648930033</v>
      </c>
      <c r="BV172" s="138">
        <f t="shared" si="31"/>
        <v>0.53655288648930033</v>
      </c>
      <c r="BW172" s="53" t="s">
        <v>175</v>
      </c>
      <c r="BX172" s="53" t="s">
        <v>175</v>
      </c>
      <c r="BY172" s="53" t="s">
        <v>175</v>
      </c>
      <c r="BZ172" s="53" t="s">
        <v>175</v>
      </c>
      <c r="CA172" s="147">
        <v>2</v>
      </c>
      <c r="CB172" s="54">
        <v>0</v>
      </c>
    </row>
    <row r="173" spans="1:82">
      <c r="A173" s="123" t="s">
        <v>627</v>
      </c>
      <c r="B173" s="124" t="s">
        <v>854</v>
      </c>
      <c r="C173" s="125" t="s">
        <v>674</v>
      </c>
      <c r="D173" s="126" t="s">
        <v>741</v>
      </c>
      <c r="E173" s="127">
        <v>22.357230000000001</v>
      </c>
      <c r="F173" s="127">
        <v>113.44150999999999</v>
      </c>
      <c r="G173" s="128" t="s">
        <v>168</v>
      </c>
      <c r="H173" s="145">
        <v>1650.6818647162495</v>
      </c>
      <c r="I173" s="145">
        <v>102.09332595228739</v>
      </c>
      <c r="J173" s="129">
        <v>1055</v>
      </c>
      <c r="K173" s="129">
        <v>262</v>
      </c>
      <c r="L173" s="129">
        <v>289</v>
      </c>
      <c r="M173" s="146" t="s">
        <v>618</v>
      </c>
      <c r="N173" s="146" t="s">
        <v>617</v>
      </c>
      <c r="O173" s="130" t="s">
        <v>175</v>
      </c>
      <c r="P173" s="130" t="s">
        <v>175</v>
      </c>
      <c r="Q173" s="130" t="s">
        <v>377</v>
      </c>
      <c r="R173" s="131">
        <v>2.5</v>
      </c>
      <c r="S173" s="131" t="s">
        <v>175</v>
      </c>
      <c r="T173" s="130">
        <v>1</v>
      </c>
      <c r="U173" s="132" t="s">
        <v>173</v>
      </c>
      <c r="V173" s="133">
        <v>0.1</v>
      </c>
      <c r="W173" s="132" t="s">
        <v>174</v>
      </c>
      <c r="X173" s="133">
        <v>0.1</v>
      </c>
      <c r="Y173" s="133">
        <v>0.05</v>
      </c>
      <c r="Z173" s="133">
        <v>0.01</v>
      </c>
      <c r="AA173" s="133">
        <v>0</v>
      </c>
      <c r="AB173" s="133">
        <v>0</v>
      </c>
      <c r="AC173" s="134">
        <v>0</v>
      </c>
      <c r="AD173" s="134">
        <v>0</v>
      </c>
      <c r="AE173" s="134">
        <v>0.5</v>
      </c>
      <c r="AF173" s="134">
        <v>0</v>
      </c>
      <c r="AG173" s="134">
        <v>0.1</v>
      </c>
      <c r="AH173" s="134">
        <v>0</v>
      </c>
      <c r="AI173" s="134">
        <v>0</v>
      </c>
      <c r="AJ173" s="134">
        <v>0</v>
      </c>
      <c r="AK173" s="134" t="s">
        <v>175</v>
      </c>
      <c r="AL173" s="122" t="s">
        <v>175</v>
      </c>
      <c r="AM173" s="122">
        <v>-1.2</v>
      </c>
      <c r="AN173" s="134" t="s">
        <v>176</v>
      </c>
      <c r="AO173" s="122" t="s">
        <v>177</v>
      </c>
      <c r="AP173" s="135">
        <f t="shared" si="110"/>
        <v>0.51244511901275824</v>
      </c>
      <c r="AQ173" s="135">
        <f t="shared" si="111"/>
        <v>0.51244511901275824</v>
      </c>
      <c r="AR173" s="117">
        <v>-1.728989111</v>
      </c>
      <c r="AS173" s="117">
        <v>0</v>
      </c>
      <c r="AT173" s="117">
        <v>0</v>
      </c>
      <c r="AU173" s="117">
        <v>-1.0078900989999999</v>
      </c>
      <c r="AV173" s="117">
        <v>-0.58816485200000002</v>
      </c>
      <c r="AW173" s="117">
        <v>-2.7958786999999999E-2</v>
      </c>
      <c r="AX173" s="117">
        <v>0.49210990100000002</v>
      </c>
      <c r="AY173" s="117">
        <v>0.99210990099999996</v>
      </c>
      <c r="AZ173" s="117">
        <v>0</v>
      </c>
      <c r="BA173" s="117">
        <v>0</v>
      </c>
      <c r="BB173" s="117">
        <v>1.471010889</v>
      </c>
      <c r="BC173" s="136" t="str">
        <f t="shared" si="28"/>
        <v>0</v>
      </c>
      <c r="BD173" s="136" t="s">
        <v>178</v>
      </c>
      <c r="BE173" s="136" t="s">
        <v>718</v>
      </c>
      <c r="BF173" s="136" t="s">
        <v>666</v>
      </c>
      <c r="BG173" s="120" t="s">
        <v>676</v>
      </c>
      <c r="BH173" s="136" t="str">
        <f t="shared" si="105"/>
        <v>HAT-LAT</v>
      </c>
      <c r="BI173" s="136">
        <f t="shared" si="106"/>
        <v>-0.12898911099999999</v>
      </c>
      <c r="BJ173" s="136">
        <f t="shared" si="107"/>
        <v>1.6</v>
      </c>
      <c r="BK173" s="136">
        <f t="shared" si="108"/>
        <v>0.27</v>
      </c>
      <c r="BL173" s="136">
        <v>0.18911247617030291</v>
      </c>
      <c r="BM173" s="136" t="s">
        <v>175</v>
      </c>
      <c r="BN173" s="136" t="s">
        <v>175</v>
      </c>
      <c r="BO173" s="136">
        <v>3.5533186894351143E-2</v>
      </c>
      <c r="BP173" s="137" t="s">
        <v>175</v>
      </c>
      <c r="BQ173" s="137" t="s">
        <v>175</v>
      </c>
      <c r="BR173" s="137" t="s">
        <v>175</v>
      </c>
      <c r="BS173" s="137" t="s">
        <v>175</v>
      </c>
      <c r="BT173" s="138">
        <f t="shared" si="29"/>
        <v>-1.0710108890000001</v>
      </c>
      <c r="BU173" s="138">
        <f t="shared" si="30"/>
        <v>1.7124620100936934</v>
      </c>
      <c r="BV173" s="138">
        <f t="shared" si="31"/>
        <v>1.7124620100936934</v>
      </c>
      <c r="BW173" s="53" t="s">
        <v>175</v>
      </c>
      <c r="BX173" s="53" t="s">
        <v>175</v>
      </c>
      <c r="BY173" s="53" t="s">
        <v>175</v>
      </c>
      <c r="BZ173" s="53" t="s">
        <v>175</v>
      </c>
      <c r="CA173" s="147">
        <v>2</v>
      </c>
      <c r="CB173" s="54">
        <v>0</v>
      </c>
      <c r="CD173" s="54" t="s">
        <v>996</v>
      </c>
    </row>
    <row r="174" spans="1:82">
      <c r="A174" s="123" t="s">
        <v>468</v>
      </c>
      <c r="B174" s="124" t="s">
        <v>730</v>
      </c>
      <c r="C174" s="148" t="s">
        <v>674</v>
      </c>
      <c r="D174" s="125" t="s">
        <v>741</v>
      </c>
      <c r="E174" s="127">
        <v>22.52946</v>
      </c>
      <c r="F174" s="127">
        <v>113.43831</v>
      </c>
      <c r="G174" s="128" t="s">
        <v>168</v>
      </c>
      <c r="H174" s="129">
        <v>5420.6818647162481</v>
      </c>
      <c r="I174" s="129">
        <v>254.60370618669322</v>
      </c>
      <c r="J174" s="129">
        <v>5610</v>
      </c>
      <c r="K174" s="129">
        <v>595</v>
      </c>
      <c r="L174" s="129">
        <v>642</v>
      </c>
      <c r="M174" s="130" t="s">
        <v>856</v>
      </c>
      <c r="N174" s="130" t="s">
        <v>339</v>
      </c>
      <c r="O174" s="130" t="s">
        <v>469</v>
      </c>
      <c r="P174" s="130" t="s">
        <v>175</v>
      </c>
      <c r="Q174" s="130" t="s">
        <v>377</v>
      </c>
      <c r="R174" s="131">
        <v>2</v>
      </c>
      <c r="S174" s="131" t="s">
        <v>456</v>
      </c>
      <c r="T174" s="130">
        <v>1</v>
      </c>
      <c r="U174" s="132" t="s">
        <v>173</v>
      </c>
      <c r="V174" s="133">
        <v>0.1</v>
      </c>
      <c r="W174" s="132" t="s">
        <v>174</v>
      </c>
      <c r="X174" s="133">
        <v>0.1</v>
      </c>
      <c r="Y174" s="133">
        <v>0.05</v>
      </c>
      <c r="Z174" s="133">
        <v>0.01</v>
      </c>
      <c r="AA174" s="133">
        <v>0.05</v>
      </c>
      <c r="AB174" s="133">
        <v>0</v>
      </c>
      <c r="AC174" s="134">
        <v>0</v>
      </c>
      <c r="AD174" s="134">
        <v>0</v>
      </c>
      <c r="AE174" s="134">
        <v>0.5</v>
      </c>
      <c r="AF174" s="134">
        <v>0</v>
      </c>
      <c r="AG174" s="134">
        <v>0.1</v>
      </c>
      <c r="AH174" s="134">
        <v>0</v>
      </c>
      <c r="AI174" s="134">
        <v>0</v>
      </c>
      <c r="AJ174" s="134">
        <v>0</v>
      </c>
      <c r="AK174" s="134" t="s">
        <v>175</v>
      </c>
      <c r="AL174" s="122" t="s">
        <v>175</v>
      </c>
      <c r="AM174" s="122">
        <v>0.2</v>
      </c>
      <c r="AN174" s="134" t="s">
        <v>176</v>
      </c>
      <c r="AO174" s="134" t="s">
        <v>177</v>
      </c>
      <c r="AP174" s="135">
        <f t="shared" si="110"/>
        <v>0.5148786264742401</v>
      </c>
      <c r="AQ174" s="135">
        <f t="shared" si="111"/>
        <v>0.5148786264742401</v>
      </c>
      <c r="AR174" s="117">
        <v>-2.4728092199999998</v>
      </c>
      <c r="AS174" s="117">
        <v>0</v>
      </c>
      <c r="AT174" s="117">
        <v>0</v>
      </c>
      <c r="AU174" s="117">
        <v>-1.155263666</v>
      </c>
      <c r="AV174" s="117">
        <v>-0.65175455500000001</v>
      </c>
      <c r="AW174" s="117">
        <v>-3.1469319000000003E-2</v>
      </c>
      <c r="AX174" s="117">
        <v>0.57763183299999998</v>
      </c>
      <c r="AY174" s="117">
        <v>1.1035091109999999</v>
      </c>
      <c r="AZ174" s="117">
        <v>0</v>
      </c>
      <c r="BA174" s="117">
        <v>0</v>
      </c>
      <c r="BB174" s="117">
        <v>1.865790998</v>
      </c>
      <c r="BC174" s="136" t="str">
        <f t="shared" si="28"/>
        <v xml:space="preserve">-1 </v>
      </c>
      <c r="BD174" s="136" t="s">
        <v>178</v>
      </c>
      <c r="BE174" s="136" t="s">
        <v>855</v>
      </c>
      <c r="BF174" s="136" t="s">
        <v>857</v>
      </c>
      <c r="BG174" s="120" t="s">
        <v>677</v>
      </c>
      <c r="BH174" s="136" t="str">
        <f t="shared" si="105"/>
        <v>&lt;MTL</v>
      </c>
      <c r="BI174" s="136">
        <f t="shared" si="106"/>
        <v>-3.1469319000000003E-2</v>
      </c>
      <c r="BJ174" s="136" t="str">
        <f t="shared" si="107"/>
        <v>Nil</v>
      </c>
      <c r="BK174" s="136">
        <f t="shared" si="108"/>
        <v>0.05</v>
      </c>
      <c r="BL174" s="136" t="s">
        <v>736</v>
      </c>
      <c r="BM174" s="136" t="s">
        <v>175</v>
      </c>
      <c r="BN174" s="136" t="s">
        <v>175</v>
      </c>
      <c r="BO174" s="136" t="s">
        <v>736</v>
      </c>
      <c r="BP174" s="137" t="s">
        <v>175</v>
      </c>
      <c r="BQ174" s="137" t="s">
        <v>175</v>
      </c>
      <c r="BR174" s="137" t="s">
        <v>175</v>
      </c>
      <c r="BS174" s="137" t="s">
        <v>175</v>
      </c>
      <c r="BT174" s="138">
        <f t="shared" si="29"/>
        <v>0.23146931900000001</v>
      </c>
      <c r="BU174" s="138">
        <f t="shared" si="30"/>
        <v>0.51730068625510262</v>
      </c>
      <c r="BV174" s="138">
        <f t="shared" si="31"/>
        <v>0.51730068625510262</v>
      </c>
      <c r="BW174" s="53" t="s">
        <v>175</v>
      </c>
      <c r="BX174" s="53" t="s">
        <v>175</v>
      </c>
      <c r="BY174" s="53" t="s">
        <v>175</v>
      </c>
      <c r="BZ174" s="53" t="s">
        <v>175</v>
      </c>
      <c r="CA174" s="147">
        <v>2</v>
      </c>
      <c r="CB174" s="54">
        <v>0</v>
      </c>
    </row>
    <row r="175" spans="1:82">
      <c r="A175" s="123" t="s">
        <v>850</v>
      </c>
      <c r="B175" s="124" t="s">
        <v>733</v>
      </c>
      <c r="C175" s="148" t="s">
        <v>674</v>
      </c>
      <c r="D175" s="125" t="s">
        <v>741</v>
      </c>
      <c r="E175" s="127">
        <v>22.679559999999999</v>
      </c>
      <c r="F175" s="127">
        <v>113.42274999999999</v>
      </c>
      <c r="G175" s="128" t="s">
        <v>168</v>
      </c>
      <c r="H175" s="129">
        <v>6180.681864716249</v>
      </c>
      <c r="I175" s="129">
        <v>176.70044483249043</v>
      </c>
      <c r="J175" s="129">
        <v>6437</v>
      </c>
      <c r="K175" s="129">
        <v>444</v>
      </c>
      <c r="L175" s="129">
        <v>447</v>
      </c>
      <c r="M175" s="130" t="s">
        <v>473</v>
      </c>
      <c r="N175" s="130" t="s">
        <v>339</v>
      </c>
      <c r="O175" s="130" t="s">
        <v>474</v>
      </c>
      <c r="P175" s="130" t="s">
        <v>475</v>
      </c>
      <c r="Q175" s="130" t="s">
        <v>377</v>
      </c>
      <c r="R175" s="131">
        <v>9</v>
      </c>
      <c r="S175" s="131">
        <v>8.6999999999999993</v>
      </c>
      <c r="T175" s="130">
        <v>1</v>
      </c>
      <c r="U175" s="132" t="s">
        <v>173</v>
      </c>
      <c r="V175" s="133">
        <v>0.1</v>
      </c>
      <c r="W175" s="132" t="s">
        <v>174</v>
      </c>
      <c r="X175" s="133">
        <v>0.1</v>
      </c>
      <c r="Y175" s="133">
        <v>0.05</v>
      </c>
      <c r="Z175" s="133">
        <v>0.01</v>
      </c>
      <c r="AA175" s="133">
        <v>0.15</v>
      </c>
      <c r="AB175" s="133">
        <f>0.02*R175</f>
        <v>0.18</v>
      </c>
      <c r="AC175" s="134">
        <v>0</v>
      </c>
      <c r="AD175" s="134">
        <v>0</v>
      </c>
      <c r="AE175" s="134">
        <v>0.5</v>
      </c>
      <c r="AF175" s="134">
        <v>0</v>
      </c>
      <c r="AG175" s="134">
        <v>0.1</v>
      </c>
      <c r="AH175" s="134">
        <v>0</v>
      </c>
      <c r="AI175" s="134">
        <v>0</v>
      </c>
      <c r="AJ175" s="134">
        <v>0</v>
      </c>
      <c r="AK175" s="134" t="s">
        <v>175</v>
      </c>
      <c r="AL175" s="122" t="s">
        <v>175</v>
      </c>
      <c r="AM175" s="122">
        <v>-7.4</v>
      </c>
      <c r="AN175" s="134" t="s">
        <v>176</v>
      </c>
      <c r="AO175" s="134" t="s">
        <v>177</v>
      </c>
      <c r="AP175" s="135">
        <f t="shared" si="110"/>
        <v>0.5634713834792322</v>
      </c>
      <c r="AQ175" s="135">
        <f t="shared" si="111"/>
        <v>0.5634713834792322</v>
      </c>
      <c r="AR175" s="117">
        <v>-3.2414949150000001</v>
      </c>
      <c r="AS175" s="117">
        <v>0</v>
      </c>
      <c r="AT175" s="117">
        <v>0</v>
      </c>
      <c r="AU175" s="117">
        <v>-1.3471649720000001</v>
      </c>
      <c r="AV175" s="117">
        <v>-0.72358248599999997</v>
      </c>
      <c r="AW175" s="117">
        <v>-3.1604379000000002E-2</v>
      </c>
      <c r="AX175" s="117">
        <v>0.69716497200000005</v>
      </c>
      <c r="AY175" s="117">
        <v>1.247164972</v>
      </c>
      <c r="AZ175" s="117">
        <v>0</v>
      </c>
      <c r="BA175" s="117">
        <v>0</v>
      </c>
      <c r="BB175" s="117">
        <v>1.204802342</v>
      </c>
      <c r="BC175" s="136" t="str">
        <f t="shared" si="28"/>
        <v>-1</v>
      </c>
      <c r="BD175" s="136" t="s">
        <v>178</v>
      </c>
      <c r="BE175" s="136" t="s">
        <v>518</v>
      </c>
      <c r="BF175" s="136" t="s">
        <v>292</v>
      </c>
      <c r="BG175" s="120" t="s">
        <v>678</v>
      </c>
      <c r="BH175" s="136" t="str">
        <f t="shared" si="105"/>
        <v>&lt;MTL</v>
      </c>
      <c r="BI175" s="136">
        <f t="shared" si="106"/>
        <v>-3.1604379000000002E-2</v>
      </c>
      <c r="BJ175" s="136" t="str">
        <f t="shared" si="107"/>
        <v>Nil</v>
      </c>
      <c r="BK175" s="136">
        <f t="shared" si="108"/>
        <v>0.05</v>
      </c>
      <c r="BL175" s="136" t="s">
        <v>736</v>
      </c>
      <c r="BM175" s="136" t="s">
        <v>175</v>
      </c>
      <c r="BN175" s="136" t="s">
        <v>175</v>
      </c>
      <c r="BO175" s="136" t="s">
        <v>736</v>
      </c>
      <c r="BP175" s="137" t="s">
        <v>175</v>
      </c>
      <c r="BQ175" s="137" t="s">
        <v>175</v>
      </c>
      <c r="BR175" s="137" t="s">
        <v>175</v>
      </c>
      <c r="BS175" s="137" t="s">
        <v>175</v>
      </c>
      <c r="BT175" s="138">
        <f t="shared" si="29"/>
        <v>-7.3683956210000003</v>
      </c>
      <c r="BU175" s="138">
        <f t="shared" si="30"/>
        <v>0.56568542494923801</v>
      </c>
      <c r="BV175" s="138">
        <f t="shared" si="31"/>
        <v>0.56568542494923801</v>
      </c>
      <c r="BW175" s="53" t="s">
        <v>175</v>
      </c>
      <c r="BX175" s="53" t="s">
        <v>175</v>
      </c>
      <c r="BY175" s="53" t="s">
        <v>175</v>
      </c>
      <c r="BZ175" s="53" t="s">
        <v>175</v>
      </c>
      <c r="CA175" s="147">
        <v>2</v>
      </c>
      <c r="CB175" s="54">
        <v>0</v>
      </c>
    </row>
    <row r="176" spans="1:82">
      <c r="A176" s="123" t="s">
        <v>462</v>
      </c>
      <c r="B176" s="124" t="s">
        <v>732</v>
      </c>
      <c r="C176" s="148" t="s">
        <v>674</v>
      </c>
      <c r="D176" s="125" t="s">
        <v>741</v>
      </c>
      <c r="E176" s="127">
        <v>22.844529999999999</v>
      </c>
      <c r="F176" s="127">
        <v>113.39076300000001</v>
      </c>
      <c r="G176" s="128" t="s">
        <v>168</v>
      </c>
      <c r="H176" s="129">
        <v>5048.8105623511901</v>
      </c>
      <c r="I176" s="129">
        <v>201.71645716328698</v>
      </c>
      <c r="J176" s="129">
        <v>5802</v>
      </c>
      <c r="K176" s="129">
        <v>473</v>
      </c>
      <c r="L176" s="129">
        <v>475</v>
      </c>
      <c r="M176" s="153" t="s">
        <v>463</v>
      </c>
      <c r="N176" s="149" t="s">
        <v>735</v>
      </c>
      <c r="O176" s="130" t="s">
        <v>464</v>
      </c>
      <c r="P176" s="130" t="s">
        <v>465</v>
      </c>
      <c r="Q176" s="130" t="s">
        <v>172</v>
      </c>
      <c r="R176" s="131">
        <v>9.6999999999999993</v>
      </c>
      <c r="S176" s="131">
        <v>3.5</v>
      </c>
      <c r="T176" s="130">
        <v>1</v>
      </c>
      <c r="U176" s="132" t="s">
        <v>173</v>
      </c>
      <c r="V176" s="133">
        <v>0.1</v>
      </c>
      <c r="W176" s="132" t="s">
        <v>174</v>
      </c>
      <c r="X176" s="133">
        <v>0.1</v>
      </c>
      <c r="Y176" s="133">
        <v>0.05</v>
      </c>
      <c r="Z176" s="133">
        <v>0.01</v>
      </c>
      <c r="AA176" s="133">
        <v>0.15</v>
      </c>
      <c r="AB176" s="133">
        <f>0.02*R176</f>
        <v>0.19399999999999998</v>
      </c>
      <c r="AC176" s="134">
        <v>0</v>
      </c>
      <c r="AD176" s="134">
        <v>0</v>
      </c>
      <c r="AE176" s="134">
        <v>0.5</v>
      </c>
      <c r="AF176" s="134">
        <v>0</v>
      </c>
      <c r="AG176" s="134">
        <v>0.1</v>
      </c>
      <c r="AH176" s="134">
        <v>0</v>
      </c>
      <c r="AI176" s="134">
        <v>0</v>
      </c>
      <c r="AJ176" s="134">
        <v>0</v>
      </c>
      <c r="AK176" s="134" t="s">
        <v>175</v>
      </c>
      <c r="AL176" s="122" t="s">
        <v>175</v>
      </c>
      <c r="AM176" s="122">
        <v>-8.9</v>
      </c>
      <c r="AN176" s="134" t="s">
        <v>176</v>
      </c>
      <c r="AO176" s="134" t="s">
        <v>177</v>
      </c>
      <c r="AP176" s="135">
        <f t="shared" si="110"/>
        <v>0.56809858299418425</v>
      </c>
      <c r="AQ176" s="135">
        <f t="shared" si="111"/>
        <v>0.56809858299418425</v>
      </c>
      <c r="AR176" s="117">
        <v>-3.3399406470000002</v>
      </c>
      <c r="AS176" s="117">
        <v>0</v>
      </c>
      <c r="AT176" s="117">
        <v>0</v>
      </c>
      <c r="AU176" s="117">
        <v>-1.3399406469999999</v>
      </c>
      <c r="AV176" s="117">
        <v>-0.68994064700000002</v>
      </c>
      <c r="AW176" s="117">
        <v>-9.9851620000000006E-3</v>
      </c>
      <c r="AX176" s="117">
        <v>0.75</v>
      </c>
      <c r="AY176" s="117">
        <v>1.2399406470000001</v>
      </c>
      <c r="AZ176" s="117">
        <v>0</v>
      </c>
      <c r="BA176" s="117">
        <v>0</v>
      </c>
      <c r="BB176" s="117">
        <v>2.2198219410000002</v>
      </c>
      <c r="BC176" s="136" t="str">
        <f t="shared" si="28"/>
        <v>-1</v>
      </c>
      <c r="BD176" s="136" t="s">
        <v>178</v>
      </c>
      <c r="BE176" s="136" t="s">
        <v>518</v>
      </c>
      <c r="BF176" s="136" t="s">
        <v>292</v>
      </c>
      <c r="BG176" s="120" t="s">
        <v>678</v>
      </c>
      <c r="BH176" s="136" t="str">
        <f t="shared" si="105"/>
        <v>&lt;MTL</v>
      </c>
      <c r="BI176" s="136">
        <f t="shared" si="106"/>
        <v>-9.9851620000000006E-3</v>
      </c>
      <c r="BJ176" s="136" t="str">
        <f t="shared" si="107"/>
        <v>Nil</v>
      </c>
      <c r="BK176" s="136">
        <f t="shared" si="108"/>
        <v>0.05</v>
      </c>
      <c r="BL176" s="136" t="s">
        <v>736</v>
      </c>
      <c r="BM176" s="136" t="s">
        <v>175</v>
      </c>
      <c r="BN176" s="136" t="s">
        <v>175</v>
      </c>
      <c r="BO176" s="136" t="s">
        <v>736</v>
      </c>
      <c r="BP176" s="137" t="s">
        <v>175</v>
      </c>
      <c r="BQ176" s="137" t="s">
        <v>175</v>
      </c>
      <c r="BR176" s="137" t="s">
        <v>175</v>
      </c>
      <c r="BS176" s="137" t="s">
        <v>175</v>
      </c>
      <c r="BT176" s="138">
        <f t="shared" si="29"/>
        <v>-8.8900148380000008</v>
      </c>
      <c r="BU176" s="138">
        <f t="shared" si="30"/>
        <v>0.57029466067989809</v>
      </c>
      <c r="BV176" s="138">
        <f t="shared" si="31"/>
        <v>0.57029466067989809</v>
      </c>
      <c r="BW176" s="53" t="s">
        <v>175</v>
      </c>
      <c r="BX176" s="53" t="s">
        <v>175</v>
      </c>
      <c r="BY176" s="53" t="s">
        <v>175</v>
      </c>
      <c r="BZ176" s="53" t="s">
        <v>175</v>
      </c>
      <c r="CA176" s="147">
        <v>2</v>
      </c>
      <c r="CB176" s="54">
        <v>0</v>
      </c>
    </row>
    <row r="177" spans="1:80">
      <c r="A177" s="123" t="s">
        <v>457</v>
      </c>
      <c r="B177" s="124" t="s">
        <v>402</v>
      </c>
      <c r="C177" s="148" t="s">
        <v>674</v>
      </c>
      <c r="D177" s="125" t="s">
        <v>741</v>
      </c>
      <c r="E177" s="127">
        <v>22.572877999999999</v>
      </c>
      <c r="F177" s="127">
        <v>113.38992</v>
      </c>
      <c r="G177" s="128" t="s">
        <v>168</v>
      </c>
      <c r="H177" s="129">
        <v>4738.8105623511883</v>
      </c>
      <c r="I177" s="129">
        <v>156.41140971971382</v>
      </c>
      <c r="J177" s="129">
        <v>5445</v>
      </c>
      <c r="K177" s="129">
        <v>441</v>
      </c>
      <c r="L177" s="129">
        <v>468</v>
      </c>
      <c r="M177" s="130" t="s">
        <v>366</v>
      </c>
      <c r="N177" s="149" t="s">
        <v>735</v>
      </c>
      <c r="O177" s="130" t="s">
        <v>366</v>
      </c>
      <c r="P177" s="130" t="s">
        <v>366</v>
      </c>
      <c r="Q177" s="130" t="s">
        <v>456</v>
      </c>
      <c r="R177" s="131" t="s">
        <v>456</v>
      </c>
      <c r="S177" s="131" t="s">
        <v>456</v>
      </c>
      <c r="T177" s="130">
        <v>1</v>
      </c>
      <c r="U177" s="132" t="s">
        <v>173</v>
      </c>
      <c r="V177" s="133">
        <v>0.1</v>
      </c>
      <c r="W177" s="132" t="s">
        <v>174</v>
      </c>
      <c r="X177" s="133">
        <v>0.1</v>
      </c>
      <c r="Y177" s="133">
        <v>0.05</v>
      </c>
      <c r="Z177" s="133">
        <v>0.01</v>
      </c>
      <c r="AA177" s="133">
        <v>0.15</v>
      </c>
      <c r="AB177" s="133">
        <v>0.2</v>
      </c>
      <c r="AC177" s="134">
        <v>0</v>
      </c>
      <c r="AD177" s="134">
        <v>0</v>
      </c>
      <c r="AE177" s="134">
        <v>0.5</v>
      </c>
      <c r="AF177" s="134">
        <v>0</v>
      </c>
      <c r="AG177" s="134">
        <v>0.1</v>
      </c>
      <c r="AH177" s="134">
        <v>0</v>
      </c>
      <c r="AI177" s="134">
        <v>0</v>
      </c>
      <c r="AJ177" s="134">
        <v>0</v>
      </c>
      <c r="AK177" s="134" t="s">
        <v>175</v>
      </c>
      <c r="AL177" s="122" t="s">
        <v>175</v>
      </c>
      <c r="AM177" s="122">
        <v>-5.9</v>
      </c>
      <c r="AN177" s="134" t="s">
        <v>176</v>
      </c>
      <c r="AO177" s="134" t="s">
        <v>177</v>
      </c>
      <c r="AP177" s="135">
        <f t="shared" si="110"/>
        <v>0.57017541160593732</v>
      </c>
      <c r="AQ177" s="135">
        <f t="shared" si="111"/>
        <v>0.57017541160593732</v>
      </c>
      <c r="AR177" s="117">
        <v>-3.2294164620000001</v>
      </c>
      <c r="AS177" s="117">
        <v>0</v>
      </c>
      <c r="AT177" s="117">
        <v>0</v>
      </c>
      <c r="AU177" s="117">
        <v>-1.3431388209999999</v>
      </c>
      <c r="AV177" s="117">
        <v>-0.72156940999999997</v>
      </c>
      <c r="AW177" s="117">
        <v>-3.2107647000000003E-2</v>
      </c>
      <c r="AX177" s="117">
        <v>0.69313882100000002</v>
      </c>
      <c r="AY177" s="117">
        <v>1.2431388210000001</v>
      </c>
      <c r="AZ177" s="117">
        <v>0</v>
      </c>
      <c r="BA177" s="117">
        <v>0</v>
      </c>
      <c r="BB177" s="117">
        <v>1.6991919200000001</v>
      </c>
      <c r="BC177" s="136" t="str">
        <f t="shared" si="28"/>
        <v>-1</v>
      </c>
      <c r="BD177" s="136" t="s">
        <v>178</v>
      </c>
      <c r="BE177" s="136" t="s">
        <v>518</v>
      </c>
      <c r="BF177" s="136" t="s">
        <v>301</v>
      </c>
      <c r="BG177" s="120" t="s">
        <v>678</v>
      </c>
      <c r="BH177" s="136" t="str">
        <f t="shared" si="105"/>
        <v>&lt;MTL</v>
      </c>
      <c r="BI177" s="136">
        <f t="shared" si="106"/>
        <v>-3.2107647000000003E-2</v>
      </c>
      <c r="BJ177" s="136" t="str">
        <f t="shared" si="107"/>
        <v>Nil</v>
      </c>
      <c r="BK177" s="136">
        <f t="shared" si="108"/>
        <v>0.05</v>
      </c>
      <c r="BL177" s="136" t="s">
        <v>736</v>
      </c>
      <c r="BM177" s="136" t="s">
        <v>175</v>
      </c>
      <c r="BN177" s="136" t="s">
        <v>175</v>
      </c>
      <c r="BO177" s="136" t="s">
        <v>736</v>
      </c>
      <c r="BP177" s="137" t="s">
        <v>175</v>
      </c>
      <c r="BQ177" s="137" t="s">
        <v>175</v>
      </c>
      <c r="BR177" s="137" t="s">
        <v>175</v>
      </c>
      <c r="BS177" s="137" t="s">
        <v>175</v>
      </c>
      <c r="BT177" s="138">
        <f t="shared" si="29"/>
        <v>-5.8678923530000002</v>
      </c>
      <c r="BU177" s="138">
        <f t="shared" si="30"/>
        <v>0.5723635208501674</v>
      </c>
      <c r="BV177" s="138">
        <f t="shared" si="31"/>
        <v>0.5723635208501674</v>
      </c>
      <c r="BW177" s="53" t="s">
        <v>175</v>
      </c>
      <c r="BX177" s="53" t="s">
        <v>175</v>
      </c>
      <c r="BY177" s="53" t="s">
        <v>175</v>
      </c>
      <c r="BZ177" s="53" t="s">
        <v>175</v>
      </c>
      <c r="CA177" s="147">
        <v>2</v>
      </c>
      <c r="CB177" s="54">
        <v>0</v>
      </c>
    </row>
    <row r="178" spans="1:80">
      <c r="A178" s="123" t="s">
        <v>382</v>
      </c>
      <c r="B178" s="124" t="s">
        <v>968</v>
      </c>
      <c r="C178" s="148" t="s">
        <v>674</v>
      </c>
      <c r="D178" s="125" t="s">
        <v>741</v>
      </c>
      <c r="E178" s="127">
        <v>22.45</v>
      </c>
      <c r="F178" s="127">
        <v>113.383333333333</v>
      </c>
      <c r="G178" s="128" t="s">
        <v>168</v>
      </c>
      <c r="H178" s="129">
        <v>1418.8105623511885</v>
      </c>
      <c r="I178" s="129">
        <v>122.32959204750168</v>
      </c>
      <c r="J178" s="129">
        <v>1324</v>
      </c>
      <c r="K178" s="129">
        <v>243</v>
      </c>
      <c r="L178" s="129">
        <v>264</v>
      </c>
      <c r="M178" s="130" t="s">
        <v>383</v>
      </c>
      <c r="N178" s="149" t="s">
        <v>735</v>
      </c>
      <c r="O178" s="130" t="s">
        <v>175</v>
      </c>
      <c r="P178" s="130" t="s">
        <v>384</v>
      </c>
      <c r="Q178" s="130" t="s">
        <v>377</v>
      </c>
      <c r="R178" s="131">
        <v>3</v>
      </c>
      <c r="S178" s="131">
        <v>16.2</v>
      </c>
      <c r="T178" s="130">
        <v>1</v>
      </c>
      <c r="U178" s="132" t="s">
        <v>173</v>
      </c>
      <c r="V178" s="133">
        <v>0.1</v>
      </c>
      <c r="W178" s="132" t="s">
        <v>174</v>
      </c>
      <c r="X178" s="133">
        <v>0.1</v>
      </c>
      <c r="Y178" s="133">
        <v>0.05</v>
      </c>
      <c r="Z178" s="133">
        <v>0.01</v>
      </c>
      <c r="AA178" s="133">
        <v>0.15</v>
      </c>
      <c r="AB178" s="133">
        <f t="shared" ref="AB178:AB227" si="112">0.02*R178</f>
        <v>0.06</v>
      </c>
      <c r="AC178" s="134">
        <v>0</v>
      </c>
      <c r="AD178" s="134">
        <v>0</v>
      </c>
      <c r="AE178" s="134">
        <v>0.5</v>
      </c>
      <c r="AF178" s="134">
        <v>0</v>
      </c>
      <c r="AG178" s="134">
        <v>0.1</v>
      </c>
      <c r="AH178" s="134">
        <v>0</v>
      </c>
      <c r="AI178" s="134">
        <v>0</v>
      </c>
      <c r="AJ178" s="134">
        <v>0</v>
      </c>
      <c r="AK178" s="134" t="s">
        <v>175</v>
      </c>
      <c r="AL178" s="122" t="s">
        <v>175</v>
      </c>
      <c r="AM178" s="122">
        <v>-2.2000000000000002</v>
      </c>
      <c r="AN178" s="134" t="s">
        <v>176</v>
      </c>
      <c r="AO178" s="122" t="s">
        <v>177</v>
      </c>
      <c r="AP178" s="135">
        <f t="shared" si="110"/>
        <v>0.53730810528038753</v>
      </c>
      <c r="AQ178" s="135">
        <f t="shared" si="111"/>
        <v>0.53730810528038753</v>
      </c>
      <c r="AR178" s="117">
        <v>-1.7247419070000001</v>
      </c>
      <c r="AS178" s="117">
        <v>0</v>
      </c>
      <c r="AT178" s="117">
        <v>0</v>
      </c>
      <c r="AU178" s="117">
        <v>-1.0083620099999999</v>
      </c>
      <c r="AV178" s="117">
        <v>-0.58745698499999999</v>
      </c>
      <c r="AW178" s="117">
        <v>-2.8135753999999999E-2</v>
      </c>
      <c r="AX178" s="117">
        <v>0.49163799000000002</v>
      </c>
      <c r="AY178" s="117">
        <v>0.99163798999999997</v>
      </c>
      <c r="AZ178" s="117">
        <v>0</v>
      </c>
      <c r="BA178" s="117">
        <v>0</v>
      </c>
      <c r="BB178" s="117">
        <v>1.4752580930000001</v>
      </c>
      <c r="BC178" s="136" t="str">
        <f t="shared" si="28"/>
        <v>-1</v>
      </c>
      <c r="BD178" s="136" t="s">
        <v>178</v>
      </c>
      <c r="BE178" s="136" t="s">
        <v>518</v>
      </c>
      <c r="BF178" s="136" t="s">
        <v>385</v>
      </c>
      <c r="BG178" s="120" t="s">
        <v>678</v>
      </c>
      <c r="BH178" s="136" t="str">
        <f t="shared" si="105"/>
        <v>&lt;MTL</v>
      </c>
      <c r="BI178" s="136">
        <f t="shared" si="106"/>
        <v>-2.8135753999999999E-2</v>
      </c>
      <c r="BJ178" s="136" t="str">
        <f t="shared" si="107"/>
        <v>Nil</v>
      </c>
      <c r="BK178" s="136">
        <f t="shared" si="108"/>
        <v>0.05</v>
      </c>
      <c r="BL178" s="136" t="s">
        <v>736</v>
      </c>
      <c r="BM178" s="136" t="s">
        <v>175</v>
      </c>
      <c r="BN178" s="136" t="s">
        <v>175</v>
      </c>
      <c r="BO178" s="136" t="s">
        <v>736</v>
      </c>
      <c r="BP178" s="137" t="s">
        <v>175</v>
      </c>
      <c r="BQ178" s="137" t="s">
        <v>175</v>
      </c>
      <c r="BR178" s="137" t="s">
        <v>175</v>
      </c>
      <c r="BS178" s="137" t="s">
        <v>175</v>
      </c>
      <c r="BT178" s="138">
        <f t="shared" si="29"/>
        <v>-2.1718642460000002</v>
      </c>
      <c r="BU178" s="138">
        <f t="shared" si="30"/>
        <v>0.53962950252928166</v>
      </c>
      <c r="BV178" s="138">
        <f t="shared" si="31"/>
        <v>0.53962950252928166</v>
      </c>
      <c r="BW178" s="53" t="s">
        <v>175</v>
      </c>
      <c r="BX178" s="53" t="s">
        <v>175</v>
      </c>
      <c r="BY178" s="53" t="s">
        <v>175</v>
      </c>
      <c r="BZ178" s="53" t="s">
        <v>175</v>
      </c>
      <c r="CA178" s="147">
        <v>1</v>
      </c>
      <c r="CB178" s="54">
        <v>0</v>
      </c>
    </row>
    <row r="179" spans="1:80">
      <c r="A179" s="123" t="s">
        <v>397</v>
      </c>
      <c r="B179" s="124" t="s">
        <v>971</v>
      </c>
      <c r="C179" s="148" t="s">
        <v>674</v>
      </c>
      <c r="D179" s="125" t="s">
        <v>741</v>
      </c>
      <c r="E179" s="127">
        <v>22.85</v>
      </c>
      <c r="F179" s="127">
        <v>113.383333333333</v>
      </c>
      <c r="G179" s="128" t="s">
        <v>168</v>
      </c>
      <c r="H179" s="129">
        <v>2070.681864716249</v>
      </c>
      <c r="I179" s="129">
        <v>102.09332595228739</v>
      </c>
      <c r="J179" s="129">
        <v>1492</v>
      </c>
      <c r="K179" s="129">
        <v>319</v>
      </c>
      <c r="L179" s="129">
        <v>275</v>
      </c>
      <c r="M179" s="130" t="s">
        <v>395</v>
      </c>
      <c r="N179" s="149" t="s">
        <v>339</v>
      </c>
      <c r="O179" s="130" t="s">
        <v>398</v>
      </c>
      <c r="P179" s="130" t="s">
        <v>399</v>
      </c>
      <c r="Q179" s="130" t="s">
        <v>377</v>
      </c>
      <c r="R179" s="131">
        <v>4</v>
      </c>
      <c r="S179" s="131">
        <v>6.1</v>
      </c>
      <c r="T179" s="130">
        <v>1</v>
      </c>
      <c r="U179" s="132" t="s">
        <v>173</v>
      </c>
      <c r="V179" s="133">
        <v>0.1</v>
      </c>
      <c r="W179" s="132" t="s">
        <v>174</v>
      </c>
      <c r="X179" s="133">
        <v>0.1</v>
      </c>
      <c r="Y179" s="133">
        <v>0.05</v>
      </c>
      <c r="Z179" s="133">
        <v>0.01</v>
      </c>
      <c r="AA179" s="133">
        <v>0.15</v>
      </c>
      <c r="AB179" s="133">
        <f t="shared" si="112"/>
        <v>0.08</v>
      </c>
      <c r="AC179" s="134">
        <v>0</v>
      </c>
      <c r="AD179" s="134">
        <v>0</v>
      </c>
      <c r="AE179" s="134">
        <v>0.5</v>
      </c>
      <c r="AF179" s="134">
        <v>0</v>
      </c>
      <c r="AG179" s="134">
        <v>0.1</v>
      </c>
      <c r="AH179" s="134">
        <v>0</v>
      </c>
      <c r="AI179" s="134">
        <v>0</v>
      </c>
      <c r="AJ179" s="134">
        <v>0</v>
      </c>
      <c r="AK179" s="134" t="s">
        <v>175</v>
      </c>
      <c r="AL179" s="122" t="s">
        <v>175</v>
      </c>
      <c r="AM179" s="122">
        <v>-6.7</v>
      </c>
      <c r="AN179" s="134" t="s">
        <v>176</v>
      </c>
      <c r="AO179" s="122" t="s">
        <v>177</v>
      </c>
      <c r="AP179" s="135">
        <f t="shared" si="110"/>
        <v>0.53990739946772348</v>
      </c>
      <c r="AQ179" s="135">
        <f t="shared" si="111"/>
        <v>0.53990739946772348</v>
      </c>
      <c r="AR179" s="117">
        <v>-3.3395873900000002</v>
      </c>
      <c r="AS179" s="117">
        <v>0</v>
      </c>
      <c r="AT179" s="117">
        <v>0</v>
      </c>
      <c r="AU179" s="117">
        <v>-1.3395873899999999</v>
      </c>
      <c r="AV179" s="117">
        <v>-0.68958739000000002</v>
      </c>
      <c r="AW179" s="117">
        <v>-9.8968479999999998E-3</v>
      </c>
      <c r="AX179" s="117">
        <v>0.75</v>
      </c>
      <c r="AY179" s="117">
        <v>1.2395873900000001</v>
      </c>
      <c r="AZ179" s="117">
        <v>0</v>
      </c>
      <c r="BA179" s="117">
        <v>0</v>
      </c>
      <c r="BB179" s="117">
        <v>1.6992899889999999</v>
      </c>
      <c r="BC179" s="136" t="str">
        <f t="shared" si="28"/>
        <v>-1</v>
      </c>
      <c r="BD179" s="136" t="s">
        <v>178</v>
      </c>
      <c r="BE179" s="136" t="s">
        <v>518</v>
      </c>
      <c r="BF179" s="136" t="s">
        <v>292</v>
      </c>
      <c r="BG179" s="120" t="s">
        <v>678</v>
      </c>
      <c r="BH179" s="136" t="str">
        <f t="shared" si="105"/>
        <v>&lt;MTL</v>
      </c>
      <c r="BI179" s="136">
        <f t="shared" si="106"/>
        <v>-9.8968479999999998E-3</v>
      </c>
      <c r="BJ179" s="136" t="str">
        <f t="shared" si="107"/>
        <v>Nil</v>
      </c>
      <c r="BK179" s="136">
        <f t="shared" si="108"/>
        <v>0.05</v>
      </c>
      <c r="BL179" s="136" t="s">
        <v>736</v>
      </c>
      <c r="BM179" s="136" t="s">
        <v>175</v>
      </c>
      <c r="BN179" s="136" t="s">
        <v>175</v>
      </c>
      <c r="BO179" s="136" t="s">
        <v>736</v>
      </c>
      <c r="BP179" s="137" t="s">
        <v>175</v>
      </c>
      <c r="BQ179" s="137" t="s">
        <v>175</v>
      </c>
      <c r="BR179" s="137" t="s">
        <v>175</v>
      </c>
      <c r="BS179" s="137" t="s">
        <v>175</v>
      </c>
      <c r="BT179" s="138">
        <f t="shared" si="29"/>
        <v>-6.6901031519999998</v>
      </c>
      <c r="BU179" s="138">
        <f t="shared" si="30"/>
        <v>0.54221766846903829</v>
      </c>
      <c r="BV179" s="138">
        <f t="shared" si="31"/>
        <v>0.54221766846903829</v>
      </c>
      <c r="BW179" s="53" t="s">
        <v>175</v>
      </c>
      <c r="BX179" s="53" t="s">
        <v>175</v>
      </c>
      <c r="BY179" s="53" t="s">
        <v>175</v>
      </c>
      <c r="BZ179" s="53" t="s">
        <v>175</v>
      </c>
      <c r="CA179" s="147">
        <v>2</v>
      </c>
      <c r="CB179" s="54">
        <v>0</v>
      </c>
    </row>
    <row r="180" spans="1:80">
      <c r="A180" s="123" t="s">
        <v>623</v>
      </c>
      <c r="B180" s="124" t="s">
        <v>849</v>
      </c>
      <c r="C180" s="125" t="s">
        <v>674</v>
      </c>
      <c r="D180" s="126" t="s">
        <v>741</v>
      </c>
      <c r="E180" s="127">
        <v>22.217870000000001</v>
      </c>
      <c r="F180" s="127">
        <v>113.37174</v>
      </c>
      <c r="G180" s="128" t="s">
        <v>168</v>
      </c>
      <c r="H180" s="145">
        <v>8440.681864716249</v>
      </c>
      <c r="I180" s="145">
        <v>228.74231616384407</v>
      </c>
      <c r="J180" s="129">
        <v>8848</v>
      </c>
      <c r="K180" s="129">
        <v>595</v>
      </c>
      <c r="L180" s="129">
        <v>557</v>
      </c>
      <c r="M180" s="146" t="s">
        <v>412</v>
      </c>
      <c r="N180" s="146" t="s">
        <v>617</v>
      </c>
      <c r="O180" s="130" t="s">
        <v>175</v>
      </c>
      <c r="P180" s="130" t="s">
        <v>175</v>
      </c>
      <c r="Q180" s="130" t="s">
        <v>377</v>
      </c>
      <c r="R180" s="131">
        <v>16.100000000000001</v>
      </c>
      <c r="S180" s="131" t="s">
        <v>175</v>
      </c>
      <c r="T180" s="130">
        <v>1</v>
      </c>
      <c r="U180" s="132" t="s">
        <v>173</v>
      </c>
      <c r="V180" s="133">
        <v>0.1</v>
      </c>
      <c r="W180" s="132" t="s">
        <v>174</v>
      </c>
      <c r="X180" s="133">
        <v>0.1</v>
      </c>
      <c r="Y180" s="133">
        <v>0.05</v>
      </c>
      <c r="Z180" s="133">
        <v>0.01</v>
      </c>
      <c r="AA180" s="133">
        <v>0.15</v>
      </c>
      <c r="AB180" s="133">
        <f t="shared" si="112"/>
        <v>0.32200000000000001</v>
      </c>
      <c r="AC180" s="134">
        <v>0</v>
      </c>
      <c r="AD180" s="134">
        <v>0</v>
      </c>
      <c r="AE180" s="134">
        <v>0.5</v>
      </c>
      <c r="AF180" s="134">
        <v>0</v>
      </c>
      <c r="AG180" s="134">
        <v>0.1</v>
      </c>
      <c r="AH180" s="134">
        <v>0</v>
      </c>
      <c r="AI180" s="134">
        <v>0</v>
      </c>
      <c r="AJ180" s="134">
        <v>0</v>
      </c>
      <c r="AK180" s="134" t="s">
        <v>175</v>
      </c>
      <c r="AL180" s="122" t="s">
        <v>175</v>
      </c>
      <c r="AM180" s="122">
        <v>-54.7</v>
      </c>
      <c r="AN180" s="134" t="s">
        <v>176</v>
      </c>
      <c r="AO180" s="122" t="s">
        <v>177</v>
      </c>
      <c r="AP180" s="135">
        <f t="shared" si="110"/>
        <v>0.62352546058681524</v>
      </c>
      <c r="AQ180" s="135">
        <f t="shared" si="111"/>
        <v>0.62352546058681524</v>
      </c>
      <c r="AR180" s="117">
        <v>-1.6906626730000001</v>
      </c>
      <c r="AS180" s="117">
        <v>0</v>
      </c>
      <c r="AT180" s="117">
        <v>0</v>
      </c>
      <c r="AU180" s="117">
        <v>-1.012148592</v>
      </c>
      <c r="AV180" s="117">
        <v>-0.58177711200000004</v>
      </c>
      <c r="AW180" s="117">
        <v>-2.9555722E-2</v>
      </c>
      <c r="AX180" s="117">
        <v>0.48785140799999999</v>
      </c>
      <c r="AY180" s="117">
        <v>0.98785140800000004</v>
      </c>
      <c r="AZ180" s="117">
        <v>0</v>
      </c>
      <c r="BA180" s="117">
        <v>0</v>
      </c>
      <c r="BB180" s="117">
        <v>1.5093373269999999</v>
      </c>
      <c r="BC180" s="136" t="str">
        <f t="shared" si="28"/>
        <v>-1</v>
      </c>
      <c r="BD180" s="136" t="s">
        <v>178</v>
      </c>
      <c r="BE180" s="136" t="s">
        <v>518</v>
      </c>
      <c r="BF180" s="136" t="s">
        <v>712</v>
      </c>
      <c r="BG180" s="120" t="s">
        <v>678</v>
      </c>
      <c r="BH180" s="136" t="str">
        <f t="shared" si="105"/>
        <v>&lt;MTL</v>
      </c>
      <c r="BI180" s="136">
        <f t="shared" si="106"/>
        <v>-2.9555722E-2</v>
      </c>
      <c r="BJ180" s="136" t="str">
        <f t="shared" si="107"/>
        <v>Nil</v>
      </c>
      <c r="BK180" s="136">
        <f t="shared" si="108"/>
        <v>0.05</v>
      </c>
      <c r="BL180" s="136" t="s">
        <v>736</v>
      </c>
      <c r="BM180" s="136" t="s">
        <v>175</v>
      </c>
      <c r="BN180" s="136" t="s">
        <v>175</v>
      </c>
      <c r="BO180" s="136" t="s">
        <v>736</v>
      </c>
      <c r="BP180" s="137" t="s">
        <v>175</v>
      </c>
      <c r="BQ180" s="137" t="s">
        <v>175</v>
      </c>
      <c r="BR180" s="137" t="s">
        <v>175</v>
      </c>
      <c r="BS180" s="137" t="s">
        <v>175</v>
      </c>
      <c r="BT180" s="138">
        <f t="shared" si="29"/>
        <v>-54.670444278000005</v>
      </c>
      <c r="BU180" s="138">
        <f t="shared" si="30"/>
        <v>0.62552697783548883</v>
      </c>
      <c r="BV180" s="138">
        <f t="shared" si="31"/>
        <v>0.62552697783548883</v>
      </c>
      <c r="BW180" s="53" t="s">
        <v>175</v>
      </c>
      <c r="BX180" s="53" t="s">
        <v>175</v>
      </c>
      <c r="BY180" s="53" t="s">
        <v>175</v>
      </c>
      <c r="BZ180" s="53" t="s">
        <v>175</v>
      </c>
      <c r="CA180" s="147">
        <v>2</v>
      </c>
      <c r="CB180" s="54">
        <v>0</v>
      </c>
    </row>
    <row r="181" spans="1:80">
      <c r="A181" s="123" t="s">
        <v>466</v>
      </c>
      <c r="B181" s="124" t="s">
        <v>730</v>
      </c>
      <c r="C181" s="148" t="s">
        <v>674</v>
      </c>
      <c r="D181" s="125" t="s">
        <v>741</v>
      </c>
      <c r="E181" s="127">
        <v>22.516666666666701</v>
      </c>
      <c r="F181" s="127">
        <v>113.35</v>
      </c>
      <c r="G181" s="128" t="s">
        <v>168</v>
      </c>
      <c r="H181" s="129">
        <v>5410.681864716249</v>
      </c>
      <c r="I181" s="129">
        <v>157.55331543322089</v>
      </c>
      <c r="J181" s="129">
        <v>5605</v>
      </c>
      <c r="K181" s="129">
        <v>412</v>
      </c>
      <c r="L181" s="129">
        <v>417</v>
      </c>
      <c r="M181" s="146" t="s">
        <v>625</v>
      </c>
      <c r="N181" s="130" t="s">
        <v>339</v>
      </c>
      <c r="O181" s="130" t="s">
        <v>175</v>
      </c>
      <c r="P181" s="130" t="s">
        <v>175</v>
      </c>
      <c r="Q181" s="130" t="s">
        <v>456</v>
      </c>
      <c r="R181" s="131">
        <v>2.5</v>
      </c>
      <c r="S181" s="131">
        <v>17</v>
      </c>
      <c r="T181" s="130">
        <v>1</v>
      </c>
      <c r="U181" s="132" t="s">
        <v>173</v>
      </c>
      <c r="V181" s="133">
        <v>0.1</v>
      </c>
      <c r="W181" s="132" t="s">
        <v>174</v>
      </c>
      <c r="X181" s="133">
        <v>0.1</v>
      </c>
      <c r="Y181" s="133">
        <v>0.05</v>
      </c>
      <c r="Z181" s="133">
        <v>0.01</v>
      </c>
      <c r="AA181" s="133">
        <v>0.15</v>
      </c>
      <c r="AB181" s="133">
        <f t="shared" si="112"/>
        <v>0.05</v>
      </c>
      <c r="AC181" s="134">
        <v>0</v>
      </c>
      <c r="AD181" s="134">
        <v>0</v>
      </c>
      <c r="AE181" s="134">
        <v>0.5</v>
      </c>
      <c r="AF181" s="134">
        <v>0</v>
      </c>
      <c r="AG181" s="134">
        <v>0.1</v>
      </c>
      <c r="AH181" s="134">
        <v>0</v>
      </c>
      <c r="AI181" s="134">
        <v>0</v>
      </c>
      <c r="AJ181" s="134">
        <v>0</v>
      </c>
      <c r="AK181" s="134" t="s">
        <v>175</v>
      </c>
      <c r="AL181" s="122" t="s">
        <v>175</v>
      </c>
      <c r="AM181" s="122">
        <v>-1.4</v>
      </c>
      <c r="AN181" s="134" t="s">
        <v>176</v>
      </c>
      <c r="AO181" s="134" t="s">
        <v>177</v>
      </c>
      <c r="AP181" s="135">
        <f t="shared" si="110"/>
        <v>0.53628350711167694</v>
      </c>
      <c r="AQ181" s="135">
        <f t="shared" si="111"/>
        <v>0.53628350711167694</v>
      </c>
      <c r="AR181" s="117">
        <v>-2.403096219</v>
      </c>
      <c r="AS181" s="117">
        <v>0</v>
      </c>
      <c r="AT181" s="117">
        <v>0</v>
      </c>
      <c r="AU181" s="117">
        <v>-1.139176051</v>
      </c>
      <c r="AV181" s="117">
        <v>-0.64639201700000004</v>
      </c>
      <c r="AW181" s="117">
        <v>-3.0799001999999999E-2</v>
      </c>
      <c r="AX181" s="117">
        <v>0.56958802500000005</v>
      </c>
      <c r="AY181" s="117">
        <v>1.0927840339999999</v>
      </c>
      <c r="AZ181" s="117">
        <v>0</v>
      </c>
      <c r="BA181" s="117">
        <v>0</v>
      </c>
      <c r="BB181" s="117">
        <v>1.817528152</v>
      </c>
      <c r="BC181" s="136" t="str">
        <f t="shared" si="28"/>
        <v xml:space="preserve">-1 </v>
      </c>
      <c r="BD181" s="136" t="s">
        <v>178</v>
      </c>
      <c r="BE181" s="136" t="s">
        <v>625</v>
      </c>
      <c r="BF181" s="136" t="s">
        <v>292</v>
      </c>
      <c r="BG181" s="120" t="s">
        <v>677</v>
      </c>
      <c r="BH181" s="136" t="str">
        <f t="shared" si="105"/>
        <v>&lt;MTL</v>
      </c>
      <c r="BI181" s="136">
        <f t="shared" si="106"/>
        <v>-3.0799001999999999E-2</v>
      </c>
      <c r="BJ181" s="136" t="str">
        <f t="shared" si="107"/>
        <v>Nil</v>
      </c>
      <c r="BK181" s="136">
        <f t="shared" si="108"/>
        <v>0.05</v>
      </c>
      <c r="BL181" s="136" t="s">
        <v>736</v>
      </c>
      <c r="BM181" s="136" t="s">
        <v>175</v>
      </c>
      <c r="BN181" s="136" t="s">
        <v>175</v>
      </c>
      <c r="BO181" s="136" t="s">
        <v>736</v>
      </c>
      <c r="BP181" s="137" t="s">
        <v>175</v>
      </c>
      <c r="BQ181" s="137" t="s">
        <v>175</v>
      </c>
      <c r="BR181" s="137" t="s">
        <v>175</v>
      </c>
      <c r="BS181" s="137" t="s">
        <v>175</v>
      </c>
      <c r="BT181" s="138">
        <f t="shared" si="29"/>
        <v>-1.3692009979999999</v>
      </c>
      <c r="BU181" s="138">
        <f t="shared" si="30"/>
        <v>0.53860932037980924</v>
      </c>
      <c r="BV181" s="138">
        <f t="shared" si="31"/>
        <v>0.53860932037980924</v>
      </c>
      <c r="BW181" s="53" t="s">
        <v>175</v>
      </c>
      <c r="BX181" s="53" t="s">
        <v>175</v>
      </c>
      <c r="BY181" s="53" t="s">
        <v>175</v>
      </c>
      <c r="BZ181" s="53" t="s">
        <v>175</v>
      </c>
      <c r="CA181" s="147">
        <v>1</v>
      </c>
      <c r="CB181" s="54">
        <v>0</v>
      </c>
    </row>
    <row r="182" spans="1:80">
      <c r="A182" s="123" t="s">
        <v>470</v>
      </c>
      <c r="B182" s="124" t="s">
        <v>402</v>
      </c>
      <c r="C182" s="148" t="s">
        <v>674</v>
      </c>
      <c r="D182" s="125" t="s">
        <v>741</v>
      </c>
      <c r="E182" s="127">
        <v>22.516666666666701</v>
      </c>
      <c r="F182" s="127">
        <v>113.35</v>
      </c>
      <c r="G182" s="128" t="s">
        <v>168</v>
      </c>
      <c r="H182" s="129">
        <v>5830.6818647162499</v>
      </c>
      <c r="I182" s="129">
        <v>129.317621397859</v>
      </c>
      <c r="J182" s="129">
        <v>6056</v>
      </c>
      <c r="K182" s="129">
        <v>336</v>
      </c>
      <c r="L182" s="129">
        <v>355</v>
      </c>
      <c r="M182" s="130" t="s">
        <v>471</v>
      </c>
      <c r="N182" s="130" t="s">
        <v>339</v>
      </c>
      <c r="O182" s="130" t="s">
        <v>366</v>
      </c>
      <c r="P182" s="130" t="s">
        <v>366</v>
      </c>
      <c r="Q182" s="130" t="s">
        <v>456</v>
      </c>
      <c r="R182" s="131">
        <v>7.6</v>
      </c>
      <c r="S182" s="131">
        <v>13</v>
      </c>
      <c r="T182" s="130">
        <v>1</v>
      </c>
      <c r="U182" s="132" t="s">
        <v>173</v>
      </c>
      <c r="V182" s="133">
        <v>0.1</v>
      </c>
      <c r="W182" s="132" t="s">
        <v>174</v>
      </c>
      <c r="X182" s="133">
        <v>0.1</v>
      </c>
      <c r="Y182" s="133">
        <v>0.05</v>
      </c>
      <c r="Z182" s="133">
        <v>0.01</v>
      </c>
      <c r="AA182" s="133">
        <v>0.15</v>
      </c>
      <c r="AB182" s="133">
        <f t="shared" si="112"/>
        <v>0.152</v>
      </c>
      <c r="AC182" s="134">
        <v>0</v>
      </c>
      <c r="AD182" s="134">
        <v>0</v>
      </c>
      <c r="AE182" s="134">
        <v>0.5</v>
      </c>
      <c r="AF182" s="134">
        <v>0</v>
      </c>
      <c r="AG182" s="134">
        <v>0.1</v>
      </c>
      <c r="AH182" s="134">
        <v>0</v>
      </c>
      <c r="AI182" s="134">
        <v>0</v>
      </c>
      <c r="AJ182" s="134">
        <v>0</v>
      </c>
      <c r="AK182" s="134" t="s">
        <v>175</v>
      </c>
      <c r="AL182" s="122" t="s">
        <v>175</v>
      </c>
      <c r="AM182" s="122">
        <v>-6</v>
      </c>
      <c r="AN182" s="134" t="s">
        <v>176</v>
      </c>
      <c r="AO182" s="134" t="s">
        <v>177</v>
      </c>
      <c r="AP182" s="135">
        <f t="shared" si="110"/>
        <v>0.55516123783996307</v>
      </c>
      <c r="AQ182" s="135">
        <f t="shared" si="111"/>
        <v>0.55516123783996307</v>
      </c>
      <c r="AR182" s="117">
        <v>-2.403096219</v>
      </c>
      <c r="AS182" s="117">
        <v>0</v>
      </c>
      <c r="AT182" s="117">
        <v>0</v>
      </c>
      <c r="AU182" s="117">
        <v>-1.139176051</v>
      </c>
      <c r="AV182" s="117">
        <v>-0.64639201700000004</v>
      </c>
      <c r="AW182" s="117">
        <v>-3.0799001999999999E-2</v>
      </c>
      <c r="AX182" s="117">
        <v>0.56958802500000005</v>
      </c>
      <c r="AY182" s="117">
        <v>1.0927840339999999</v>
      </c>
      <c r="AZ182" s="117">
        <v>0</v>
      </c>
      <c r="BA182" s="117">
        <v>0</v>
      </c>
      <c r="BB182" s="117">
        <v>1.666531199</v>
      </c>
      <c r="BC182" s="136" t="str">
        <f t="shared" si="28"/>
        <v>-1</v>
      </c>
      <c r="BD182" s="136" t="s">
        <v>178</v>
      </c>
      <c r="BE182" s="136" t="s">
        <v>518</v>
      </c>
      <c r="BF182" s="136" t="s">
        <v>292</v>
      </c>
      <c r="BG182" s="120" t="s">
        <v>678</v>
      </c>
      <c r="BH182" s="136" t="str">
        <f t="shared" si="105"/>
        <v>&lt;MTL</v>
      </c>
      <c r="BI182" s="136">
        <f t="shared" si="106"/>
        <v>-3.0799001999999999E-2</v>
      </c>
      <c r="BJ182" s="136" t="str">
        <f t="shared" si="107"/>
        <v>Nil</v>
      </c>
      <c r="BK182" s="136">
        <f t="shared" si="108"/>
        <v>0.05</v>
      </c>
      <c r="BL182" s="136" t="s">
        <v>736</v>
      </c>
      <c r="BM182" s="136" t="s">
        <v>175</v>
      </c>
      <c r="BN182" s="136" t="s">
        <v>175</v>
      </c>
      <c r="BO182" s="136" t="s">
        <v>736</v>
      </c>
      <c r="BP182" s="137" t="s">
        <v>175</v>
      </c>
      <c r="BQ182" s="137" t="s">
        <v>175</v>
      </c>
      <c r="BR182" s="137" t="s">
        <v>175</v>
      </c>
      <c r="BS182" s="137" t="s">
        <v>175</v>
      </c>
      <c r="BT182" s="138">
        <f t="shared" si="29"/>
        <v>-5.9692009979999998</v>
      </c>
      <c r="BU182" s="138">
        <f t="shared" si="30"/>
        <v>0.55740828842061552</v>
      </c>
      <c r="BV182" s="138">
        <f t="shared" si="31"/>
        <v>0.55740828842061552</v>
      </c>
      <c r="BW182" s="53" t="s">
        <v>175</v>
      </c>
      <c r="BX182" s="53" t="s">
        <v>175</v>
      </c>
      <c r="BY182" s="53" t="s">
        <v>175</v>
      </c>
      <c r="BZ182" s="53" t="s">
        <v>175</v>
      </c>
      <c r="CA182" s="147">
        <v>2</v>
      </c>
      <c r="CB182" s="54">
        <v>0</v>
      </c>
    </row>
    <row r="183" spans="1:80">
      <c r="A183" s="123" t="s">
        <v>477</v>
      </c>
      <c r="B183" s="124" t="s">
        <v>859</v>
      </c>
      <c r="C183" s="148" t="s">
        <v>674</v>
      </c>
      <c r="D183" s="125" t="s">
        <v>741</v>
      </c>
      <c r="E183" s="127">
        <v>22.833333333333332</v>
      </c>
      <c r="F183" s="127">
        <v>113.28333333333333</v>
      </c>
      <c r="G183" s="128" t="s">
        <v>168</v>
      </c>
      <c r="H183" s="129">
        <v>6310.681864716249</v>
      </c>
      <c r="I183" s="129">
        <v>303.84707864977082</v>
      </c>
      <c r="J183" s="129">
        <v>6581</v>
      </c>
      <c r="K183" s="129">
        <v>681</v>
      </c>
      <c r="L183" s="129">
        <v>680</v>
      </c>
      <c r="M183" s="130" t="s">
        <v>478</v>
      </c>
      <c r="N183" s="130" t="s">
        <v>339</v>
      </c>
      <c r="O183" s="130" t="s">
        <v>479</v>
      </c>
      <c r="P183" s="130" t="s">
        <v>175</v>
      </c>
      <c r="Q183" s="130" t="s">
        <v>172</v>
      </c>
      <c r="R183" s="131">
        <v>0.5</v>
      </c>
      <c r="S183" s="131" t="s">
        <v>175</v>
      </c>
      <c r="T183" s="130">
        <v>1</v>
      </c>
      <c r="U183" s="132" t="s">
        <v>173</v>
      </c>
      <c r="V183" s="133">
        <v>0.1</v>
      </c>
      <c r="W183" s="132" t="s">
        <v>174</v>
      </c>
      <c r="X183" s="133">
        <v>0.1</v>
      </c>
      <c r="Y183" s="133">
        <v>0.05</v>
      </c>
      <c r="Z183" s="133">
        <v>0.01</v>
      </c>
      <c r="AA183" s="133">
        <v>0.15</v>
      </c>
      <c r="AB183" s="133">
        <f t="shared" si="112"/>
        <v>0.01</v>
      </c>
      <c r="AC183" s="134">
        <v>0</v>
      </c>
      <c r="AD183" s="134">
        <v>0</v>
      </c>
      <c r="AE183" s="134">
        <v>0.5</v>
      </c>
      <c r="AF183" s="134">
        <v>0</v>
      </c>
      <c r="AG183" s="134">
        <v>0.1</v>
      </c>
      <c r="AH183" s="134">
        <v>0</v>
      </c>
      <c r="AI183" s="134">
        <v>0</v>
      </c>
      <c r="AJ183" s="134">
        <v>0</v>
      </c>
      <c r="AK183" s="134" t="s">
        <v>175</v>
      </c>
      <c r="AL183" s="122" t="s">
        <v>175</v>
      </c>
      <c r="AM183" s="122">
        <v>-0.5</v>
      </c>
      <c r="AN183" s="134" t="s">
        <v>176</v>
      </c>
      <c r="AO183" s="134" t="s">
        <v>177</v>
      </c>
      <c r="AP183" s="135">
        <f t="shared" si="110"/>
        <v>0.53404119691274754</v>
      </c>
      <c r="AQ183" s="135">
        <f t="shared" si="111"/>
        <v>0.53404119691274754</v>
      </c>
      <c r="AR183" s="117">
        <v>-2.1881947410000002</v>
      </c>
      <c r="AS183" s="117">
        <v>0</v>
      </c>
      <c r="AT183" s="117">
        <v>0</v>
      </c>
      <c r="AU183" s="117">
        <v>-0.98234135499999997</v>
      </c>
      <c r="AV183" s="117">
        <v>-0.58760276600000005</v>
      </c>
      <c r="AW183" s="117">
        <v>-1.418119E-3</v>
      </c>
      <c r="AX183" s="117">
        <v>0.61386058099999996</v>
      </c>
      <c r="AY183" s="117">
        <v>0.95041106399999997</v>
      </c>
      <c r="AZ183" s="117">
        <v>0</v>
      </c>
      <c r="BA183" s="117">
        <v>0</v>
      </c>
      <c r="BB183" s="117">
        <v>1.850411064</v>
      </c>
      <c r="BC183" s="136" t="str">
        <f t="shared" si="28"/>
        <v>-1</v>
      </c>
      <c r="BD183" s="136" t="s">
        <v>178</v>
      </c>
      <c r="BE183" s="136" t="s">
        <v>518</v>
      </c>
      <c r="BF183" s="136" t="s">
        <v>292</v>
      </c>
      <c r="BG183" s="120" t="s">
        <v>678</v>
      </c>
      <c r="BH183" s="136" t="str">
        <f t="shared" si="105"/>
        <v>&lt;MTL</v>
      </c>
      <c r="BI183" s="136">
        <f t="shared" si="106"/>
        <v>-1.418119E-3</v>
      </c>
      <c r="BJ183" s="136" t="str">
        <f t="shared" si="107"/>
        <v>Nil</v>
      </c>
      <c r="BK183" s="136">
        <f t="shared" si="108"/>
        <v>0.05</v>
      </c>
      <c r="BL183" s="136" t="s">
        <v>736</v>
      </c>
      <c r="BM183" s="136" t="s">
        <v>175</v>
      </c>
      <c r="BN183" s="136" t="s">
        <v>175</v>
      </c>
      <c r="BO183" s="136" t="s">
        <v>736</v>
      </c>
      <c r="BP183" s="137" t="s">
        <v>175</v>
      </c>
      <c r="BQ183" s="137" t="s">
        <v>175</v>
      </c>
      <c r="BR183" s="137" t="s">
        <v>175</v>
      </c>
      <c r="BS183" s="137" t="s">
        <v>175</v>
      </c>
      <c r="BT183" s="138">
        <f t="shared" si="29"/>
        <v>-0.498581881</v>
      </c>
      <c r="BU183" s="138">
        <f t="shared" si="30"/>
        <v>0.53637673327615543</v>
      </c>
      <c r="BV183" s="138">
        <f t="shared" si="31"/>
        <v>0.53637673327615543</v>
      </c>
      <c r="BW183" s="53" t="s">
        <v>175</v>
      </c>
      <c r="BX183" s="53" t="s">
        <v>175</v>
      </c>
      <c r="BY183" s="53" t="s">
        <v>175</v>
      </c>
      <c r="BZ183" s="53" t="s">
        <v>175</v>
      </c>
      <c r="CA183" s="147">
        <v>2</v>
      </c>
      <c r="CB183" s="54">
        <v>0</v>
      </c>
    </row>
    <row r="184" spans="1:80">
      <c r="A184" s="123" t="s">
        <v>496</v>
      </c>
      <c r="B184" s="124" t="s">
        <v>975</v>
      </c>
      <c r="C184" s="148" t="s">
        <v>674</v>
      </c>
      <c r="D184" s="125" t="s">
        <v>741</v>
      </c>
      <c r="E184" s="127">
        <v>22.833333333333332</v>
      </c>
      <c r="F184" s="127">
        <v>113.28333333333333</v>
      </c>
      <c r="G184" s="128" t="s">
        <v>168</v>
      </c>
      <c r="H184" s="129">
        <v>6940.6818647162481</v>
      </c>
      <c r="I184" s="129">
        <v>157.55331543322089</v>
      </c>
      <c r="J184" s="129">
        <v>7254</v>
      </c>
      <c r="K184" s="129">
        <v>349</v>
      </c>
      <c r="L184" s="129">
        <v>396</v>
      </c>
      <c r="M184" s="130" t="s">
        <v>412</v>
      </c>
      <c r="N184" s="130" t="s">
        <v>339</v>
      </c>
      <c r="O184" s="130" t="s">
        <v>300</v>
      </c>
      <c r="P184" s="130" t="s">
        <v>300</v>
      </c>
      <c r="Q184" s="130" t="s">
        <v>377</v>
      </c>
      <c r="R184" s="131">
        <v>10</v>
      </c>
      <c r="S184" s="131">
        <v>18</v>
      </c>
      <c r="T184" s="130">
        <v>1</v>
      </c>
      <c r="U184" s="132" t="s">
        <v>173</v>
      </c>
      <c r="V184" s="133">
        <v>0.1</v>
      </c>
      <c r="W184" s="132" t="s">
        <v>174</v>
      </c>
      <c r="X184" s="133">
        <v>0.1</v>
      </c>
      <c r="Y184" s="133">
        <v>0.05</v>
      </c>
      <c r="Z184" s="133">
        <v>0.01</v>
      </c>
      <c r="AA184" s="133">
        <v>0.15</v>
      </c>
      <c r="AB184" s="133">
        <f t="shared" si="112"/>
        <v>0.2</v>
      </c>
      <c r="AC184" s="134">
        <v>0</v>
      </c>
      <c r="AD184" s="134">
        <v>0</v>
      </c>
      <c r="AE184" s="134">
        <v>0.5</v>
      </c>
      <c r="AF184" s="134">
        <v>0</v>
      </c>
      <c r="AG184" s="134">
        <v>0.1</v>
      </c>
      <c r="AH184" s="134">
        <v>0</v>
      </c>
      <c r="AI184" s="134">
        <v>0</v>
      </c>
      <c r="AJ184" s="134">
        <v>0</v>
      </c>
      <c r="AK184" s="134" t="s">
        <v>175</v>
      </c>
      <c r="AL184" s="122" t="s">
        <v>175</v>
      </c>
      <c r="AM184" s="122">
        <v>-8.4</v>
      </c>
      <c r="AN184" s="134" t="s">
        <v>176</v>
      </c>
      <c r="AO184" s="134" t="s">
        <v>177</v>
      </c>
      <c r="AP184" s="135">
        <f t="shared" si="110"/>
        <v>0.57017541160593732</v>
      </c>
      <c r="AQ184" s="135">
        <f t="shared" si="111"/>
        <v>0.57017541160593732</v>
      </c>
      <c r="AR184" s="117">
        <v>-2.1881947410000002</v>
      </c>
      <c r="AS184" s="117">
        <v>0</v>
      </c>
      <c r="AT184" s="117">
        <v>0</v>
      </c>
      <c r="AU184" s="117">
        <v>-0.98234135499999997</v>
      </c>
      <c r="AV184" s="117">
        <v>-0.58760276600000005</v>
      </c>
      <c r="AW184" s="117">
        <v>-1.418119E-3</v>
      </c>
      <c r="AX184" s="117">
        <v>0.61386058099999996</v>
      </c>
      <c r="AY184" s="117">
        <v>0.95041106399999997</v>
      </c>
      <c r="AZ184" s="117">
        <v>0</v>
      </c>
      <c r="BA184" s="117">
        <v>0</v>
      </c>
      <c r="BB184" s="117">
        <v>2.3366533289999998</v>
      </c>
      <c r="BC184" s="136" t="str">
        <f t="shared" si="28"/>
        <v>-1</v>
      </c>
      <c r="BD184" s="136" t="s">
        <v>178</v>
      </c>
      <c r="BE184" s="136" t="s">
        <v>518</v>
      </c>
      <c r="BF184" s="136" t="s">
        <v>292</v>
      </c>
      <c r="BG184" s="120" t="s">
        <v>678</v>
      </c>
      <c r="BH184" s="136" t="str">
        <f t="shared" si="105"/>
        <v>&lt;MTL</v>
      </c>
      <c r="BI184" s="136">
        <f t="shared" si="106"/>
        <v>-1.418119E-3</v>
      </c>
      <c r="BJ184" s="136" t="str">
        <f t="shared" si="107"/>
        <v>Nil</v>
      </c>
      <c r="BK184" s="136">
        <f t="shared" si="108"/>
        <v>0.05</v>
      </c>
      <c r="BL184" s="136" t="s">
        <v>736</v>
      </c>
      <c r="BM184" s="136" t="s">
        <v>175</v>
      </c>
      <c r="BN184" s="136" t="s">
        <v>175</v>
      </c>
      <c r="BO184" s="136" t="s">
        <v>736</v>
      </c>
      <c r="BP184" s="137" t="s">
        <v>175</v>
      </c>
      <c r="BQ184" s="137" t="s">
        <v>175</v>
      </c>
      <c r="BR184" s="137" t="s">
        <v>175</v>
      </c>
      <c r="BS184" s="137" t="s">
        <v>175</v>
      </c>
      <c r="BT184" s="138">
        <f t="shared" si="29"/>
        <v>-8.3985818810000001</v>
      </c>
      <c r="BU184" s="138">
        <f t="shared" si="30"/>
        <v>0.5723635208501674</v>
      </c>
      <c r="BV184" s="138">
        <f t="shared" si="31"/>
        <v>0.5723635208501674</v>
      </c>
      <c r="BW184" s="53" t="s">
        <v>175</v>
      </c>
      <c r="BX184" s="53" t="s">
        <v>175</v>
      </c>
      <c r="BY184" s="53" t="s">
        <v>175</v>
      </c>
      <c r="BZ184" s="53" t="s">
        <v>175</v>
      </c>
      <c r="CA184" s="147">
        <v>2</v>
      </c>
      <c r="CB184" s="54">
        <v>0</v>
      </c>
    </row>
    <row r="185" spans="1:80">
      <c r="A185" s="123" t="s">
        <v>502</v>
      </c>
      <c r="B185" s="124" t="s">
        <v>971</v>
      </c>
      <c r="C185" s="148" t="s">
        <v>674</v>
      </c>
      <c r="D185" s="125" t="s">
        <v>741</v>
      </c>
      <c r="E185" s="127">
        <v>22.716666666666665</v>
      </c>
      <c r="F185" s="127">
        <v>113.25</v>
      </c>
      <c r="G185" s="128" t="s">
        <v>168</v>
      </c>
      <c r="H185" s="129">
        <v>7855.3589885814699</v>
      </c>
      <c r="I185" s="129">
        <v>191.95300536548001</v>
      </c>
      <c r="J185" s="129">
        <v>8719</v>
      </c>
      <c r="K185" s="129">
        <v>551</v>
      </c>
      <c r="L185" s="129">
        <v>495</v>
      </c>
      <c r="M185" s="130" t="s">
        <v>503</v>
      </c>
      <c r="N185" s="146" t="s">
        <v>528</v>
      </c>
      <c r="O185" s="130" t="s">
        <v>366</v>
      </c>
      <c r="P185" s="130" t="s">
        <v>504</v>
      </c>
      <c r="Q185" s="130" t="s">
        <v>172</v>
      </c>
      <c r="R185" s="130">
        <v>20.7</v>
      </c>
      <c r="S185" s="131">
        <v>0.2</v>
      </c>
      <c r="T185" s="130">
        <v>0</v>
      </c>
      <c r="U185" s="132" t="s">
        <v>173</v>
      </c>
      <c r="V185" s="133">
        <v>0.1</v>
      </c>
      <c r="W185" s="132" t="s">
        <v>174</v>
      </c>
      <c r="X185" s="133">
        <v>0.1</v>
      </c>
      <c r="Y185" s="133">
        <v>0.05</v>
      </c>
      <c r="Z185" s="133">
        <v>0.01</v>
      </c>
      <c r="AA185" s="133">
        <v>0.15</v>
      </c>
      <c r="AB185" s="133">
        <f t="shared" si="112"/>
        <v>0.41399999999999998</v>
      </c>
      <c r="AC185" s="134">
        <v>0</v>
      </c>
      <c r="AD185" s="134">
        <v>0</v>
      </c>
      <c r="AE185" s="134">
        <v>0.5</v>
      </c>
      <c r="AF185" s="134">
        <v>0</v>
      </c>
      <c r="AG185" s="134">
        <v>0.1</v>
      </c>
      <c r="AH185" s="134">
        <v>0</v>
      </c>
      <c r="AI185" s="134">
        <v>0</v>
      </c>
      <c r="AJ185" s="134">
        <v>0</v>
      </c>
      <c r="AK185" s="134" t="s">
        <v>175</v>
      </c>
      <c r="AL185" s="122" t="s">
        <v>175</v>
      </c>
      <c r="AM185" s="122">
        <v>-22.6</v>
      </c>
      <c r="AN185" s="134" t="s">
        <v>176</v>
      </c>
      <c r="AO185" s="134" t="s">
        <v>177</v>
      </c>
      <c r="AP185" s="134">
        <v>0.15459624833740307</v>
      </c>
      <c r="AQ185" s="135">
        <f t="shared" si="111"/>
        <v>0.67564487713591082</v>
      </c>
      <c r="AR185" s="117">
        <v>-2.334945324</v>
      </c>
      <c r="AS185" s="117">
        <v>0</v>
      </c>
      <c r="AT185" s="117">
        <v>0</v>
      </c>
      <c r="AU185" s="117">
        <v>-1.0242700929999999</v>
      </c>
      <c r="AV185" s="117">
        <v>-0.59583876800000002</v>
      </c>
      <c r="AW185" s="117">
        <v>-1.2309370000000001E-3</v>
      </c>
      <c r="AX185" s="117">
        <v>0.63183003999999998</v>
      </c>
      <c r="AY185" s="117">
        <v>0.98335507300000002</v>
      </c>
      <c r="AZ185" s="117">
        <v>0</v>
      </c>
      <c r="BA185" s="117">
        <v>0</v>
      </c>
      <c r="BB185" s="117">
        <v>1.699201814</v>
      </c>
      <c r="BC185" s="136" t="str">
        <f t="shared" ref="BC185:BC255" si="113">IF(BG185="1","1 ",
IF(BG185="2a","0",
IF(BG185="2b","1 ",
IF(BG185="3a","-1 ",
IF(BG185="3b","0 ",
IF(BG185="3c","0",
IF(BG185="3d","-1 ",
IF(BG185="3e","1 ",
IF(BG185="4","1 ",
IF(BG185="5","1",
IF(BG185="6","-1 ",
IF(BG185="7","-1 ",
IF(BG185="8","0",
IF(BG185="9","-1",
IF(BG185="10a","-1 ",
IF(BG185="10b","0",
IF(BG185="11","1 ",
IF(BG185="12a","0",
IF(BG185="12b","-1 ","")))))))))))))))))))</f>
        <v>-1</v>
      </c>
      <c r="BD185" s="136" t="s">
        <v>178</v>
      </c>
      <c r="BE185" s="136" t="s">
        <v>518</v>
      </c>
      <c r="BF185" s="136" t="s">
        <v>301</v>
      </c>
      <c r="BG185" s="120" t="s">
        <v>678</v>
      </c>
      <c r="BH185" s="136" t="str">
        <f t="shared" si="105"/>
        <v>&lt;MTL</v>
      </c>
      <c r="BI185" s="136">
        <f t="shared" si="106"/>
        <v>-1.2309370000000001E-3</v>
      </c>
      <c r="BJ185" s="136" t="str">
        <f t="shared" si="107"/>
        <v>Nil</v>
      </c>
      <c r="BK185" s="136">
        <f t="shared" si="108"/>
        <v>0.05</v>
      </c>
      <c r="BL185" s="136" t="s">
        <v>736</v>
      </c>
      <c r="BM185" s="136" t="s">
        <v>175</v>
      </c>
      <c r="BN185" s="136" t="s">
        <v>175</v>
      </c>
      <c r="BO185" s="136" t="s">
        <v>736</v>
      </c>
      <c r="BP185" s="137" t="s">
        <v>175</v>
      </c>
      <c r="BQ185" s="137" t="s">
        <v>175</v>
      </c>
      <c r="BR185" s="137" t="s">
        <v>175</v>
      </c>
      <c r="BS185" s="137" t="s">
        <v>175</v>
      </c>
      <c r="BT185" s="138">
        <f t="shared" ref="BT185:BT255" si="114">AM185-BI185</f>
        <v>-22.598769063000002</v>
      </c>
      <c r="BU185" s="138">
        <f t="shared" ref="BU185:BU255" si="115">SQRT(SUMSQ(AP185,BJ185,IF(OR(BK185="nd",BK185="nd"),0,BK185),IF(OR(BL185="nd",BL185="nd"),0,BL185),IF(OR(BO185="nd",BO185="nd"),0,BO185)))</f>
        <v>0.16248076809271922</v>
      </c>
      <c r="BV185" s="138">
        <f t="shared" ref="BV185:BV255" si="116">SQRT(SUMSQ(AP185,BJ185,IF(OR(BK185="nd",BK185="nd"),0,BK185),IF(OR(BL185="nd",BL185="nd"),0,BL185),IF(OR(BO185="nd",BO185="nd"),0,BO185)))</f>
        <v>0.16248076809271922</v>
      </c>
      <c r="BW185" s="53" t="s">
        <v>175</v>
      </c>
      <c r="BX185" s="53" t="s">
        <v>175</v>
      </c>
      <c r="BY185" s="53" t="s">
        <v>175</v>
      </c>
      <c r="BZ185" s="53" t="s">
        <v>175</v>
      </c>
      <c r="CA185" s="147">
        <v>2</v>
      </c>
      <c r="CB185" s="54">
        <v>0</v>
      </c>
    </row>
    <row r="186" spans="1:80">
      <c r="A186" s="123" t="s">
        <v>459</v>
      </c>
      <c r="B186" s="124" t="s">
        <v>732</v>
      </c>
      <c r="C186" s="148" t="s">
        <v>674</v>
      </c>
      <c r="D186" s="125" t="s">
        <v>741</v>
      </c>
      <c r="E186" s="127">
        <v>22.674233999999998</v>
      </c>
      <c r="F186" s="127">
        <v>113.237593</v>
      </c>
      <c r="G186" s="128" t="s">
        <v>168</v>
      </c>
      <c r="H186" s="129">
        <v>5330.6818647162499</v>
      </c>
      <c r="I186" s="129">
        <v>254.60370618669322</v>
      </c>
      <c r="J186" s="129">
        <v>5506</v>
      </c>
      <c r="K186" s="129">
        <v>600</v>
      </c>
      <c r="L186" s="129">
        <v>647</v>
      </c>
      <c r="M186" s="130" t="s">
        <v>460</v>
      </c>
      <c r="N186" s="130" t="s">
        <v>170</v>
      </c>
      <c r="O186" s="130" t="s">
        <v>461</v>
      </c>
      <c r="P186" s="130" t="s">
        <v>175</v>
      </c>
      <c r="Q186" s="130" t="s">
        <v>456</v>
      </c>
      <c r="R186" s="131">
        <v>7.7</v>
      </c>
      <c r="S186" s="131">
        <v>13</v>
      </c>
      <c r="T186" s="130">
        <v>1</v>
      </c>
      <c r="U186" s="132" t="s">
        <v>173</v>
      </c>
      <c r="V186" s="133">
        <v>0.1</v>
      </c>
      <c r="W186" s="132" t="s">
        <v>174</v>
      </c>
      <c r="X186" s="133">
        <v>0.1</v>
      </c>
      <c r="Y186" s="133">
        <v>0.05</v>
      </c>
      <c r="Z186" s="133">
        <v>0.01</v>
      </c>
      <c r="AA186" s="133">
        <v>0.15</v>
      </c>
      <c r="AB186" s="133">
        <f t="shared" si="112"/>
        <v>0.154</v>
      </c>
      <c r="AC186" s="134">
        <v>0</v>
      </c>
      <c r="AD186" s="134">
        <v>0</v>
      </c>
      <c r="AE186" s="134">
        <v>0.5</v>
      </c>
      <c r="AF186" s="134">
        <v>0</v>
      </c>
      <c r="AG186" s="134">
        <v>0.1</v>
      </c>
      <c r="AH186" s="134">
        <v>0</v>
      </c>
      <c r="AI186" s="134">
        <v>0</v>
      </c>
      <c r="AJ186" s="134">
        <v>0</v>
      </c>
      <c r="AK186" s="134" t="s">
        <v>175</v>
      </c>
      <c r="AL186" s="122" t="s">
        <v>175</v>
      </c>
      <c r="AM186" s="122">
        <v>-5.6</v>
      </c>
      <c r="AN186" s="134" t="s">
        <v>176</v>
      </c>
      <c r="AO186" s="134" t="s">
        <v>177</v>
      </c>
      <c r="AP186" s="135">
        <f t="shared" ref="AP186:AP256" si="117">SQRT(SUMSQ(IF(OR(Y186="nd",Y186="nd"),0,Y186),IF(OR(Z186="nd",Z186="nd"),0,Z186),IF(OR(AA186="nd",AA186="nd"),0,AA186),IF(OR(AB186="nd",AB186="nd"),0,AB186),IF(OR(AC186="nd",AC186="nd"),0,AC186),IF(OR(AD186="nd",AD186="nd"),0,AD186),IF(OR(AE186="nd",AE186="nd"),0,AE186),IF(OR(AF186="nd",AF186="nd"),0,AF186),IF(OR(AG186="nd",AG186="nd"),0,AG186),IF(OR(AH186="nd",AH186="nd"),0,AH186),IF(OR(AI186="nd",AI186="nd"),0,AI186),IF(OR(AJ186="nd",AJ186="nd"),0,AJ186)))</f>
        <v>0.55571215570653121</v>
      </c>
      <c r="AQ186" s="135">
        <f t="shared" si="111"/>
        <v>0.55571215570653121</v>
      </c>
      <c r="AR186" s="117">
        <v>-3.350089766</v>
      </c>
      <c r="AS186" s="117">
        <v>0</v>
      </c>
      <c r="AT186" s="117">
        <v>0</v>
      </c>
      <c r="AU186" s="117">
        <v>-1.350089766</v>
      </c>
      <c r="AV186" s="117">
        <v>-0.70008976599999995</v>
      </c>
      <c r="AW186" s="117">
        <v>-1.2522442E-2</v>
      </c>
      <c r="AX186" s="117">
        <v>0.75</v>
      </c>
      <c r="AY186" s="117">
        <v>1.2500897660000001</v>
      </c>
      <c r="AZ186" s="117">
        <v>0</v>
      </c>
      <c r="BA186" s="117">
        <v>0</v>
      </c>
      <c r="BB186" s="117">
        <v>2.2502692980000001</v>
      </c>
      <c r="BC186" s="136" t="str">
        <f t="shared" si="113"/>
        <v xml:space="preserve">-1 </v>
      </c>
      <c r="BD186" s="136" t="s">
        <v>178</v>
      </c>
      <c r="BE186" s="136" t="s">
        <v>625</v>
      </c>
      <c r="BF186" s="136" t="s">
        <v>292</v>
      </c>
      <c r="BG186" s="120" t="s">
        <v>677</v>
      </c>
      <c r="BH186" s="136" t="str">
        <f t="shared" si="105"/>
        <v>&lt;MTL</v>
      </c>
      <c r="BI186" s="136">
        <f t="shared" si="106"/>
        <v>-1.2522442E-2</v>
      </c>
      <c r="BJ186" s="136" t="str">
        <f t="shared" si="107"/>
        <v>Nil</v>
      </c>
      <c r="BK186" s="136">
        <f t="shared" si="108"/>
        <v>0.05</v>
      </c>
      <c r="BL186" s="136" t="s">
        <v>736</v>
      </c>
      <c r="BM186" s="136" t="s">
        <v>175</v>
      </c>
      <c r="BN186" s="136" t="s">
        <v>175</v>
      </c>
      <c r="BO186" s="136" t="s">
        <v>736</v>
      </c>
      <c r="BP186" s="137" t="s">
        <v>175</v>
      </c>
      <c r="BQ186" s="137" t="s">
        <v>175</v>
      </c>
      <c r="BR186" s="137" t="s">
        <v>175</v>
      </c>
      <c r="BS186" s="137" t="s">
        <v>175</v>
      </c>
      <c r="BT186" s="138">
        <f t="shared" si="114"/>
        <v>-5.5874775579999998</v>
      </c>
      <c r="BU186" s="138">
        <f t="shared" si="115"/>
        <v>0.55795698758954526</v>
      </c>
      <c r="BV186" s="138">
        <f t="shared" si="116"/>
        <v>0.55795698758954526</v>
      </c>
      <c r="BW186" s="53" t="s">
        <v>175</v>
      </c>
      <c r="BX186" s="53" t="s">
        <v>175</v>
      </c>
      <c r="BY186" s="53" t="s">
        <v>175</v>
      </c>
      <c r="BZ186" s="53" t="s">
        <v>175</v>
      </c>
      <c r="CA186" s="147">
        <v>2</v>
      </c>
      <c r="CB186" s="54">
        <v>0</v>
      </c>
    </row>
    <row r="187" spans="1:80">
      <c r="A187" s="123" t="s">
        <v>544</v>
      </c>
      <c r="B187" s="124" t="s">
        <v>545</v>
      </c>
      <c r="C187" s="148" t="s">
        <v>674</v>
      </c>
      <c r="D187" s="126" t="s">
        <v>741</v>
      </c>
      <c r="E187" s="127">
        <v>22.483152357409701</v>
      </c>
      <c r="F187" s="127">
        <v>113.233522645843</v>
      </c>
      <c r="G187" s="128" t="s">
        <v>168</v>
      </c>
      <c r="H187" s="145">
        <v>3450</v>
      </c>
      <c r="I187" s="145">
        <v>30</v>
      </c>
      <c r="J187" s="129">
        <v>3165</v>
      </c>
      <c r="K187" s="129">
        <v>223</v>
      </c>
      <c r="L187" s="129">
        <v>245</v>
      </c>
      <c r="M187" s="149" t="s">
        <v>860</v>
      </c>
      <c r="N187" s="130" t="s">
        <v>617</v>
      </c>
      <c r="O187" s="130" t="s">
        <v>861</v>
      </c>
      <c r="P187" s="130" t="s">
        <v>862</v>
      </c>
      <c r="Q187" s="130" t="s">
        <v>377</v>
      </c>
      <c r="R187" s="131">
        <v>8.75</v>
      </c>
      <c r="S187" s="131">
        <f>30-R187</f>
        <v>21.25</v>
      </c>
      <c r="T187" s="130">
        <v>1</v>
      </c>
      <c r="U187" s="132" t="s">
        <v>173</v>
      </c>
      <c r="V187" s="133">
        <v>0.01</v>
      </c>
      <c r="W187" s="132" t="s">
        <v>174</v>
      </c>
      <c r="X187" s="133">
        <v>0.01</v>
      </c>
      <c r="Y187" s="133">
        <v>5.0000000000000001E-3</v>
      </c>
      <c r="Z187" s="133">
        <v>0.01</v>
      </c>
      <c r="AA187" s="133">
        <v>0.15</v>
      </c>
      <c r="AB187" s="133">
        <f t="shared" si="112"/>
        <v>0.17500000000000002</v>
      </c>
      <c r="AC187" s="134">
        <v>0</v>
      </c>
      <c r="AD187" s="134">
        <v>0</v>
      </c>
      <c r="AE187" s="134">
        <v>0.03</v>
      </c>
      <c r="AF187" s="134">
        <v>0</v>
      </c>
      <c r="AG187" s="134">
        <v>0.1</v>
      </c>
      <c r="AH187" s="134">
        <v>0</v>
      </c>
      <c r="AI187" s="134">
        <v>1</v>
      </c>
      <c r="AJ187" s="134">
        <v>0</v>
      </c>
      <c r="AK187" s="134" t="s">
        <v>175</v>
      </c>
      <c r="AL187" s="122" t="s">
        <v>175</v>
      </c>
      <c r="AM187" s="122">
        <f>1-8.75</f>
        <v>-7.75</v>
      </c>
      <c r="AN187" s="134" t="s">
        <v>176</v>
      </c>
      <c r="AO187" s="122" t="s">
        <v>177</v>
      </c>
      <c r="AP187" s="135">
        <f t="shared" si="117"/>
        <v>1.0315764634771385</v>
      </c>
      <c r="AQ187" s="135">
        <f t="shared" si="111"/>
        <v>1.0315764634771385</v>
      </c>
      <c r="AR187" s="117">
        <v>-1.7161785190000001</v>
      </c>
      <c r="AS187" s="117">
        <v>0</v>
      </c>
      <c r="AT187" s="117">
        <v>0</v>
      </c>
      <c r="AU187" s="117">
        <v>-1.009313498</v>
      </c>
      <c r="AV187" s="117">
        <v>-0.58602975300000004</v>
      </c>
      <c r="AW187" s="117">
        <v>-2.8492561999999999E-2</v>
      </c>
      <c r="AX187" s="117">
        <v>0.49068650200000002</v>
      </c>
      <c r="AY187" s="117">
        <v>0.99068650199999997</v>
      </c>
      <c r="AZ187" s="117">
        <v>0</v>
      </c>
      <c r="BA187" s="117">
        <v>0</v>
      </c>
      <c r="BB187" s="117">
        <v>1.813652899</v>
      </c>
      <c r="BC187" s="136" t="str">
        <f t="shared" si="113"/>
        <v>-1</v>
      </c>
      <c r="BD187" s="136" t="s">
        <v>178</v>
      </c>
      <c r="BE187" s="152" t="s">
        <v>696</v>
      </c>
      <c r="BF187" s="152" t="s">
        <v>668</v>
      </c>
      <c r="BG187" s="120" t="s">
        <v>678</v>
      </c>
      <c r="BH187" s="136" t="str">
        <f t="shared" si="105"/>
        <v>&lt;MTL</v>
      </c>
      <c r="BI187" s="136">
        <f t="shared" si="106"/>
        <v>-2.8492561999999999E-2</v>
      </c>
      <c r="BJ187" s="136" t="str">
        <f t="shared" si="107"/>
        <v>Nil</v>
      </c>
      <c r="BK187" s="136">
        <f t="shared" si="108"/>
        <v>0.05</v>
      </c>
      <c r="BL187" s="136" t="s">
        <v>736</v>
      </c>
      <c r="BM187" s="136" t="s">
        <v>175</v>
      </c>
      <c r="BN187" s="136" t="s">
        <v>175</v>
      </c>
      <c r="BO187" s="136" t="s">
        <v>736</v>
      </c>
      <c r="BP187" s="137" t="s">
        <v>175</v>
      </c>
      <c r="BQ187" s="137" t="s">
        <v>175</v>
      </c>
      <c r="BR187" s="137" t="s">
        <v>175</v>
      </c>
      <c r="BS187" s="137" t="s">
        <v>175</v>
      </c>
      <c r="BT187" s="138">
        <f t="shared" si="114"/>
        <v>-7.7215074379999997</v>
      </c>
      <c r="BU187" s="138">
        <f t="shared" si="115"/>
        <v>1.0327874902418213</v>
      </c>
      <c r="BV187" s="138">
        <f t="shared" si="116"/>
        <v>1.0327874902418213</v>
      </c>
      <c r="BW187" s="53" t="s">
        <v>175</v>
      </c>
      <c r="BX187" s="53" t="s">
        <v>175</v>
      </c>
      <c r="BY187" s="53" t="s">
        <v>175</v>
      </c>
      <c r="BZ187" s="53" t="s">
        <v>175</v>
      </c>
      <c r="CA187" s="147">
        <v>1</v>
      </c>
      <c r="CB187" s="54">
        <v>0</v>
      </c>
    </row>
    <row r="188" spans="1:80">
      <c r="A188" s="123" t="s">
        <v>546</v>
      </c>
      <c r="B188" s="124" t="s">
        <v>545</v>
      </c>
      <c r="C188" s="148" t="s">
        <v>674</v>
      </c>
      <c r="D188" s="126" t="s">
        <v>741</v>
      </c>
      <c r="E188" s="127">
        <v>22.483152357409701</v>
      </c>
      <c r="F188" s="127">
        <v>113.233522645843</v>
      </c>
      <c r="G188" s="128" t="s">
        <v>168</v>
      </c>
      <c r="H188" s="145">
        <v>5090</v>
      </c>
      <c r="I188" s="145">
        <v>30</v>
      </c>
      <c r="J188" s="129">
        <v>5250</v>
      </c>
      <c r="K188" s="129">
        <v>225</v>
      </c>
      <c r="L188" s="129">
        <v>271</v>
      </c>
      <c r="M188" s="149" t="s">
        <v>860</v>
      </c>
      <c r="N188" s="130" t="s">
        <v>617</v>
      </c>
      <c r="O188" s="130" t="s">
        <v>861</v>
      </c>
      <c r="P188" s="130" t="s">
        <v>862</v>
      </c>
      <c r="Q188" s="130" t="s">
        <v>377</v>
      </c>
      <c r="R188" s="131">
        <v>12.75</v>
      </c>
      <c r="S188" s="131">
        <f t="shared" ref="S188:S205" si="118">30-R188</f>
        <v>17.25</v>
      </c>
      <c r="T188" s="130">
        <v>1</v>
      </c>
      <c r="U188" s="132" t="s">
        <v>173</v>
      </c>
      <c r="V188" s="133">
        <v>0.01</v>
      </c>
      <c r="W188" s="132" t="s">
        <v>174</v>
      </c>
      <c r="X188" s="133">
        <v>0.01</v>
      </c>
      <c r="Y188" s="133">
        <v>5.0000000000000001E-3</v>
      </c>
      <c r="Z188" s="133">
        <v>0.01</v>
      </c>
      <c r="AA188" s="133">
        <v>0.15</v>
      </c>
      <c r="AB188" s="133">
        <f t="shared" si="112"/>
        <v>0.255</v>
      </c>
      <c r="AC188" s="134">
        <v>0</v>
      </c>
      <c r="AD188" s="134">
        <v>0</v>
      </c>
      <c r="AE188" s="134">
        <v>0.03</v>
      </c>
      <c r="AF188" s="134">
        <v>0</v>
      </c>
      <c r="AG188" s="134">
        <v>0.1</v>
      </c>
      <c r="AH188" s="134">
        <v>0</v>
      </c>
      <c r="AI188" s="134">
        <v>1</v>
      </c>
      <c r="AJ188" s="134">
        <v>0</v>
      </c>
      <c r="AK188" s="134" t="s">
        <v>175</v>
      </c>
      <c r="AL188" s="122" t="s">
        <v>175</v>
      </c>
      <c r="AM188" s="122">
        <f>1-12.75</f>
        <v>-11.75</v>
      </c>
      <c r="AN188" s="134" t="s">
        <v>176</v>
      </c>
      <c r="AO188" s="122" t="s">
        <v>177</v>
      </c>
      <c r="AP188" s="135">
        <f t="shared" si="117"/>
        <v>1.0481173598409674</v>
      </c>
      <c r="AQ188" s="135">
        <f t="shared" si="111"/>
        <v>1.0481173598409674</v>
      </c>
      <c r="AR188" s="117">
        <v>-1.7161785190000001</v>
      </c>
      <c r="AS188" s="117">
        <v>0</v>
      </c>
      <c r="AT188" s="117">
        <v>0</v>
      </c>
      <c r="AU188" s="117">
        <v>-1.009313498</v>
      </c>
      <c r="AV188" s="117">
        <v>-0.58602975300000004</v>
      </c>
      <c r="AW188" s="117">
        <v>-2.8492561999999999E-2</v>
      </c>
      <c r="AX188" s="117">
        <v>0.49068650200000002</v>
      </c>
      <c r="AY188" s="117">
        <v>0.99068650199999997</v>
      </c>
      <c r="AZ188" s="117">
        <v>0</v>
      </c>
      <c r="BA188" s="117">
        <v>0</v>
      </c>
      <c r="BB188" s="117">
        <v>2.3431388210000001</v>
      </c>
      <c r="BC188" s="136" t="str">
        <f t="shared" si="113"/>
        <v>-1</v>
      </c>
      <c r="BD188" s="136" t="s">
        <v>178</v>
      </c>
      <c r="BE188" s="152" t="s">
        <v>696</v>
      </c>
      <c r="BF188" s="152" t="s">
        <v>668</v>
      </c>
      <c r="BG188" s="120" t="s">
        <v>678</v>
      </c>
      <c r="BH188" s="136" t="str">
        <f t="shared" si="105"/>
        <v>&lt;MTL</v>
      </c>
      <c r="BI188" s="136">
        <f t="shared" si="106"/>
        <v>-2.8492561999999999E-2</v>
      </c>
      <c r="BJ188" s="136" t="str">
        <f t="shared" si="107"/>
        <v>Nil</v>
      </c>
      <c r="BK188" s="136">
        <f t="shared" si="108"/>
        <v>0.05</v>
      </c>
      <c r="BL188" s="136" t="s">
        <v>736</v>
      </c>
      <c r="BM188" s="136" t="s">
        <v>175</v>
      </c>
      <c r="BN188" s="136" t="s">
        <v>175</v>
      </c>
      <c r="BO188" s="136" t="s">
        <v>736</v>
      </c>
      <c r="BP188" s="137" t="s">
        <v>175</v>
      </c>
      <c r="BQ188" s="137" t="s">
        <v>175</v>
      </c>
      <c r="BR188" s="137" t="s">
        <v>175</v>
      </c>
      <c r="BS188" s="137" t="s">
        <v>175</v>
      </c>
      <c r="BT188" s="138">
        <f t="shared" si="114"/>
        <v>-11.721507438</v>
      </c>
      <c r="BU188" s="138">
        <f t="shared" si="115"/>
        <v>1.0493092966327897</v>
      </c>
      <c r="BV188" s="138">
        <f t="shared" si="116"/>
        <v>1.0493092966327897</v>
      </c>
      <c r="BW188" s="53" t="s">
        <v>175</v>
      </c>
      <c r="BX188" s="53" t="s">
        <v>175</v>
      </c>
      <c r="BY188" s="53" t="s">
        <v>175</v>
      </c>
      <c r="BZ188" s="53" t="s">
        <v>175</v>
      </c>
      <c r="CA188" s="147">
        <v>1</v>
      </c>
      <c r="CB188" s="54">
        <v>0</v>
      </c>
    </row>
    <row r="189" spans="1:80">
      <c r="A189" s="123" t="s">
        <v>547</v>
      </c>
      <c r="B189" s="124" t="s">
        <v>545</v>
      </c>
      <c r="C189" s="148" t="s">
        <v>674</v>
      </c>
      <c r="D189" s="126" t="s">
        <v>741</v>
      </c>
      <c r="E189" s="127">
        <v>22.483152357409701</v>
      </c>
      <c r="F189" s="127">
        <v>113.233522645843</v>
      </c>
      <c r="G189" s="128" t="s">
        <v>168</v>
      </c>
      <c r="H189" s="145">
        <v>7940</v>
      </c>
      <c r="I189" s="145">
        <v>30</v>
      </c>
      <c r="J189" s="129">
        <v>8241</v>
      </c>
      <c r="K189" s="129">
        <v>184</v>
      </c>
      <c r="L189" s="129">
        <v>222</v>
      </c>
      <c r="M189" s="130" t="s">
        <v>862</v>
      </c>
      <c r="N189" s="130" t="s">
        <v>617</v>
      </c>
      <c r="O189" s="149" t="s">
        <v>860</v>
      </c>
      <c r="P189" s="130" t="s">
        <v>864</v>
      </c>
      <c r="Q189" s="130" t="s">
        <v>377</v>
      </c>
      <c r="R189" s="131">
        <v>20.75</v>
      </c>
      <c r="S189" s="131">
        <f t="shared" si="118"/>
        <v>9.25</v>
      </c>
      <c r="T189" s="130">
        <v>1</v>
      </c>
      <c r="U189" s="132" t="s">
        <v>173</v>
      </c>
      <c r="V189" s="133">
        <v>0.01</v>
      </c>
      <c r="W189" s="132" t="s">
        <v>174</v>
      </c>
      <c r="X189" s="133">
        <v>0.01</v>
      </c>
      <c r="Y189" s="133">
        <v>5.0000000000000001E-3</v>
      </c>
      <c r="Z189" s="133">
        <v>0.01</v>
      </c>
      <c r="AA189" s="133">
        <v>0.15</v>
      </c>
      <c r="AB189" s="133">
        <f t="shared" si="112"/>
        <v>0.41500000000000004</v>
      </c>
      <c r="AC189" s="134">
        <v>0</v>
      </c>
      <c r="AD189" s="134">
        <v>0</v>
      </c>
      <c r="AE189" s="134">
        <v>0.03</v>
      </c>
      <c r="AF189" s="134">
        <v>0</v>
      </c>
      <c r="AG189" s="134">
        <v>0.1</v>
      </c>
      <c r="AH189" s="134">
        <v>0</v>
      </c>
      <c r="AI189" s="134">
        <v>1</v>
      </c>
      <c r="AJ189" s="134">
        <v>0</v>
      </c>
      <c r="AK189" s="134" t="s">
        <v>175</v>
      </c>
      <c r="AL189" s="122" t="s">
        <v>175</v>
      </c>
      <c r="AM189" s="122">
        <f>1-20.75</f>
        <v>-19.75</v>
      </c>
      <c r="AN189" s="134" t="s">
        <v>176</v>
      </c>
      <c r="AO189" s="122" t="s">
        <v>177</v>
      </c>
      <c r="AP189" s="135">
        <f t="shared" si="117"/>
        <v>1.0980664825045887</v>
      </c>
      <c r="AQ189" s="135">
        <f t="shared" si="111"/>
        <v>1.0980664825045887</v>
      </c>
      <c r="AR189" s="117">
        <v>-1.7161785190000001</v>
      </c>
      <c r="AS189" s="117">
        <v>0</v>
      </c>
      <c r="AT189" s="117">
        <v>0</v>
      </c>
      <c r="AU189" s="117">
        <v>-1.009313498</v>
      </c>
      <c r="AV189" s="117">
        <v>-0.58602975300000004</v>
      </c>
      <c r="AW189" s="117">
        <v>-2.8492561999999999E-2</v>
      </c>
      <c r="AX189" s="117">
        <v>0.49068650200000002</v>
      </c>
      <c r="AY189" s="117">
        <v>0.99068650199999997</v>
      </c>
      <c r="AZ189" s="117">
        <v>0</v>
      </c>
      <c r="BA189" s="117">
        <v>0</v>
      </c>
      <c r="BB189" s="117">
        <v>1.8833550729999999</v>
      </c>
      <c r="BC189" s="136" t="str">
        <f t="shared" si="113"/>
        <v>-1</v>
      </c>
      <c r="BD189" s="136" t="s">
        <v>178</v>
      </c>
      <c r="BE189" s="152" t="s">
        <v>863</v>
      </c>
      <c r="BF189" s="152" t="s">
        <v>668</v>
      </c>
      <c r="BG189" s="120" t="s">
        <v>678</v>
      </c>
      <c r="BH189" s="136" t="str">
        <f t="shared" si="105"/>
        <v>&lt;MTL</v>
      </c>
      <c r="BI189" s="136">
        <f t="shared" si="106"/>
        <v>-2.8492561999999999E-2</v>
      </c>
      <c r="BJ189" s="136" t="str">
        <f t="shared" si="107"/>
        <v>Nil</v>
      </c>
      <c r="BK189" s="136">
        <f t="shared" si="108"/>
        <v>0.05</v>
      </c>
      <c r="BL189" s="136" t="s">
        <v>736</v>
      </c>
      <c r="BM189" s="136" t="s">
        <v>175</v>
      </c>
      <c r="BN189" s="136" t="s">
        <v>175</v>
      </c>
      <c r="BO189" s="136" t="s">
        <v>736</v>
      </c>
      <c r="BP189" s="137" t="s">
        <v>175</v>
      </c>
      <c r="BQ189" s="137" t="s">
        <v>175</v>
      </c>
      <c r="BR189" s="137" t="s">
        <v>175</v>
      </c>
      <c r="BS189" s="137" t="s">
        <v>175</v>
      </c>
      <c r="BT189" s="138">
        <f t="shared" si="114"/>
        <v>-19.721507438</v>
      </c>
      <c r="BU189" s="138">
        <f t="shared" si="115"/>
        <v>1.0992042576336758</v>
      </c>
      <c r="BV189" s="138">
        <f t="shared" si="116"/>
        <v>1.0992042576336758</v>
      </c>
      <c r="BW189" s="53" t="s">
        <v>175</v>
      </c>
      <c r="BX189" s="53" t="s">
        <v>175</v>
      </c>
      <c r="BY189" s="53" t="s">
        <v>175</v>
      </c>
      <c r="BZ189" s="53" t="s">
        <v>175</v>
      </c>
      <c r="CA189" s="147">
        <v>1</v>
      </c>
      <c r="CB189" s="54">
        <v>0</v>
      </c>
    </row>
    <row r="190" spans="1:80">
      <c r="A190" s="123" t="s">
        <v>548</v>
      </c>
      <c r="B190" s="124" t="s">
        <v>545</v>
      </c>
      <c r="C190" s="148" t="s">
        <v>674</v>
      </c>
      <c r="D190" s="126" t="s">
        <v>741</v>
      </c>
      <c r="E190" s="127">
        <v>22.483152357409701</v>
      </c>
      <c r="F190" s="127">
        <v>113.233522645843</v>
      </c>
      <c r="G190" s="128" t="s">
        <v>168</v>
      </c>
      <c r="H190" s="145">
        <v>7820</v>
      </c>
      <c r="I190" s="145">
        <v>30</v>
      </c>
      <c r="J190" s="129">
        <v>8115</v>
      </c>
      <c r="K190" s="129">
        <v>210</v>
      </c>
      <c r="L190" s="129">
        <v>188</v>
      </c>
      <c r="M190" s="130" t="s">
        <v>862</v>
      </c>
      <c r="N190" s="130" t="s">
        <v>617</v>
      </c>
      <c r="O190" s="149" t="s">
        <v>860</v>
      </c>
      <c r="P190" s="130" t="s">
        <v>864</v>
      </c>
      <c r="Q190" s="130" t="s">
        <v>377</v>
      </c>
      <c r="R190" s="131">
        <v>23.15</v>
      </c>
      <c r="S190" s="131">
        <f t="shared" si="118"/>
        <v>6.8500000000000014</v>
      </c>
      <c r="T190" s="130">
        <v>1</v>
      </c>
      <c r="U190" s="132" t="s">
        <v>173</v>
      </c>
      <c r="V190" s="133">
        <v>0.01</v>
      </c>
      <c r="W190" s="132" t="s">
        <v>174</v>
      </c>
      <c r="X190" s="133">
        <v>0.01</v>
      </c>
      <c r="Y190" s="133">
        <v>5.0000000000000001E-3</v>
      </c>
      <c r="Z190" s="133">
        <v>0.01</v>
      </c>
      <c r="AA190" s="133">
        <v>0.15</v>
      </c>
      <c r="AB190" s="133">
        <f t="shared" si="112"/>
        <v>0.46299999999999997</v>
      </c>
      <c r="AC190" s="134">
        <v>0</v>
      </c>
      <c r="AD190" s="134">
        <v>0</v>
      </c>
      <c r="AE190" s="134">
        <v>0.03</v>
      </c>
      <c r="AF190" s="134">
        <v>0</v>
      </c>
      <c r="AG190" s="134">
        <v>0.1</v>
      </c>
      <c r="AH190" s="134">
        <v>0</v>
      </c>
      <c r="AI190" s="134">
        <v>1</v>
      </c>
      <c r="AJ190" s="134">
        <v>0</v>
      </c>
      <c r="AK190" s="134" t="s">
        <v>175</v>
      </c>
      <c r="AL190" s="122" t="s">
        <v>175</v>
      </c>
      <c r="AM190" s="122">
        <f>1-23.15</f>
        <v>-22.15</v>
      </c>
      <c r="AN190" s="134" t="s">
        <v>176</v>
      </c>
      <c r="AO190" s="122" t="s">
        <v>177</v>
      </c>
      <c r="AP190" s="135">
        <f t="shared" si="117"/>
        <v>1.1170917598836723</v>
      </c>
      <c r="AQ190" s="135">
        <f t="shared" si="111"/>
        <v>1.1170917598836723</v>
      </c>
      <c r="AR190" s="117">
        <v>-1.7161785190000001</v>
      </c>
      <c r="AS190" s="117">
        <v>0</v>
      </c>
      <c r="AT190" s="117">
        <v>0</v>
      </c>
      <c r="AU190" s="117">
        <v>-1.009313498</v>
      </c>
      <c r="AV190" s="117">
        <v>-0.58602975300000004</v>
      </c>
      <c r="AW190" s="117">
        <v>-2.8492561999999999E-2</v>
      </c>
      <c r="AX190" s="117">
        <v>0.49068650200000002</v>
      </c>
      <c r="AY190" s="117">
        <v>0.99068650199999997</v>
      </c>
      <c r="AZ190" s="117">
        <v>0</v>
      </c>
      <c r="BA190" s="117">
        <v>0</v>
      </c>
      <c r="BB190" s="117">
        <v>1.4838214810000001</v>
      </c>
      <c r="BC190" s="136" t="str">
        <f t="shared" si="113"/>
        <v>-1</v>
      </c>
      <c r="BD190" s="136" t="s">
        <v>178</v>
      </c>
      <c r="BE190" s="152" t="s">
        <v>863</v>
      </c>
      <c r="BF190" s="152" t="s">
        <v>668</v>
      </c>
      <c r="BG190" s="120" t="s">
        <v>678</v>
      </c>
      <c r="BH190" s="136" t="str">
        <f t="shared" si="105"/>
        <v>&lt;MTL</v>
      </c>
      <c r="BI190" s="136">
        <f t="shared" si="106"/>
        <v>-2.8492561999999999E-2</v>
      </c>
      <c r="BJ190" s="136" t="str">
        <f t="shared" si="107"/>
        <v>Nil</v>
      </c>
      <c r="BK190" s="136">
        <f t="shared" si="108"/>
        <v>0.05</v>
      </c>
      <c r="BL190" s="136" t="s">
        <v>736</v>
      </c>
      <c r="BM190" s="136" t="s">
        <v>175</v>
      </c>
      <c r="BN190" s="136" t="s">
        <v>175</v>
      </c>
      <c r="BO190" s="136" t="s">
        <v>736</v>
      </c>
      <c r="BP190" s="137" t="s">
        <v>175</v>
      </c>
      <c r="BQ190" s="137" t="s">
        <v>175</v>
      </c>
      <c r="BR190" s="137" t="s">
        <v>175</v>
      </c>
      <c r="BS190" s="137" t="s">
        <v>175</v>
      </c>
      <c r="BT190" s="138">
        <f t="shared" si="114"/>
        <v>-22.121507437999998</v>
      </c>
      <c r="BU190" s="138">
        <f t="shared" si="115"/>
        <v>1.1182101770239796</v>
      </c>
      <c r="BV190" s="138">
        <f t="shared" si="116"/>
        <v>1.1182101770239796</v>
      </c>
      <c r="BW190" s="53" t="s">
        <v>175</v>
      </c>
      <c r="BX190" s="53" t="s">
        <v>175</v>
      </c>
      <c r="BY190" s="53" t="s">
        <v>175</v>
      </c>
      <c r="BZ190" s="53" t="s">
        <v>175</v>
      </c>
      <c r="CA190" s="147">
        <v>1</v>
      </c>
      <c r="CB190" s="54">
        <v>0</v>
      </c>
    </row>
    <row r="191" spans="1:80">
      <c r="A191" s="123" t="s">
        <v>600</v>
      </c>
      <c r="B191" s="124" t="s">
        <v>545</v>
      </c>
      <c r="C191" s="148" t="s">
        <v>674</v>
      </c>
      <c r="D191" s="126" t="s">
        <v>741</v>
      </c>
      <c r="E191" s="127">
        <v>22.483152357409701</v>
      </c>
      <c r="F191" s="127">
        <v>113.233522645843</v>
      </c>
      <c r="G191" s="163" t="s">
        <v>194</v>
      </c>
      <c r="H191" s="145" t="s">
        <v>717</v>
      </c>
      <c r="I191" s="145" t="s">
        <v>717</v>
      </c>
      <c r="J191" s="129">
        <v>500</v>
      </c>
      <c r="K191" s="129">
        <v>30</v>
      </c>
      <c r="L191" s="129">
        <v>30</v>
      </c>
      <c r="M191" s="149" t="s">
        <v>860</v>
      </c>
      <c r="N191" s="130" t="s">
        <v>866</v>
      </c>
      <c r="O191" s="130" t="s">
        <v>861</v>
      </c>
      <c r="P191" s="130" t="s">
        <v>862</v>
      </c>
      <c r="Q191" s="130" t="s">
        <v>377</v>
      </c>
      <c r="R191" s="131">
        <v>5.65</v>
      </c>
      <c r="S191" s="131">
        <f t="shared" si="118"/>
        <v>24.35</v>
      </c>
      <c r="T191" s="130">
        <v>1</v>
      </c>
      <c r="U191" s="132" t="s">
        <v>173</v>
      </c>
      <c r="V191" s="133">
        <v>0.05</v>
      </c>
      <c r="W191" s="132" t="s">
        <v>174</v>
      </c>
      <c r="X191" s="133">
        <v>0.05</v>
      </c>
      <c r="Y191" s="133">
        <v>2.5000000000000001E-2</v>
      </c>
      <c r="Z191" s="133">
        <v>0.01</v>
      </c>
      <c r="AA191" s="133">
        <v>0.15</v>
      </c>
      <c r="AB191" s="133">
        <f t="shared" si="112"/>
        <v>0.113</v>
      </c>
      <c r="AC191" s="134">
        <v>0</v>
      </c>
      <c r="AD191" s="134">
        <v>0</v>
      </c>
      <c r="AE191" s="134">
        <v>0.03</v>
      </c>
      <c r="AF191" s="134">
        <v>0</v>
      </c>
      <c r="AG191" s="134">
        <v>0.1</v>
      </c>
      <c r="AH191" s="134">
        <v>0</v>
      </c>
      <c r="AI191" s="134">
        <v>1</v>
      </c>
      <c r="AJ191" s="134">
        <v>0</v>
      </c>
      <c r="AK191" s="134" t="s">
        <v>175</v>
      </c>
      <c r="AL191" s="122" t="s">
        <v>175</v>
      </c>
      <c r="AM191" s="134">
        <f>1-R191</f>
        <v>-4.6500000000000004</v>
      </c>
      <c r="AN191" s="134" t="s">
        <v>176</v>
      </c>
      <c r="AO191" s="122" t="s">
        <v>177</v>
      </c>
      <c r="AP191" s="135">
        <f t="shared" si="117"/>
        <v>1.0231783813196993</v>
      </c>
      <c r="AQ191" s="135">
        <f t="shared" si="111"/>
        <v>1.0231783813196993</v>
      </c>
      <c r="AR191" s="117">
        <v>-1.7161785190000001</v>
      </c>
      <c r="AS191" s="117">
        <v>0</v>
      </c>
      <c r="AT191" s="117">
        <v>0</v>
      </c>
      <c r="AU191" s="117">
        <v>-1.009313498</v>
      </c>
      <c r="AV191" s="117">
        <v>-0.58602975300000004</v>
      </c>
      <c r="AW191" s="117">
        <v>-2.8492561999999999E-2</v>
      </c>
      <c r="AX191" s="117">
        <v>0.49068650200000002</v>
      </c>
      <c r="AY191" s="117">
        <v>0.99068650199999997</v>
      </c>
      <c r="AZ191" s="117">
        <v>0</v>
      </c>
      <c r="BA191" s="117">
        <v>0</v>
      </c>
      <c r="BB191" s="117">
        <v>1.4838214810000001</v>
      </c>
      <c r="BC191" s="136" t="str">
        <f t="shared" si="113"/>
        <v>-1</v>
      </c>
      <c r="BD191" s="136" t="s">
        <v>178</v>
      </c>
      <c r="BE191" s="152" t="s">
        <v>696</v>
      </c>
      <c r="BF191" s="136" t="s">
        <v>668</v>
      </c>
      <c r="BG191" s="120" t="s">
        <v>678</v>
      </c>
      <c r="BH191" s="136" t="str">
        <f t="shared" si="105"/>
        <v>&lt;MTL</v>
      </c>
      <c r="BI191" s="136">
        <f t="shared" si="106"/>
        <v>-2.8492561999999999E-2</v>
      </c>
      <c r="BJ191" s="136" t="str">
        <f t="shared" si="107"/>
        <v>Nil</v>
      </c>
      <c r="BK191" s="136">
        <f t="shared" si="108"/>
        <v>0.05</v>
      </c>
      <c r="BL191" s="136" t="s">
        <v>736</v>
      </c>
      <c r="BM191" s="136" t="s">
        <v>175</v>
      </c>
      <c r="BN191" s="136" t="s">
        <v>175</v>
      </c>
      <c r="BO191" s="136" t="s">
        <v>736</v>
      </c>
      <c r="BP191" s="137" t="s">
        <v>175</v>
      </c>
      <c r="BQ191" s="137" t="s">
        <v>175</v>
      </c>
      <c r="BR191" s="137" t="s">
        <v>175</v>
      </c>
      <c r="BS191" s="137" t="s">
        <v>175</v>
      </c>
      <c r="BT191" s="138">
        <f t="shared" si="114"/>
        <v>-4.6215074380000001</v>
      </c>
      <c r="BU191" s="138">
        <f t="shared" si="115"/>
        <v>1.0243993361965831</v>
      </c>
      <c r="BV191" s="138">
        <f t="shared" si="116"/>
        <v>1.0243993361965831</v>
      </c>
      <c r="BW191" s="53" t="s">
        <v>175</v>
      </c>
      <c r="BX191" s="53" t="s">
        <v>175</v>
      </c>
      <c r="BY191" s="53" t="s">
        <v>175</v>
      </c>
      <c r="BZ191" s="53" t="s">
        <v>175</v>
      </c>
      <c r="CA191" s="147">
        <v>1</v>
      </c>
      <c r="CB191" s="54">
        <v>0</v>
      </c>
    </row>
    <row r="192" spans="1:80">
      <c r="A192" s="123" t="s">
        <v>601</v>
      </c>
      <c r="B192" s="124" t="s">
        <v>545</v>
      </c>
      <c r="C192" s="148" t="s">
        <v>674</v>
      </c>
      <c r="D192" s="126" t="s">
        <v>741</v>
      </c>
      <c r="E192" s="127">
        <v>22.483152357409701</v>
      </c>
      <c r="F192" s="127">
        <v>113.233522645843</v>
      </c>
      <c r="G192" s="163" t="s">
        <v>194</v>
      </c>
      <c r="H192" s="145" t="s">
        <v>717</v>
      </c>
      <c r="I192" s="145" t="s">
        <v>717</v>
      </c>
      <c r="J192" s="129">
        <v>1390</v>
      </c>
      <c r="K192" s="129">
        <v>90</v>
      </c>
      <c r="L192" s="129">
        <v>90</v>
      </c>
      <c r="M192" s="149" t="s">
        <v>860</v>
      </c>
      <c r="N192" s="130" t="s">
        <v>866</v>
      </c>
      <c r="O192" s="130" t="s">
        <v>861</v>
      </c>
      <c r="P192" s="130" t="s">
        <v>862</v>
      </c>
      <c r="Q192" s="130" t="s">
        <v>377</v>
      </c>
      <c r="R192" s="131">
        <v>7.05</v>
      </c>
      <c r="S192" s="131">
        <f t="shared" si="118"/>
        <v>22.95</v>
      </c>
      <c r="T192" s="130">
        <v>1</v>
      </c>
      <c r="U192" s="132" t="s">
        <v>173</v>
      </c>
      <c r="V192" s="133">
        <v>0.05</v>
      </c>
      <c r="W192" s="132" t="s">
        <v>174</v>
      </c>
      <c r="X192" s="133">
        <v>0.05</v>
      </c>
      <c r="Y192" s="133">
        <v>2.5000000000000001E-2</v>
      </c>
      <c r="Z192" s="133">
        <v>0.01</v>
      </c>
      <c r="AA192" s="133">
        <v>0.15</v>
      </c>
      <c r="AB192" s="133">
        <f t="shared" si="112"/>
        <v>0.14099999999999999</v>
      </c>
      <c r="AC192" s="134">
        <v>0</v>
      </c>
      <c r="AD192" s="134">
        <v>0</v>
      </c>
      <c r="AE192" s="134">
        <v>0.03</v>
      </c>
      <c r="AF192" s="134">
        <v>0</v>
      </c>
      <c r="AG192" s="134">
        <v>0.1</v>
      </c>
      <c r="AH192" s="134">
        <v>0</v>
      </c>
      <c r="AI192" s="134">
        <v>1</v>
      </c>
      <c r="AJ192" s="134">
        <v>0</v>
      </c>
      <c r="AK192" s="134" t="s">
        <v>175</v>
      </c>
      <c r="AL192" s="122" t="s">
        <v>175</v>
      </c>
      <c r="AM192" s="134">
        <f>1-R192</f>
        <v>-6.05</v>
      </c>
      <c r="AN192" s="134" t="s">
        <v>176</v>
      </c>
      <c r="AO192" s="122" t="s">
        <v>177</v>
      </c>
      <c r="AP192" s="135">
        <f t="shared" si="117"/>
        <v>1.0266479435522189</v>
      </c>
      <c r="AQ192" s="135">
        <f t="shared" si="111"/>
        <v>1.0266479435522189</v>
      </c>
      <c r="AR192" s="117">
        <v>-1.7161785190000001</v>
      </c>
      <c r="AS192" s="117">
        <v>0</v>
      </c>
      <c r="AT192" s="117">
        <v>0</v>
      </c>
      <c r="AU192" s="117">
        <v>-1.009313498</v>
      </c>
      <c r="AV192" s="117">
        <v>-0.58602975300000004</v>
      </c>
      <c r="AW192" s="117">
        <v>-2.8492561999999999E-2</v>
      </c>
      <c r="AX192" s="117">
        <v>0.49068650200000002</v>
      </c>
      <c r="AY192" s="117">
        <v>0.99068650199999997</v>
      </c>
      <c r="AZ192" s="117">
        <v>0</v>
      </c>
      <c r="BA192" s="117">
        <v>0</v>
      </c>
      <c r="BB192" s="117">
        <v>1.4838214810000001</v>
      </c>
      <c r="BC192" s="136" t="str">
        <f t="shared" si="113"/>
        <v>-1</v>
      </c>
      <c r="BD192" s="136" t="s">
        <v>178</v>
      </c>
      <c r="BE192" s="152" t="s">
        <v>696</v>
      </c>
      <c r="BF192" s="136" t="s">
        <v>668</v>
      </c>
      <c r="BG192" s="120" t="s">
        <v>678</v>
      </c>
      <c r="BH192" s="136" t="str">
        <f t="shared" si="105"/>
        <v>&lt;MTL</v>
      </c>
      <c r="BI192" s="136">
        <f t="shared" si="106"/>
        <v>-2.8492561999999999E-2</v>
      </c>
      <c r="BJ192" s="136" t="str">
        <f t="shared" si="107"/>
        <v>Nil</v>
      </c>
      <c r="BK192" s="136">
        <f t="shared" si="108"/>
        <v>0.05</v>
      </c>
      <c r="BL192" s="136" t="s">
        <v>736</v>
      </c>
      <c r="BM192" s="136" t="s">
        <v>175</v>
      </c>
      <c r="BN192" s="136" t="s">
        <v>175</v>
      </c>
      <c r="BO192" s="136" t="s">
        <v>736</v>
      </c>
      <c r="BP192" s="137" t="s">
        <v>175</v>
      </c>
      <c r="BQ192" s="137" t="s">
        <v>175</v>
      </c>
      <c r="BR192" s="137" t="s">
        <v>175</v>
      </c>
      <c r="BS192" s="137" t="s">
        <v>175</v>
      </c>
      <c r="BT192" s="138">
        <f t="shared" si="114"/>
        <v>-6.0215074379999995</v>
      </c>
      <c r="BU192" s="138">
        <f t="shared" si="115"/>
        <v>1.027864777098622</v>
      </c>
      <c r="BV192" s="138">
        <f t="shared" si="116"/>
        <v>1.027864777098622</v>
      </c>
      <c r="BW192" s="53" t="s">
        <v>175</v>
      </c>
      <c r="BX192" s="53" t="s">
        <v>175</v>
      </c>
      <c r="BY192" s="53" t="s">
        <v>175</v>
      </c>
      <c r="BZ192" s="53" t="s">
        <v>175</v>
      </c>
      <c r="CA192" s="147">
        <v>1</v>
      </c>
      <c r="CB192" s="54">
        <v>0</v>
      </c>
    </row>
    <row r="193" spans="1:81">
      <c r="A193" s="123" t="s">
        <v>602</v>
      </c>
      <c r="B193" s="124" t="s">
        <v>545</v>
      </c>
      <c r="C193" s="148" t="s">
        <v>674</v>
      </c>
      <c r="D193" s="126" t="s">
        <v>741</v>
      </c>
      <c r="E193" s="127">
        <v>22.483152357409701</v>
      </c>
      <c r="F193" s="127">
        <v>113.233522645843</v>
      </c>
      <c r="G193" s="163" t="s">
        <v>194</v>
      </c>
      <c r="H193" s="145" t="s">
        <v>717</v>
      </c>
      <c r="I193" s="145" t="s">
        <v>717</v>
      </c>
      <c r="J193" s="129">
        <v>3150</v>
      </c>
      <c r="K193" s="129">
        <v>160</v>
      </c>
      <c r="L193" s="129">
        <v>160</v>
      </c>
      <c r="M193" s="149" t="s">
        <v>860</v>
      </c>
      <c r="N193" s="130" t="s">
        <v>866</v>
      </c>
      <c r="O193" s="130" t="s">
        <v>861</v>
      </c>
      <c r="P193" s="130" t="s">
        <v>862</v>
      </c>
      <c r="Q193" s="130" t="s">
        <v>377</v>
      </c>
      <c r="R193" s="131">
        <v>8.75</v>
      </c>
      <c r="S193" s="131">
        <f t="shared" si="118"/>
        <v>21.25</v>
      </c>
      <c r="T193" s="130">
        <v>1</v>
      </c>
      <c r="U193" s="132" t="s">
        <v>173</v>
      </c>
      <c r="V193" s="133">
        <v>0.05</v>
      </c>
      <c r="W193" s="132" t="s">
        <v>174</v>
      </c>
      <c r="X193" s="133">
        <v>0.05</v>
      </c>
      <c r="Y193" s="133">
        <v>2.5000000000000001E-2</v>
      </c>
      <c r="Z193" s="133">
        <v>0.01</v>
      </c>
      <c r="AA193" s="133">
        <v>0.15</v>
      </c>
      <c r="AB193" s="133">
        <f t="shared" si="112"/>
        <v>0.17500000000000002</v>
      </c>
      <c r="AC193" s="134">
        <v>0</v>
      </c>
      <c r="AD193" s="134">
        <v>0</v>
      </c>
      <c r="AE193" s="134">
        <v>0.03</v>
      </c>
      <c r="AF193" s="134">
        <v>0</v>
      </c>
      <c r="AG193" s="134">
        <v>0.1</v>
      </c>
      <c r="AH193" s="134">
        <v>0</v>
      </c>
      <c r="AI193" s="134">
        <v>1</v>
      </c>
      <c r="AJ193" s="134">
        <v>0</v>
      </c>
      <c r="AK193" s="134" t="s">
        <v>175</v>
      </c>
      <c r="AL193" s="122" t="s">
        <v>175</v>
      </c>
      <c r="AM193" s="122">
        <f t="shared" ref="AM193:AM205" si="119">1-R193</f>
        <v>-7.75</v>
      </c>
      <c r="AN193" s="134" t="s">
        <v>176</v>
      </c>
      <c r="AO193" s="122" t="s">
        <v>177</v>
      </c>
      <c r="AP193" s="135">
        <f t="shared" si="117"/>
        <v>1.0318672395226045</v>
      </c>
      <c r="AQ193" s="135">
        <f t="shared" si="111"/>
        <v>1.0318672395226045</v>
      </c>
      <c r="AR193" s="117">
        <v>-1.7161785190000001</v>
      </c>
      <c r="AS193" s="117">
        <v>0</v>
      </c>
      <c r="AT193" s="117">
        <v>0</v>
      </c>
      <c r="AU193" s="117">
        <v>-1.009313498</v>
      </c>
      <c r="AV193" s="117">
        <v>-0.58602975300000004</v>
      </c>
      <c r="AW193" s="117">
        <v>-2.8492561999999999E-2</v>
      </c>
      <c r="AX193" s="117">
        <v>0.49068650200000002</v>
      </c>
      <c r="AY193" s="117">
        <v>0.99068650199999997</v>
      </c>
      <c r="AZ193" s="117">
        <v>0</v>
      </c>
      <c r="BA193" s="117">
        <v>0</v>
      </c>
      <c r="BB193" s="117">
        <v>1.4838214810000001</v>
      </c>
      <c r="BC193" s="136" t="str">
        <f t="shared" si="113"/>
        <v>-1</v>
      </c>
      <c r="BD193" s="136" t="s">
        <v>178</v>
      </c>
      <c r="BE193" s="152" t="s">
        <v>696</v>
      </c>
      <c r="BF193" s="136" t="s">
        <v>668</v>
      </c>
      <c r="BG193" s="120" t="s">
        <v>678</v>
      </c>
      <c r="BH193" s="136" t="str">
        <f t="shared" si="105"/>
        <v>&lt;MTL</v>
      </c>
      <c r="BI193" s="136">
        <f t="shared" si="106"/>
        <v>-2.8492561999999999E-2</v>
      </c>
      <c r="BJ193" s="136" t="str">
        <f t="shared" si="107"/>
        <v>Nil</v>
      </c>
      <c r="BK193" s="136">
        <f t="shared" si="108"/>
        <v>0.05</v>
      </c>
      <c r="BL193" s="136" t="s">
        <v>736</v>
      </c>
      <c r="BM193" s="136" t="s">
        <v>175</v>
      </c>
      <c r="BN193" s="136" t="s">
        <v>175</v>
      </c>
      <c r="BO193" s="136" t="s">
        <v>736</v>
      </c>
      <c r="BP193" s="137" t="s">
        <v>175</v>
      </c>
      <c r="BQ193" s="137" t="s">
        <v>175</v>
      </c>
      <c r="BR193" s="137" t="s">
        <v>175</v>
      </c>
      <c r="BS193" s="137" t="s">
        <v>175</v>
      </c>
      <c r="BT193" s="138">
        <f t="shared" si="114"/>
        <v>-7.7215074379999997</v>
      </c>
      <c r="BU193" s="138">
        <f t="shared" si="115"/>
        <v>1.0330779254247959</v>
      </c>
      <c r="BV193" s="138">
        <f t="shared" si="116"/>
        <v>1.0330779254247959</v>
      </c>
      <c r="BW193" s="53" t="s">
        <v>175</v>
      </c>
      <c r="BX193" s="53" t="s">
        <v>175</v>
      </c>
      <c r="BY193" s="53" t="s">
        <v>175</v>
      </c>
      <c r="BZ193" s="53" t="s">
        <v>175</v>
      </c>
      <c r="CA193" s="147">
        <v>1</v>
      </c>
      <c r="CB193" s="54">
        <v>0</v>
      </c>
    </row>
    <row r="194" spans="1:81">
      <c r="A194" s="123" t="s">
        <v>603</v>
      </c>
      <c r="B194" s="124" t="s">
        <v>545</v>
      </c>
      <c r="C194" s="148" t="s">
        <v>674</v>
      </c>
      <c r="D194" s="126" t="s">
        <v>741</v>
      </c>
      <c r="E194" s="127">
        <v>22.483152357409701</v>
      </c>
      <c r="F194" s="127">
        <v>113.233522645843</v>
      </c>
      <c r="G194" s="163" t="s">
        <v>194</v>
      </c>
      <c r="H194" s="145" t="s">
        <v>717</v>
      </c>
      <c r="I194" s="145" t="s">
        <v>717</v>
      </c>
      <c r="J194" s="129">
        <v>2330</v>
      </c>
      <c r="K194" s="129">
        <v>130</v>
      </c>
      <c r="L194" s="129">
        <v>130</v>
      </c>
      <c r="M194" s="149" t="s">
        <v>860</v>
      </c>
      <c r="N194" s="130" t="s">
        <v>866</v>
      </c>
      <c r="O194" s="130" t="s">
        <v>861</v>
      </c>
      <c r="P194" s="130" t="s">
        <v>862</v>
      </c>
      <c r="Q194" s="130" t="s">
        <v>377</v>
      </c>
      <c r="R194" s="131">
        <v>9.5500000000000007</v>
      </c>
      <c r="S194" s="131">
        <f t="shared" si="118"/>
        <v>20.45</v>
      </c>
      <c r="T194" s="130">
        <v>1</v>
      </c>
      <c r="U194" s="132" t="s">
        <v>173</v>
      </c>
      <c r="V194" s="133">
        <v>0.05</v>
      </c>
      <c r="W194" s="132" t="s">
        <v>174</v>
      </c>
      <c r="X194" s="133">
        <v>0.05</v>
      </c>
      <c r="Y194" s="133">
        <v>2.5000000000000001E-2</v>
      </c>
      <c r="Z194" s="133">
        <v>0.01</v>
      </c>
      <c r="AA194" s="133">
        <v>0.15</v>
      </c>
      <c r="AB194" s="133">
        <f t="shared" si="112"/>
        <v>0.19100000000000003</v>
      </c>
      <c r="AC194" s="134">
        <v>0</v>
      </c>
      <c r="AD194" s="134">
        <v>0</v>
      </c>
      <c r="AE194" s="134">
        <v>0.03</v>
      </c>
      <c r="AF194" s="134">
        <v>0</v>
      </c>
      <c r="AG194" s="134">
        <v>0.1</v>
      </c>
      <c r="AH194" s="134">
        <v>0</v>
      </c>
      <c r="AI194" s="134">
        <v>1</v>
      </c>
      <c r="AJ194" s="134">
        <v>0</v>
      </c>
      <c r="AK194" s="134" t="s">
        <v>175</v>
      </c>
      <c r="AL194" s="122" t="s">
        <v>175</v>
      </c>
      <c r="AM194" s="122">
        <f t="shared" si="119"/>
        <v>-8.5500000000000007</v>
      </c>
      <c r="AN194" s="134" t="s">
        <v>176</v>
      </c>
      <c r="AO194" s="122" t="s">
        <v>177</v>
      </c>
      <c r="AP194" s="135">
        <f t="shared" si="117"/>
        <v>1.0347009229724307</v>
      </c>
      <c r="AQ194" s="135">
        <f t="shared" si="111"/>
        <v>1.0347009229724307</v>
      </c>
      <c r="AR194" s="117">
        <v>-1.7161785190000001</v>
      </c>
      <c r="AS194" s="117">
        <v>0</v>
      </c>
      <c r="AT194" s="117">
        <v>0</v>
      </c>
      <c r="AU194" s="117">
        <v>-1.009313498</v>
      </c>
      <c r="AV194" s="117">
        <v>-0.58602975300000004</v>
      </c>
      <c r="AW194" s="117">
        <v>-2.8492561999999999E-2</v>
      </c>
      <c r="AX194" s="117">
        <v>0.49068650200000002</v>
      </c>
      <c r="AY194" s="117">
        <v>0.99068650199999997</v>
      </c>
      <c r="AZ194" s="117">
        <v>0</v>
      </c>
      <c r="BA194" s="117">
        <v>0</v>
      </c>
      <c r="BB194" s="117">
        <v>1.4838214810000001</v>
      </c>
      <c r="BC194" s="136" t="str">
        <f t="shared" si="113"/>
        <v>-1</v>
      </c>
      <c r="BD194" s="136" t="s">
        <v>178</v>
      </c>
      <c r="BE194" s="152" t="s">
        <v>696</v>
      </c>
      <c r="BF194" s="136" t="s">
        <v>668</v>
      </c>
      <c r="BG194" s="120" t="s">
        <v>678</v>
      </c>
      <c r="BH194" s="136" t="str">
        <f t="shared" si="105"/>
        <v>&lt;MTL</v>
      </c>
      <c r="BI194" s="136">
        <f t="shared" si="106"/>
        <v>-2.8492561999999999E-2</v>
      </c>
      <c r="BJ194" s="136" t="str">
        <f t="shared" si="107"/>
        <v>Nil</v>
      </c>
      <c r="BK194" s="136">
        <f t="shared" si="108"/>
        <v>0.05</v>
      </c>
      <c r="BL194" s="136" t="s">
        <v>736</v>
      </c>
      <c r="BM194" s="136" t="s">
        <v>175</v>
      </c>
      <c r="BN194" s="136" t="s">
        <v>175</v>
      </c>
      <c r="BO194" s="136" t="s">
        <v>736</v>
      </c>
      <c r="BP194" s="137" t="s">
        <v>175</v>
      </c>
      <c r="BQ194" s="137" t="s">
        <v>175</v>
      </c>
      <c r="BR194" s="137" t="s">
        <v>175</v>
      </c>
      <c r="BS194" s="137" t="s">
        <v>175</v>
      </c>
      <c r="BT194" s="138">
        <f t="shared" si="114"/>
        <v>-8.5215074380000004</v>
      </c>
      <c r="BU194" s="138">
        <f t="shared" si="115"/>
        <v>1.0359082970996998</v>
      </c>
      <c r="BV194" s="138">
        <f t="shared" si="116"/>
        <v>1.0359082970996998</v>
      </c>
      <c r="BW194" s="53" t="s">
        <v>175</v>
      </c>
      <c r="BX194" s="53" t="s">
        <v>175</v>
      </c>
      <c r="BY194" s="53" t="s">
        <v>175</v>
      </c>
      <c r="BZ194" s="53" t="s">
        <v>175</v>
      </c>
      <c r="CA194" s="147">
        <v>1</v>
      </c>
      <c r="CB194" s="54">
        <v>0</v>
      </c>
    </row>
    <row r="195" spans="1:81">
      <c r="A195" s="123" t="s">
        <v>604</v>
      </c>
      <c r="B195" s="124" t="s">
        <v>545</v>
      </c>
      <c r="C195" s="148" t="s">
        <v>674</v>
      </c>
      <c r="D195" s="126" t="s">
        <v>741</v>
      </c>
      <c r="E195" s="127">
        <v>22.483152357409701</v>
      </c>
      <c r="F195" s="127">
        <v>113.233522645843</v>
      </c>
      <c r="G195" s="163" t="s">
        <v>194</v>
      </c>
      <c r="H195" s="145" t="s">
        <v>717</v>
      </c>
      <c r="I195" s="145" t="s">
        <v>717</v>
      </c>
      <c r="J195" s="129">
        <v>3760</v>
      </c>
      <c r="K195" s="129">
        <v>200</v>
      </c>
      <c r="L195" s="129">
        <v>200</v>
      </c>
      <c r="M195" s="149" t="s">
        <v>860</v>
      </c>
      <c r="N195" s="130" t="s">
        <v>866</v>
      </c>
      <c r="O195" s="130" t="s">
        <v>861</v>
      </c>
      <c r="P195" s="130" t="s">
        <v>862</v>
      </c>
      <c r="Q195" s="130" t="s">
        <v>377</v>
      </c>
      <c r="R195" s="131">
        <v>11.15</v>
      </c>
      <c r="S195" s="131">
        <f t="shared" si="118"/>
        <v>18.850000000000001</v>
      </c>
      <c r="T195" s="130">
        <v>1</v>
      </c>
      <c r="U195" s="132" t="s">
        <v>173</v>
      </c>
      <c r="V195" s="133">
        <v>0.05</v>
      </c>
      <c r="W195" s="132" t="s">
        <v>174</v>
      </c>
      <c r="X195" s="133">
        <v>0.05</v>
      </c>
      <c r="Y195" s="133">
        <v>2.5000000000000001E-2</v>
      </c>
      <c r="Z195" s="133">
        <v>0.01</v>
      </c>
      <c r="AA195" s="133">
        <v>0.15</v>
      </c>
      <c r="AB195" s="133">
        <f t="shared" si="112"/>
        <v>0.223</v>
      </c>
      <c r="AC195" s="134">
        <v>0</v>
      </c>
      <c r="AD195" s="134">
        <v>0</v>
      </c>
      <c r="AE195" s="134">
        <v>0.03</v>
      </c>
      <c r="AF195" s="134">
        <v>0</v>
      </c>
      <c r="AG195" s="134">
        <v>0.1</v>
      </c>
      <c r="AH195" s="134">
        <v>0</v>
      </c>
      <c r="AI195" s="134">
        <v>1</v>
      </c>
      <c r="AJ195" s="134">
        <v>0</v>
      </c>
      <c r="AK195" s="134" t="s">
        <v>175</v>
      </c>
      <c r="AL195" s="122" t="s">
        <v>175</v>
      </c>
      <c r="AM195" s="122">
        <f t="shared" si="119"/>
        <v>-10.15</v>
      </c>
      <c r="AN195" s="134" t="s">
        <v>176</v>
      </c>
      <c r="AO195" s="122" t="s">
        <v>177</v>
      </c>
      <c r="AP195" s="135">
        <f t="shared" si="117"/>
        <v>1.0410830898636285</v>
      </c>
      <c r="AQ195" s="135">
        <f t="shared" si="111"/>
        <v>1.0410830898636285</v>
      </c>
      <c r="AR195" s="117">
        <v>-1.7161785190000001</v>
      </c>
      <c r="AS195" s="117">
        <v>0</v>
      </c>
      <c r="AT195" s="117">
        <v>0</v>
      </c>
      <c r="AU195" s="117">
        <v>-1.009313498</v>
      </c>
      <c r="AV195" s="117">
        <v>-0.58602975300000004</v>
      </c>
      <c r="AW195" s="117">
        <v>-2.8492561999999999E-2</v>
      </c>
      <c r="AX195" s="117">
        <v>0.49068650200000002</v>
      </c>
      <c r="AY195" s="117">
        <v>0.99068650199999997</v>
      </c>
      <c r="AZ195" s="117">
        <v>0</v>
      </c>
      <c r="BA195" s="117">
        <v>0</v>
      </c>
      <c r="BB195" s="117">
        <v>1.4838214810000001</v>
      </c>
      <c r="BC195" s="136" t="str">
        <f t="shared" si="113"/>
        <v>-1</v>
      </c>
      <c r="BD195" s="136" t="s">
        <v>178</v>
      </c>
      <c r="BE195" s="152" t="s">
        <v>696</v>
      </c>
      <c r="BF195" s="136" t="s">
        <v>668</v>
      </c>
      <c r="BG195" s="120" t="s">
        <v>678</v>
      </c>
      <c r="BH195" s="136" t="str">
        <f t="shared" si="105"/>
        <v>&lt;MTL</v>
      </c>
      <c r="BI195" s="136">
        <f t="shared" si="106"/>
        <v>-2.8492561999999999E-2</v>
      </c>
      <c r="BJ195" s="136" t="str">
        <f t="shared" si="107"/>
        <v>Nil</v>
      </c>
      <c r="BK195" s="136">
        <f t="shared" si="108"/>
        <v>0.05</v>
      </c>
      <c r="BL195" s="136" t="s">
        <v>736</v>
      </c>
      <c r="BM195" s="136" t="s">
        <v>175</v>
      </c>
      <c r="BN195" s="136" t="s">
        <v>175</v>
      </c>
      <c r="BO195" s="136" t="s">
        <v>736</v>
      </c>
      <c r="BP195" s="137" t="s">
        <v>175</v>
      </c>
      <c r="BQ195" s="137" t="s">
        <v>175</v>
      </c>
      <c r="BR195" s="137" t="s">
        <v>175</v>
      </c>
      <c r="BS195" s="137" t="s">
        <v>175</v>
      </c>
      <c r="BT195" s="138">
        <f t="shared" si="114"/>
        <v>-10.121507438</v>
      </c>
      <c r="BU195" s="138">
        <f t="shared" si="115"/>
        <v>1.0422830709552948</v>
      </c>
      <c r="BV195" s="138">
        <f t="shared" si="116"/>
        <v>1.0422830709552948</v>
      </c>
      <c r="BW195" s="53" t="s">
        <v>175</v>
      </c>
      <c r="BX195" s="53" t="s">
        <v>175</v>
      </c>
      <c r="BY195" s="53" t="s">
        <v>175</v>
      </c>
      <c r="BZ195" s="53" t="s">
        <v>175</v>
      </c>
      <c r="CA195" s="147">
        <v>1</v>
      </c>
      <c r="CB195" s="54">
        <v>0</v>
      </c>
    </row>
    <row r="196" spans="1:81">
      <c r="A196" s="123" t="s">
        <v>605</v>
      </c>
      <c r="B196" s="124" t="s">
        <v>545</v>
      </c>
      <c r="C196" s="148" t="s">
        <v>674</v>
      </c>
      <c r="D196" s="126" t="s">
        <v>741</v>
      </c>
      <c r="E196" s="127">
        <v>22.483152357409701</v>
      </c>
      <c r="F196" s="127">
        <v>113.233522645843</v>
      </c>
      <c r="G196" s="163" t="s">
        <v>194</v>
      </c>
      <c r="H196" s="145" t="s">
        <v>717</v>
      </c>
      <c r="I196" s="145" t="s">
        <v>717</v>
      </c>
      <c r="J196" s="129">
        <v>3820</v>
      </c>
      <c r="K196" s="129">
        <v>190</v>
      </c>
      <c r="L196" s="129">
        <v>190</v>
      </c>
      <c r="M196" s="130" t="s">
        <v>862</v>
      </c>
      <c r="N196" s="130" t="s">
        <v>866</v>
      </c>
      <c r="O196" s="149" t="s">
        <v>860</v>
      </c>
      <c r="P196" s="130" t="s">
        <v>864</v>
      </c>
      <c r="Q196" s="130" t="s">
        <v>377</v>
      </c>
      <c r="R196" s="131">
        <v>12.05</v>
      </c>
      <c r="S196" s="131">
        <f t="shared" si="118"/>
        <v>17.95</v>
      </c>
      <c r="T196" s="130">
        <v>1</v>
      </c>
      <c r="U196" s="132" t="s">
        <v>173</v>
      </c>
      <c r="V196" s="133">
        <v>0.05</v>
      </c>
      <c r="W196" s="132" t="s">
        <v>174</v>
      </c>
      <c r="X196" s="133">
        <v>0.05</v>
      </c>
      <c r="Y196" s="133">
        <v>2.5000000000000001E-2</v>
      </c>
      <c r="Z196" s="133">
        <v>0.01</v>
      </c>
      <c r="AA196" s="133">
        <v>0.15</v>
      </c>
      <c r="AB196" s="133">
        <f t="shared" si="112"/>
        <v>0.24100000000000002</v>
      </c>
      <c r="AC196" s="134">
        <v>0</v>
      </c>
      <c r="AD196" s="134">
        <v>0</v>
      </c>
      <c r="AE196" s="134">
        <v>0.03</v>
      </c>
      <c r="AF196" s="134">
        <v>0</v>
      </c>
      <c r="AG196" s="134">
        <v>0.1</v>
      </c>
      <c r="AH196" s="134">
        <v>0</v>
      </c>
      <c r="AI196" s="134">
        <v>1</v>
      </c>
      <c r="AJ196" s="134">
        <v>0</v>
      </c>
      <c r="AK196" s="134" t="s">
        <v>175</v>
      </c>
      <c r="AL196" s="122" t="s">
        <v>175</v>
      </c>
      <c r="AM196" s="122">
        <f t="shared" si="119"/>
        <v>-11.05</v>
      </c>
      <c r="AN196" s="134" t="s">
        <v>176</v>
      </c>
      <c r="AO196" s="122" t="s">
        <v>177</v>
      </c>
      <c r="AP196" s="135">
        <f t="shared" si="117"/>
        <v>1.0450865992825666</v>
      </c>
      <c r="AQ196" s="135">
        <f t="shared" si="111"/>
        <v>1.0450865992825666</v>
      </c>
      <c r="AR196" s="117">
        <v>-1.7161785190000001</v>
      </c>
      <c r="AS196" s="117">
        <v>0</v>
      </c>
      <c r="AT196" s="117">
        <v>0</v>
      </c>
      <c r="AU196" s="117">
        <v>-1.009313498</v>
      </c>
      <c r="AV196" s="117">
        <v>-0.58602975300000004</v>
      </c>
      <c r="AW196" s="117">
        <v>-2.8492561999999999E-2</v>
      </c>
      <c r="AX196" s="117">
        <v>0.49068650200000002</v>
      </c>
      <c r="AY196" s="117">
        <v>0.99068650199999997</v>
      </c>
      <c r="AZ196" s="117">
        <v>0</v>
      </c>
      <c r="BA196" s="117">
        <v>0</v>
      </c>
      <c r="BB196" s="117">
        <v>1.4838214810000001</v>
      </c>
      <c r="BC196" s="136" t="str">
        <f t="shared" si="113"/>
        <v>-1</v>
      </c>
      <c r="BD196" s="136" t="s">
        <v>178</v>
      </c>
      <c r="BE196" s="152" t="s">
        <v>863</v>
      </c>
      <c r="BF196" s="136" t="s">
        <v>668</v>
      </c>
      <c r="BG196" s="120" t="s">
        <v>678</v>
      </c>
      <c r="BH196" s="136" t="str">
        <f t="shared" si="105"/>
        <v>&lt;MTL</v>
      </c>
      <c r="BI196" s="136">
        <f t="shared" si="106"/>
        <v>-2.8492561999999999E-2</v>
      </c>
      <c r="BJ196" s="136" t="str">
        <f t="shared" si="107"/>
        <v>Nil</v>
      </c>
      <c r="BK196" s="136">
        <f t="shared" si="108"/>
        <v>0.05</v>
      </c>
      <c r="BL196" s="136" t="s">
        <v>736</v>
      </c>
      <c r="BM196" s="136" t="s">
        <v>175</v>
      </c>
      <c r="BN196" s="136" t="s">
        <v>175</v>
      </c>
      <c r="BO196" s="136" t="s">
        <v>736</v>
      </c>
      <c r="BP196" s="137" t="s">
        <v>175</v>
      </c>
      <c r="BQ196" s="137" t="s">
        <v>175</v>
      </c>
      <c r="BR196" s="137" t="s">
        <v>175</v>
      </c>
      <c r="BS196" s="137" t="s">
        <v>175</v>
      </c>
      <c r="BT196" s="138">
        <f t="shared" si="114"/>
        <v>-11.021507438</v>
      </c>
      <c r="BU196" s="138">
        <f t="shared" si="115"/>
        <v>1.0462819887582888</v>
      </c>
      <c r="BV196" s="138">
        <f t="shared" si="116"/>
        <v>1.0462819887582888</v>
      </c>
      <c r="BW196" s="53" t="s">
        <v>175</v>
      </c>
      <c r="BX196" s="53" t="s">
        <v>175</v>
      </c>
      <c r="BY196" s="53" t="s">
        <v>175</v>
      </c>
      <c r="BZ196" s="53" t="s">
        <v>175</v>
      </c>
      <c r="CA196" s="147">
        <v>1</v>
      </c>
      <c r="CB196" s="54">
        <v>0</v>
      </c>
    </row>
    <row r="197" spans="1:81">
      <c r="A197" s="123" t="s">
        <v>606</v>
      </c>
      <c r="B197" s="124" t="s">
        <v>545</v>
      </c>
      <c r="C197" s="148" t="s">
        <v>674</v>
      </c>
      <c r="D197" s="126" t="s">
        <v>741</v>
      </c>
      <c r="E197" s="127">
        <v>22.483152357409701</v>
      </c>
      <c r="F197" s="127">
        <v>113.233522645843</v>
      </c>
      <c r="G197" s="163" t="s">
        <v>194</v>
      </c>
      <c r="H197" s="145" t="s">
        <v>717</v>
      </c>
      <c r="I197" s="145" t="s">
        <v>717</v>
      </c>
      <c r="J197" s="129">
        <v>4510</v>
      </c>
      <c r="K197" s="129">
        <v>240</v>
      </c>
      <c r="L197" s="129">
        <v>240</v>
      </c>
      <c r="M197" s="130" t="s">
        <v>862</v>
      </c>
      <c r="N197" s="130" t="s">
        <v>866</v>
      </c>
      <c r="O197" s="149" t="s">
        <v>860</v>
      </c>
      <c r="P197" s="130" t="s">
        <v>864</v>
      </c>
      <c r="Q197" s="130" t="s">
        <v>377</v>
      </c>
      <c r="R197" s="131">
        <v>12.75</v>
      </c>
      <c r="S197" s="131">
        <f t="shared" si="118"/>
        <v>17.25</v>
      </c>
      <c r="T197" s="130">
        <v>1</v>
      </c>
      <c r="U197" s="132" t="s">
        <v>173</v>
      </c>
      <c r="V197" s="133">
        <v>0.05</v>
      </c>
      <c r="W197" s="132" t="s">
        <v>174</v>
      </c>
      <c r="X197" s="133">
        <v>0.05</v>
      </c>
      <c r="Y197" s="133">
        <v>2.5000000000000001E-2</v>
      </c>
      <c r="Z197" s="133">
        <v>0.01</v>
      </c>
      <c r="AA197" s="133">
        <v>0.15</v>
      </c>
      <c r="AB197" s="133">
        <f t="shared" si="112"/>
        <v>0.255</v>
      </c>
      <c r="AC197" s="134">
        <v>0</v>
      </c>
      <c r="AD197" s="134">
        <v>0</v>
      </c>
      <c r="AE197" s="134">
        <v>0.03</v>
      </c>
      <c r="AF197" s="134">
        <v>0</v>
      </c>
      <c r="AG197" s="134">
        <v>0.1</v>
      </c>
      <c r="AH197" s="134">
        <v>0</v>
      </c>
      <c r="AI197" s="134">
        <v>1</v>
      </c>
      <c r="AJ197" s="134">
        <v>0</v>
      </c>
      <c r="AK197" s="134" t="s">
        <v>175</v>
      </c>
      <c r="AL197" s="122" t="s">
        <v>175</v>
      </c>
      <c r="AM197" s="122">
        <f t="shared" si="119"/>
        <v>-11.75</v>
      </c>
      <c r="AN197" s="134" t="s">
        <v>176</v>
      </c>
      <c r="AO197" s="122" t="s">
        <v>177</v>
      </c>
      <c r="AP197" s="135">
        <f t="shared" si="117"/>
        <v>1.048403548258017</v>
      </c>
      <c r="AQ197" s="135">
        <f t="shared" si="111"/>
        <v>1.048403548258017</v>
      </c>
      <c r="AR197" s="117">
        <v>-1.7161785190000001</v>
      </c>
      <c r="AS197" s="117">
        <v>0</v>
      </c>
      <c r="AT197" s="117">
        <v>0</v>
      </c>
      <c r="AU197" s="117">
        <v>-1.009313498</v>
      </c>
      <c r="AV197" s="117">
        <v>-0.58602975300000004</v>
      </c>
      <c r="AW197" s="117">
        <v>-2.8492561999999999E-2</v>
      </c>
      <c r="AX197" s="117">
        <v>0.49068650200000002</v>
      </c>
      <c r="AY197" s="117">
        <v>0.99068650199999997</v>
      </c>
      <c r="AZ197" s="117">
        <v>0</v>
      </c>
      <c r="BA197" s="117">
        <v>0</v>
      </c>
      <c r="BB197" s="117">
        <v>1.4838214810000001</v>
      </c>
      <c r="BC197" s="136" t="str">
        <f t="shared" si="113"/>
        <v>-1</v>
      </c>
      <c r="BD197" s="136" t="s">
        <v>178</v>
      </c>
      <c r="BE197" s="152" t="s">
        <v>863</v>
      </c>
      <c r="BF197" s="136" t="s">
        <v>668</v>
      </c>
      <c r="BG197" s="120" t="s">
        <v>678</v>
      </c>
      <c r="BH197" s="136" t="str">
        <f t="shared" si="105"/>
        <v>&lt;MTL</v>
      </c>
      <c r="BI197" s="136">
        <f t="shared" si="106"/>
        <v>-2.8492561999999999E-2</v>
      </c>
      <c r="BJ197" s="136" t="str">
        <f t="shared" si="107"/>
        <v>Nil</v>
      </c>
      <c r="BK197" s="136">
        <f t="shared" si="108"/>
        <v>0.05</v>
      </c>
      <c r="BL197" s="136" t="s">
        <v>736</v>
      </c>
      <c r="BM197" s="136" t="s">
        <v>175</v>
      </c>
      <c r="BN197" s="136" t="s">
        <v>175</v>
      </c>
      <c r="BO197" s="136" t="s">
        <v>736</v>
      </c>
      <c r="BP197" s="137" t="s">
        <v>175</v>
      </c>
      <c r="BQ197" s="137" t="s">
        <v>175</v>
      </c>
      <c r="BR197" s="137" t="s">
        <v>175</v>
      </c>
      <c r="BS197" s="137" t="s">
        <v>175</v>
      </c>
      <c r="BT197" s="138">
        <f t="shared" si="114"/>
        <v>-11.721507438</v>
      </c>
      <c r="BU197" s="138">
        <f t="shared" si="115"/>
        <v>1.0495951600498166</v>
      </c>
      <c r="BV197" s="138">
        <f t="shared" si="116"/>
        <v>1.0495951600498166</v>
      </c>
      <c r="BW197" s="53" t="s">
        <v>175</v>
      </c>
      <c r="BX197" s="53" t="s">
        <v>175</v>
      </c>
      <c r="BY197" s="53" t="s">
        <v>175</v>
      </c>
      <c r="BZ197" s="53" t="s">
        <v>175</v>
      </c>
      <c r="CA197" s="147">
        <v>1</v>
      </c>
      <c r="CB197" s="54">
        <v>0</v>
      </c>
    </row>
    <row r="198" spans="1:81">
      <c r="A198" s="123" t="s">
        <v>607</v>
      </c>
      <c r="B198" s="124" t="s">
        <v>545</v>
      </c>
      <c r="C198" s="148" t="s">
        <v>674</v>
      </c>
      <c r="D198" s="126" t="s">
        <v>741</v>
      </c>
      <c r="E198" s="127">
        <v>22.483152357409701</v>
      </c>
      <c r="F198" s="127">
        <v>113.233522645843</v>
      </c>
      <c r="G198" s="163" t="s">
        <v>194</v>
      </c>
      <c r="H198" s="145" t="s">
        <v>717</v>
      </c>
      <c r="I198" s="145" t="s">
        <v>717</v>
      </c>
      <c r="J198" s="129">
        <v>5200</v>
      </c>
      <c r="K198" s="129">
        <v>300</v>
      </c>
      <c r="L198" s="129">
        <v>300</v>
      </c>
      <c r="M198" s="130" t="s">
        <v>862</v>
      </c>
      <c r="N198" s="130" t="s">
        <v>866</v>
      </c>
      <c r="O198" s="149" t="s">
        <v>860</v>
      </c>
      <c r="P198" s="130" t="s">
        <v>864</v>
      </c>
      <c r="Q198" s="130" t="s">
        <v>377</v>
      </c>
      <c r="R198" s="131">
        <v>13.65</v>
      </c>
      <c r="S198" s="131">
        <f t="shared" si="118"/>
        <v>16.350000000000001</v>
      </c>
      <c r="T198" s="130">
        <v>1</v>
      </c>
      <c r="U198" s="132" t="s">
        <v>173</v>
      </c>
      <c r="V198" s="133">
        <v>0.05</v>
      </c>
      <c r="W198" s="132" t="s">
        <v>174</v>
      </c>
      <c r="X198" s="133">
        <v>0.05</v>
      </c>
      <c r="Y198" s="133">
        <v>2.5000000000000001E-2</v>
      </c>
      <c r="Z198" s="133">
        <v>0.01</v>
      </c>
      <c r="AA198" s="133">
        <v>0.15</v>
      </c>
      <c r="AB198" s="133">
        <f t="shared" si="112"/>
        <v>0.27300000000000002</v>
      </c>
      <c r="AC198" s="134">
        <v>0</v>
      </c>
      <c r="AD198" s="134">
        <v>0</v>
      </c>
      <c r="AE198" s="134">
        <v>0.03</v>
      </c>
      <c r="AF198" s="134">
        <v>0</v>
      </c>
      <c r="AG198" s="134">
        <v>0.1</v>
      </c>
      <c r="AH198" s="134">
        <v>0</v>
      </c>
      <c r="AI198" s="134">
        <v>1</v>
      </c>
      <c r="AJ198" s="134">
        <v>0</v>
      </c>
      <c r="AK198" s="134" t="s">
        <v>175</v>
      </c>
      <c r="AL198" s="122" t="s">
        <v>175</v>
      </c>
      <c r="AM198" s="122">
        <f t="shared" si="119"/>
        <v>-12.65</v>
      </c>
      <c r="AN198" s="134" t="s">
        <v>176</v>
      </c>
      <c r="AO198" s="122" t="s">
        <v>177</v>
      </c>
      <c r="AP198" s="135">
        <f t="shared" si="117"/>
        <v>1.0529263981874517</v>
      </c>
      <c r="AQ198" s="135">
        <f t="shared" si="111"/>
        <v>1.0529263981874517</v>
      </c>
      <c r="AR198" s="117">
        <v>-1.7161785190000001</v>
      </c>
      <c r="AS198" s="117">
        <v>0</v>
      </c>
      <c r="AT198" s="117">
        <v>0</v>
      </c>
      <c r="AU198" s="117">
        <v>-1.009313498</v>
      </c>
      <c r="AV198" s="117">
        <v>-0.58602975300000004</v>
      </c>
      <c r="AW198" s="117">
        <v>-2.8492561999999999E-2</v>
      </c>
      <c r="AX198" s="117">
        <v>0.49068650200000002</v>
      </c>
      <c r="AY198" s="117">
        <v>0.99068650199999997</v>
      </c>
      <c r="AZ198" s="117">
        <v>0</v>
      </c>
      <c r="BA198" s="117">
        <v>0</v>
      </c>
      <c r="BB198" s="117">
        <v>1.4838214810000001</v>
      </c>
      <c r="BC198" s="136" t="str">
        <f t="shared" si="113"/>
        <v>-1</v>
      </c>
      <c r="BD198" s="136" t="s">
        <v>178</v>
      </c>
      <c r="BE198" s="152" t="s">
        <v>863</v>
      </c>
      <c r="BF198" s="136" t="s">
        <v>668</v>
      </c>
      <c r="BG198" s="120" t="s">
        <v>678</v>
      </c>
      <c r="BH198" s="136" t="str">
        <f t="shared" si="105"/>
        <v>&lt;MTL</v>
      </c>
      <c r="BI198" s="136">
        <f t="shared" si="106"/>
        <v>-2.8492561999999999E-2</v>
      </c>
      <c r="BJ198" s="136" t="str">
        <f t="shared" si="107"/>
        <v>Nil</v>
      </c>
      <c r="BK198" s="136">
        <f t="shared" si="108"/>
        <v>0.05</v>
      </c>
      <c r="BL198" s="136" t="s">
        <v>736</v>
      </c>
      <c r="BM198" s="136" t="s">
        <v>175</v>
      </c>
      <c r="BN198" s="136" t="s">
        <v>175</v>
      </c>
      <c r="BO198" s="136" t="s">
        <v>736</v>
      </c>
      <c r="BP198" s="137" t="s">
        <v>175</v>
      </c>
      <c r="BQ198" s="137" t="s">
        <v>175</v>
      </c>
      <c r="BR198" s="137" t="s">
        <v>175</v>
      </c>
      <c r="BS198" s="137" t="s">
        <v>175</v>
      </c>
      <c r="BT198" s="138">
        <f t="shared" si="114"/>
        <v>-12.621507438</v>
      </c>
      <c r="BU198" s="138">
        <f t="shared" si="115"/>
        <v>1.0541128971794245</v>
      </c>
      <c r="BV198" s="138">
        <f t="shared" si="116"/>
        <v>1.0541128971794245</v>
      </c>
      <c r="BW198" s="53" t="s">
        <v>175</v>
      </c>
      <c r="BX198" s="53" t="s">
        <v>175</v>
      </c>
      <c r="BY198" s="53" t="s">
        <v>175</v>
      </c>
      <c r="BZ198" s="53" t="s">
        <v>175</v>
      </c>
      <c r="CA198" s="147">
        <v>1</v>
      </c>
      <c r="CB198" s="54">
        <v>0</v>
      </c>
    </row>
    <row r="199" spans="1:81">
      <c r="A199" s="123" t="s">
        <v>608</v>
      </c>
      <c r="B199" s="124" t="s">
        <v>545</v>
      </c>
      <c r="C199" s="148" t="s">
        <v>674</v>
      </c>
      <c r="D199" s="126" t="s">
        <v>741</v>
      </c>
      <c r="E199" s="127">
        <v>22.483152357409701</v>
      </c>
      <c r="F199" s="127">
        <v>113.233522645843</v>
      </c>
      <c r="G199" s="163" t="s">
        <v>194</v>
      </c>
      <c r="H199" s="145" t="s">
        <v>717</v>
      </c>
      <c r="I199" s="145" t="s">
        <v>717</v>
      </c>
      <c r="J199" s="129">
        <v>4480</v>
      </c>
      <c r="K199" s="129">
        <v>230</v>
      </c>
      <c r="L199" s="129">
        <v>230</v>
      </c>
      <c r="M199" s="130" t="s">
        <v>864</v>
      </c>
      <c r="N199" s="130" t="s">
        <v>866</v>
      </c>
      <c r="O199" s="130" t="s">
        <v>862</v>
      </c>
      <c r="P199" s="130" t="s">
        <v>867</v>
      </c>
      <c r="Q199" s="130" t="s">
        <v>377</v>
      </c>
      <c r="R199" s="131">
        <v>15.15</v>
      </c>
      <c r="S199" s="131">
        <f t="shared" si="118"/>
        <v>14.85</v>
      </c>
      <c r="T199" s="130">
        <v>1</v>
      </c>
      <c r="U199" s="132" t="s">
        <v>173</v>
      </c>
      <c r="V199" s="133">
        <v>0.05</v>
      </c>
      <c r="W199" s="132" t="s">
        <v>174</v>
      </c>
      <c r="X199" s="133">
        <v>0.05</v>
      </c>
      <c r="Y199" s="133">
        <v>2.5000000000000001E-2</v>
      </c>
      <c r="Z199" s="133">
        <v>0.01</v>
      </c>
      <c r="AA199" s="133">
        <v>0.15</v>
      </c>
      <c r="AB199" s="133">
        <f t="shared" si="112"/>
        <v>0.30299999999999999</v>
      </c>
      <c r="AC199" s="134">
        <v>0</v>
      </c>
      <c r="AD199" s="134">
        <v>0</v>
      </c>
      <c r="AE199" s="134">
        <v>0.03</v>
      </c>
      <c r="AF199" s="134">
        <v>0</v>
      </c>
      <c r="AG199" s="134">
        <v>0.1</v>
      </c>
      <c r="AH199" s="134">
        <v>0</v>
      </c>
      <c r="AI199" s="134">
        <v>1</v>
      </c>
      <c r="AJ199" s="134">
        <v>0</v>
      </c>
      <c r="AK199" s="134" t="s">
        <v>175</v>
      </c>
      <c r="AL199" s="122" t="s">
        <v>175</v>
      </c>
      <c r="AM199" s="122">
        <f t="shared" si="119"/>
        <v>-14.15</v>
      </c>
      <c r="AN199" s="134" t="s">
        <v>176</v>
      </c>
      <c r="AO199" s="122" t="s">
        <v>177</v>
      </c>
      <c r="AP199" s="135">
        <f t="shared" si="117"/>
        <v>1.0611003722551415</v>
      </c>
      <c r="AQ199" s="135">
        <f t="shared" si="111"/>
        <v>1.0611003722551415</v>
      </c>
      <c r="AR199" s="117">
        <v>-1.7161785190000001</v>
      </c>
      <c r="AS199" s="117">
        <v>0</v>
      </c>
      <c r="AT199" s="117">
        <v>0</v>
      </c>
      <c r="AU199" s="117">
        <v>-1.009313498</v>
      </c>
      <c r="AV199" s="117">
        <v>-0.58602975300000004</v>
      </c>
      <c r="AW199" s="117">
        <v>-2.8492561999999999E-2</v>
      </c>
      <c r="AX199" s="117">
        <v>0.49068650200000002</v>
      </c>
      <c r="AY199" s="117">
        <v>0.99068650199999997</v>
      </c>
      <c r="AZ199" s="117">
        <v>0</v>
      </c>
      <c r="BA199" s="117">
        <v>0</v>
      </c>
      <c r="BB199" s="117">
        <v>1.4838214810000001</v>
      </c>
      <c r="BC199" s="136" t="str">
        <f t="shared" si="113"/>
        <v>-1</v>
      </c>
      <c r="BD199" s="136" t="s">
        <v>178</v>
      </c>
      <c r="BE199" s="152" t="s">
        <v>863</v>
      </c>
      <c r="BF199" s="136" t="s">
        <v>668</v>
      </c>
      <c r="BG199" s="120" t="s">
        <v>678</v>
      </c>
      <c r="BH199" s="136" t="str">
        <f t="shared" si="105"/>
        <v>&lt;MTL</v>
      </c>
      <c r="BI199" s="136">
        <f t="shared" si="106"/>
        <v>-2.8492561999999999E-2</v>
      </c>
      <c r="BJ199" s="136" t="str">
        <f t="shared" si="107"/>
        <v>Nil</v>
      </c>
      <c r="BK199" s="136">
        <f t="shared" si="108"/>
        <v>0.05</v>
      </c>
      <c r="BL199" s="136" t="s">
        <v>736</v>
      </c>
      <c r="BM199" s="136" t="s">
        <v>175</v>
      </c>
      <c r="BN199" s="136" t="s">
        <v>175</v>
      </c>
      <c r="BO199" s="136" t="s">
        <v>736</v>
      </c>
      <c r="BP199" s="137" t="s">
        <v>175</v>
      </c>
      <c r="BQ199" s="137" t="s">
        <v>175</v>
      </c>
      <c r="BR199" s="137" t="s">
        <v>175</v>
      </c>
      <c r="BS199" s="137" t="s">
        <v>175</v>
      </c>
      <c r="BT199" s="138">
        <f t="shared" si="114"/>
        <v>-14.121507438</v>
      </c>
      <c r="BU199" s="138">
        <f t="shared" si="115"/>
        <v>1.0622777414593605</v>
      </c>
      <c r="BV199" s="138">
        <f t="shared" si="116"/>
        <v>1.0622777414593605</v>
      </c>
      <c r="BW199" s="53" t="s">
        <v>175</v>
      </c>
      <c r="BX199" s="53" t="s">
        <v>175</v>
      </c>
      <c r="BY199" s="53" t="s">
        <v>175</v>
      </c>
      <c r="BZ199" s="53" t="s">
        <v>175</v>
      </c>
      <c r="CA199" s="147">
        <v>1</v>
      </c>
      <c r="CB199" s="54">
        <v>0</v>
      </c>
    </row>
    <row r="200" spans="1:81">
      <c r="A200" s="123" t="s">
        <v>609</v>
      </c>
      <c r="B200" s="124" t="s">
        <v>545</v>
      </c>
      <c r="C200" s="148" t="s">
        <v>674</v>
      </c>
      <c r="D200" s="126" t="s">
        <v>741</v>
      </c>
      <c r="E200" s="127">
        <v>22.483152357409701</v>
      </c>
      <c r="F200" s="127">
        <v>113.233522645843</v>
      </c>
      <c r="G200" s="163" t="s">
        <v>194</v>
      </c>
      <c r="H200" s="145" t="s">
        <v>717</v>
      </c>
      <c r="I200" s="145" t="s">
        <v>717</v>
      </c>
      <c r="J200" s="129">
        <v>7700</v>
      </c>
      <c r="K200" s="129">
        <v>400</v>
      </c>
      <c r="L200" s="129">
        <v>400</v>
      </c>
      <c r="M200" s="130" t="s">
        <v>864</v>
      </c>
      <c r="N200" s="130" t="s">
        <v>866</v>
      </c>
      <c r="O200" s="130" t="s">
        <v>862</v>
      </c>
      <c r="P200" s="130" t="s">
        <v>867</v>
      </c>
      <c r="Q200" s="130" t="s">
        <v>377</v>
      </c>
      <c r="R200" s="131">
        <v>18.350000000000001</v>
      </c>
      <c r="S200" s="131">
        <f t="shared" si="118"/>
        <v>11.649999999999999</v>
      </c>
      <c r="T200" s="130">
        <v>1</v>
      </c>
      <c r="U200" s="132" t="s">
        <v>173</v>
      </c>
      <c r="V200" s="133">
        <v>0.05</v>
      </c>
      <c r="W200" s="132" t="s">
        <v>174</v>
      </c>
      <c r="X200" s="133">
        <v>0.05</v>
      </c>
      <c r="Y200" s="133">
        <v>2.5000000000000001E-2</v>
      </c>
      <c r="Z200" s="133">
        <v>0.01</v>
      </c>
      <c r="AA200" s="133">
        <v>0.15</v>
      </c>
      <c r="AB200" s="133">
        <f t="shared" si="112"/>
        <v>0.36700000000000005</v>
      </c>
      <c r="AC200" s="134">
        <v>0</v>
      </c>
      <c r="AD200" s="134">
        <v>0</v>
      </c>
      <c r="AE200" s="134">
        <v>0.03</v>
      </c>
      <c r="AF200" s="134">
        <v>0</v>
      </c>
      <c r="AG200" s="134">
        <v>0.1</v>
      </c>
      <c r="AH200" s="134">
        <v>0</v>
      </c>
      <c r="AI200" s="134">
        <v>1</v>
      </c>
      <c r="AJ200" s="134">
        <v>0</v>
      </c>
      <c r="AK200" s="134" t="s">
        <v>175</v>
      </c>
      <c r="AL200" s="122" t="s">
        <v>175</v>
      </c>
      <c r="AM200" s="122">
        <f t="shared" si="119"/>
        <v>-17.350000000000001</v>
      </c>
      <c r="AN200" s="134" t="s">
        <v>176</v>
      </c>
      <c r="AO200" s="122" t="s">
        <v>177</v>
      </c>
      <c r="AP200" s="135">
        <f t="shared" si="117"/>
        <v>1.0811170149433409</v>
      </c>
      <c r="AQ200" s="135">
        <f t="shared" si="111"/>
        <v>1.0811170149433409</v>
      </c>
      <c r="AR200" s="117">
        <v>-1.7161785190000001</v>
      </c>
      <c r="AS200" s="117">
        <v>0</v>
      </c>
      <c r="AT200" s="117">
        <v>0</v>
      </c>
      <c r="AU200" s="117">
        <v>-1.009313498</v>
      </c>
      <c r="AV200" s="117">
        <v>-0.58602975300000004</v>
      </c>
      <c r="AW200" s="117">
        <v>-2.8492561999999999E-2</v>
      </c>
      <c r="AX200" s="117">
        <v>0.49068650200000002</v>
      </c>
      <c r="AY200" s="117">
        <v>0.99068650199999997</v>
      </c>
      <c r="AZ200" s="117">
        <v>0</v>
      </c>
      <c r="BA200" s="117">
        <v>0</v>
      </c>
      <c r="BB200" s="117">
        <v>1.4838214810000001</v>
      </c>
      <c r="BC200" s="136" t="str">
        <f t="shared" si="113"/>
        <v>-1</v>
      </c>
      <c r="BD200" s="136" t="s">
        <v>178</v>
      </c>
      <c r="BE200" s="152" t="s">
        <v>863</v>
      </c>
      <c r="BF200" s="136" t="s">
        <v>668</v>
      </c>
      <c r="BG200" s="120" t="s">
        <v>678</v>
      </c>
      <c r="BH200" s="136" t="str">
        <f t="shared" si="105"/>
        <v>&lt;MTL</v>
      </c>
      <c r="BI200" s="136">
        <f t="shared" si="106"/>
        <v>-2.8492561999999999E-2</v>
      </c>
      <c r="BJ200" s="136" t="str">
        <f t="shared" si="107"/>
        <v>Nil</v>
      </c>
      <c r="BK200" s="136">
        <f t="shared" si="108"/>
        <v>0.05</v>
      </c>
      <c r="BL200" s="136" t="s">
        <v>736</v>
      </c>
      <c r="BM200" s="136" t="s">
        <v>175</v>
      </c>
      <c r="BN200" s="136" t="s">
        <v>175</v>
      </c>
      <c r="BO200" s="136" t="s">
        <v>736</v>
      </c>
      <c r="BP200" s="137" t="s">
        <v>175</v>
      </c>
      <c r="BQ200" s="137" t="s">
        <v>175</v>
      </c>
      <c r="BR200" s="137" t="s">
        <v>175</v>
      </c>
      <c r="BS200" s="137" t="s">
        <v>175</v>
      </c>
      <c r="BT200" s="138">
        <f t="shared" si="114"/>
        <v>-17.321507438000001</v>
      </c>
      <c r="BU200" s="138">
        <f t="shared" si="115"/>
        <v>1.0822726089114516</v>
      </c>
      <c r="BV200" s="138">
        <f t="shared" si="116"/>
        <v>1.0822726089114516</v>
      </c>
      <c r="BW200" s="53" t="s">
        <v>175</v>
      </c>
      <c r="BX200" s="53" t="s">
        <v>175</v>
      </c>
      <c r="BY200" s="53" t="s">
        <v>175</v>
      </c>
      <c r="BZ200" s="53" t="s">
        <v>175</v>
      </c>
      <c r="CA200" s="147">
        <v>1</v>
      </c>
      <c r="CB200" s="54">
        <v>0</v>
      </c>
    </row>
    <row r="201" spans="1:81">
      <c r="A201" s="123" t="s">
        <v>610</v>
      </c>
      <c r="B201" s="124" t="s">
        <v>545</v>
      </c>
      <c r="C201" s="148" t="s">
        <v>674</v>
      </c>
      <c r="D201" s="126" t="s">
        <v>741</v>
      </c>
      <c r="E201" s="127">
        <v>22.483152357409701</v>
      </c>
      <c r="F201" s="127">
        <v>113.233522645843</v>
      </c>
      <c r="G201" s="163" t="s">
        <v>194</v>
      </c>
      <c r="H201" s="145" t="s">
        <v>717</v>
      </c>
      <c r="I201" s="145" t="s">
        <v>717</v>
      </c>
      <c r="J201" s="129">
        <v>7400</v>
      </c>
      <c r="K201" s="129">
        <v>400</v>
      </c>
      <c r="L201" s="129">
        <v>400</v>
      </c>
      <c r="M201" s="130" t="s">
        <v>864</v>
      </c>
      <c r="N201" s="130" t="s">
        <v>866</v>
      </c>
      <c r="O201" s="130" t="s">
        <v>862</v>
      </c>
      <c r="P201" s="130" t="s">
        <v>867</v>
      </c>
      <c r="Q201" s="130" t="s">
        <v>377</v>
      </c>
      <c r="R201" s="131">
        <v>20.75</v>
      </c>
      <c r="S201" s="131">
        <f t="shared" si="118"/>
        <v>9.25</v>
      </c>
      <c r="T201" s="130">
        <v>1</v>
      </c>
      <c r="U201" s="132" t="s">
        <v>173</v>
      </c>
      <c r="V201" s="133">
        <v>0.05</v>
      </c>
      <c r="W201" s="132" t="s">
        <v>174</v>
      </c>
      <c r="X201" s="133">
        <v>0.05</v>
      </c>
      <c r="Y201" s="133">
        <v>2.5000000000000001E-2</v>
      </c>
      <c r="Z201" s="133">
        <v>0.01</v>
      </c>
      <c r="AA201" s="133">
        <v>0.15</v>
      </c>
      <c r="AB201" s="133">
        <f t="shared" si="112"/>
        <v>0.41500000000000004</v>
      </c>
      <c r="AC201" s="134">
        <v>0</v>
      </c>
      <c r="AD201" s="134">
        <v>0</v>
      </c>
      <c r="AE201" s="134">
        <v>0.03</v>
      </c>
      <c r="AF201" s="134">
        <v>0</v>
      </c>
      <c r="AG201" s="134">
        <v>0.1</v>
      </c>
      <c r="AH201" s="134">
        <v>0</v>
      </c>
      <c r="AI201" s="134">
        <v>1</v>
      </c>
      <c r="AJ201" s="134">
        <v>0</v>
      </c>
      <c r="AK201" s="134" t="s">
        <v>175</v>
      </c>
      <c r="AL201" s="122" t="s">
        <v>175</v>
      </c>
      <c r="AM201" s="122">
        <f t="shared" si="119"/>
        <v>-19.75</v>
      </c>
      <c r="AN201" s="134" t="s">
        <v>176</v>
      </c>
      <c r="AO201" s="122" t="s">
        <v>177</v>
      </c>
      <c r="AP201" s="135">
        <f t="shared" si="117"/>
        <v>1.0983396560263132</v>
      </c>
      <c r="AQ201" s="135">
        <f t="shared" si="111"/>
        <v>1.0983396560263132</v>
      </c>
      <c r="AR201" s="117">
        <v>-1.7161785190000001</v>
      </c>
      <c r="AS201" s="117">
        <v>0</v>
      </c>
      <c r="AT201" s="117">
        <v>0</v>
      </c>
      <c r="AU201" s="117">
        <v>-1.009313498</v>
      </c>
      <c r="AV201" s="117">
        <v>-0.58602975300000004</v>
      </c>
      <c r="AW201" s="117">
        <v>-2.8492561999999999E-2</v>
      </c>
      <c r="AX201" s="117">
        <v>0.49068650200000002</v>
      </c>
      <c r="AY201" s="117">
        <v>0.99068650199999997</v>
      </c>
      <c r="AZ201" s="117">
        <v>0</v>
      </c>
      <c r="BA201" s="117">
        <v>0</v>
      </c>
      <c r="BB201" s="117">
        <v>1.4838214810000001</v>
      </c>
      <c r="BC201" s="136" t="str">
        <f t="shared" si="113"/>
        <v>-1</v>
      </c>
      <c r="BD201" s="136" t="s">
        <v>178</v>
      </c>
      <c r="BE201" s="152" t="s">
        <v>863</v>
      </c>
      <c r="BF201" s="136" t="s">
        <v>668</v>
      </c>
      <c r="BG201" s="120" t="s">
        <v>678</v>
      </c>
      <c r="BH201" s="136" t="str">
        <f t="shared" si="105"/>
        <v>&lt;MTL</v>
      </c>
      <c r="BI201" s="136">
        <f t="shared" si="106"/>
        <v>-2.8492561999999999E-2</v>
      </c>
      <c r="BJ201" s="136" t="str">
        <f t="shared" si="107"/>
        <v>Nil</v>
      </c>
      <c r="BK201" s="136">
        <f t="shared" si="108"/>
        <v>0.05</v>
      </c>
      <c r="BL201" s="136" t="s">
        <v>736</v>
      </c>
      <c r="BM201" s="136" t="s">
        <v>175</v>
      </c>
      <c r="BN201" s="136" t="s">
        <v>175</v>
      </c>
      <c r="BO201" s="136" t="s">
        <v>736</v>
      </c>
      <c r="BP201" s="137" t="s">
        <v>175</v>
      </c>
      <c r="BQ201" s="137" t="s">
        <v>175</v>
      </c>
      <c r="BR201" s="137" t="s">
        <v>175</v>
      </c>
      <c r="BS201" s="137" t="s">
        <v>175</v>
      </c>
      <c r="BT201" s="138">
        <f t="shared" si="114"/>
        <v>-19.721507438</v>
      </c>
      <c r="BU201" s="138">
        <f t="shared" si="115"/>
        <v>1.099477148466488</v>
      </c>
      <c r="BV201" s="138">
        <f t="shared" si="116"/>
        <v>1.099477148466488</v>
      </c>
      <c r="BW201" s="53" t="s">
        <v>175</v>
      </c>
      <c r="BX201" s="53" t="s">
        <v>175</v>
      </c>
      <c r="BY201" s="53" t="s">
        <v>175</v>
      </c>
      <c r="BZ201" s="53" t="s">
        <v>175</v>
      </c>
      <c r="CA201" s="147">
        <v>1</v>
      </c>
      <c r="CB201" s="54">
        <v>0</v>
      </c>
    </row>
    <row r="202" spans="1:81">
      <c r="A202" s="123" t="s">
        <v>611</v>
      </c>
      <c r="B202" s="124" t="s">
        <v>545</v>
      </c>
      <c r="C202" s="148" t="s">
        <v>674</v>
      </c>
      <c r="D202" s="126" t="s">
        <v>741</v>
      </c>
      <c r="E202" s="127">
        <v>22.483152357409701</v>
      </c>
      <c r="F202" s="127">
        <v>113.233522645843</v>
      </c>
      <c r="G202" s="163" t="s">
        <v>194</v>
      </c>
      <c r="H202" s="145" t="s">
        <v>717</v>
      </c>
      <c r="I202" s="145" t="s">
        <v>717</v>
      </c>
      <c r="J202" s="129">
        <v>7700</v>
      </c>
      <c r="K202" s="129">
        <v>400</v>
      </c>
      <c r="L202" s="129">
        <v>400</v>
      </c>
      <c r="M202" s="130" t="s">
        <v>864</v>
      </c>
      <c r="N202" s="130" t="s">
        <v>866</v>
      </c>
      <c r="O202" s="130" t="s">
        <v>862</v>
      </c>
      <c r="P202" s="130" t="s">
        <v>867</v>
      </c>
      <c r="Q202" s="130" t="s">
        <v>377</v>
      </c>
      <c r="R202" s="131">
        <v>23.15</v>
      </c>
      <c r="S202" s="131">
        <f t="shared" si="118"/>
        <v>6.8500000000000014</v>
      </c>
      <c r="T202" s="130">
        <v>1</v>
      </c>
      <c r="U202" s="132" t="s">
        <v>173</v>
      </c>
      <c r="V202" s="133">
        <v>0.05</v>
      </c>
      <c r="W202" s="132" t="s">
        <v>174</v>
      </c>
      <c r="X202" s="133">
        <v>0.05</v>
      </c>
      <c r="Y202" s="133">
        <v>2.5000000000000001E-2</v>
      </c>
      <c r="Z202" s="133">
        <v>0.01</v>
      </c>
      <c r="AA202" s="133">
        <v>0.15</v>
      </c>
      <c r="AB202" s="133">
        <f t="shared" si="112"/>
        <v>0.46299999999999997</v>
      </c>
      <c r="AC202" s="134">
        <v>0</v>
      </c>
      <c r="AD202" s="134">
        <v>0</v>
      </c>
      <c r="AE202" s="134">
        <v>0.03</v>
      </c>
      <c r="AF202" s="134">
        <v>0</v>
      </c>
      <c r="AG202" s="134">
        <v>0.1</v>
      </c>
      <c r="AH202" s="134">
        <v>0</v>
      </c>
      <c r="AI202" s="134">
        <v>1</v>
      </c>
      <c r="AJ202" s="134">
        <v>0</v>
      </c>
      <c r="AK202" s="134" t="s">
        <v>175</v>
      </c>
      <c r="AL202" s="122" t="s">
        <v>175</v>
      </c>
      <c r="AM202" s="122">
        <f t="shared" si="119"/>
        <v>-22.15</v>
      </c>
      <c r="AN202" s="134" t="s">
        <v>176</v>
      </c>
      <c r="AO202" s="122" t="s">
        <v>177</v>
      </c>
      <c r="AP202" s="135">
        <f t="shared" si="117"/>
        <v>1.1173602820934705</v>
      </c>
      <c r="AQ202" s="135">
        <f t="shared" si="111"/>
        <v>1.1173602820934705</v>
      </c>
      <c r="AR202" s="117">
        <v>-1.7161785190000001</v>
      </c>
      <c r="AS202" s="117">
        <v>0</v>
      </c>
      <c r="AT202" s="117">
        <v>0</v>
      </c>
      <c r="AU202" s="117">
        <v>-1.009313498</v>
      </c>
      <c r="AV202" s="117">
        <v>-0.58602975300000004</v>
      </c>
      <c r="AW202" s="117">
        <v>-2.8492561999999999E-2</v>
      </c>
      <c r="AX202" s="117">
        <v>0.49068650200000002</v>
      </c>
      <c r="AY202" s="117">
        <v>0.99068650199999997</v>
      </c>
      <c r="AZ202" s="117">
        <v>0</v>
      </c>
      <c r="BA202" s="117">
        <v>0</v>
      </c>
      <c r="BB202" s="117">
        <v>1.4838214810000001</v>
      </c>
      <c r="BC202" s="136" t="str">
        <f t="shared" si="113"/>
        <v>-1</v>
      </c>
      <c r="BD202" s="136" t="s">
        <v>178</v>
      </c>
      <c r="BE202" s="152" t="s">
        <v>863</v>
      </c>
      <c r="BF202" s="136" t="s">
        <v>668</v>
      </c>
      <c r="BG202" s="120" t="s">
        <v>678</v>
      </c>
      <c r="BH202" s="136" t="str">
        <f t="shared" si="105"/>
        <v>&lt;MTL</v>
      </c>
      <c r="BI202" s="136">
        <f t="shared" si="106"/>
        <v>-2.8492561999999999E-2</v>
      </c>
      <c r="BJ202" s="136" t="str">
        <f t="shared" si="107"/>
        <v>Nil</v>
      </c>
      <c r="BK202" s="136">
        <f t="shared" si="108"/>
        <v>0.05</v>
      </c>
      <c r="BL202" s="136" t="s">
        <v>736</v>
      </c>
      <c r="BM202" s="136" t="s">
        <v>175</v>
      </c>
      <c r="BN202" s="136" t="s">
        <v>175</v>
      </c>
      <c r="BO202" s="136" t="s">
        <v>736</v>
      </c>
      <c r="BP202" s="137" t="s">
        <v>175</v>
      </c>
      <c r="BQ202" s="137" t="s">
        <v>175</v>
      </c>
      <c r="BR202" s="137" t="s">
        <v>175</v>
      </c>
      <c r="BS202" s="137" t="s">
        <v>175</v>
      </c>
      <c r="BT202" s="138">
        <f t="shared" si="114"/>
        <v>-22.121507437999998</v>
      </c>
      <c r="BU202" s="138">
        <f t="shared" si="115"/>
        <v>1.1184784307263149</v>
      </c>
      <c r="BV202" s="138">
        <f t="shared" si="116"/>
        <v>1.1184784307263149</v>
      </c>
      <c r="BW202" s="53" t="s">
        <v>175</v>
      </c>
      <c r="BX202" s="53" t="s">
        <v>175</v>
      </c>
      <c r="BY202" s="53" t="s">
        <v>175</v>
      </c>
      <c r="BZ202" s="53" t="s">
        <v>175</v>
      </c>
      <c r="CA202" s="147">
        <v>1</v>
      </c>
      <c r="CB202" s="54">
        <v>0</v>
      </c>
    </row>
    <row r="203" spans="1:81">
      <c r="A203" s="123" t="s">
        <v>612</v>
      </c>
      <c r="B203" s="124" t="s">
        <v>545</v>
      </c>
      <c r="C203" s="148" t="s">
        <v>674</v>
      </c>
      <c r="D203" s="126" t="s">
        <v>741</v>
      </c>
      <c r="E203" s="127">
        <v>22.483152357409701</v>
      </c>
      <c r="F203" s="127">
        <v>113.233522645843</v>
      </c>
      <c r="G203" s="163" t="s">
        <v>194</v>
      </c>
      <c r="H203" s="145" t="s">
        <v>717</v>
      </c>
      <c r="I203" s="145" t="s">
        <v>717</v>
      </c>
      <c r="J203" s="129">
        <v>6200</v>
      </c>
      <c r="K203" s="129">
        <v>300</v>
      </c>
      <c r="L203" s="129">
        <v>300</v>
      </c>
      <c r="M203" s="130" t="s">
        <v>864</v>
      </c>
      <c r="N203" s="130" t="s">
        <v>866</v>
      </c>
      <c r="O203" s="130" t="s">
        <v>862</v>
      </c>
      <c r="P203" s="130" t="s">
        <v>867</v>
      </c>
      <c r="Q203" s="130" t="s">
        <v>377</v>
      </c>
      <c r="R203" s="131">
        <v>24.75</v>
      </c>
      <c r="S203" s="131">
        <f t="shared" si="118"/>
        <v>5.25</v>
      </c>
      <c r="T203" s="130">
        <v>1</v>
      </c>
      <c r="U203" s="132" t="s">
        <v>173</v>
      </c>
      <c r="V203" s="133">
        <v>0.05</v>
      </c>
      <c r="W203" s="132" t="s">
        <v>174</v>
      </c>
      <c r="X203" s="133">
        <v>0.05</v>
      </c>
      <c r="Y203" s="133">
        <v>2.5000000000000001E-2</v>
      </c>
      <c r="Z203" s="133">
        <v>0.01</v>
      </c>
      <c r="AA203" s="133">
        <v>0.15</v>
      </c>
      <c r="AB203" s="133">
        <f t="shared" si="112"/>
        <v>0.495</v>
      </c>
      <c r="AC203" s="134">
        <v>0</v>
      </c>
      <c r="AD203" s="134">
        <v>0</v>
      </c>
      <c r="AE203" s="134">
        <v>0.03</v>
      </c>
      <c r="AF203" s="134">
        <v>0</v>
      </c>
      <c r="AG203" s="134">
        <v>0.1</v>
      </c>
      <c r="AH203" s="134">
        <v>0</v>
      </c>
      <c r="AI203" s="134">
        <v>1</v>
      </c>
      <c r="AJ203" s="134">
        <v>0</v>
      </c>
      <c r="AK203" s="134" t="s">
        <v>175</v>
      </c>
      <c r="AL203" s="122" t="s">
        <v>175</v>
      </c>
      <c r="AM203" s="122">
        <f t="shared" si="119"/>
        <v>-23.75</v>
      </c>
      <c r="AN203" s="134" t="s">
        <v>176</v>
      </c>
      <c r="AO203" s="122" t="s">
        <v>177</v>
      </c>
      <c r="AP203" s="135">
        <f t="shared" si="117"/>
        <v>1.1309951370364066</v>
      </c>
      <c r="AQ203" s="135">
        <f t="shared" si="111"/>
        <v>1.1309951370364066</v>
      </c>
      <c r="AR203" s="117">
        <v>-1.7161785190000001</v>
      </c>
      <c r="AS203" s="117">
        <v>0</v>
      </c>
      <c r="AT203" s="117">
        <v>0</v>
      </c>
      <c r="AU203" s="117">
        <v>-1.009313498</v>
      </c>
      <c r="AV203" s="117">
        <v>-0.58602975300000004</v>
      </c>
      <c r="AW203" s="117">
        <v>-2.8492561999999999E-2</v>
      </c>
      <c r="AX203" s="117">
        <v>0.49068650200000002</v>
      </c>
      <c r="AY203" s="117">
        <v>0.99068650199999997</v>
      </c>
      <c r="AZ203" s="117">
        <v>0</v>
      </c>
      <c r="BA203" s="117">
        <v>0</v>
      </c>
      <c r="BB203" s="117">
        <v>1.4838214810000001</v>
      </c>
      <c r="BC203" s="136" t="str">
        <f t="shared" si="113"/>
        <v>-1</v>
      </c>
      <c r="BD203" s="136" t="s">
        <v>178</v>
      </c>
      <c r="BE203" s="152" t="s">
        <v>863</v>
      </c>
      <c r="BF203" s="136" t="s">
        <v>668</v>
      </c>
      <c r="BG203" s="120" t="s">
        <v>678</v>
      </c>
      <c r="BH203" s="136" t="str">
        <f t="shared" si="105"/>
        <v>&lt;MTL</v>
      </c>
      <c r="BI203" s="136">
        <f t="shared" si="106"/>
        <v>-2.8492561999999999E-2</v>
      </c>
      <c r="BJ203" s="136" t="str">
        <f t="shared" si="107"/>
        <v>Nil</v>
      </c>
      <c r="BK203" s="136">
        <f t="shared" si="108"/>
        <v>0.05</v>
      </c>
      <c r="BL203" s="136" t="s">
        <v>736</v>
      </c>
      <c r="BM203" s="136" t="s">
        <v>175</v>
      </c>
      <c r="BN203" s="136" t="s">
        <v>175</v>
      </c>
      <c r="BO203" s="136" t="s">
        <v>736</v>
      </c>
      <c r="BP203" s="137" t="s">
        <v>175</v>
      </c>
      <c r="BQ203" s="137" t="s">
        <v>175</v>
      </c>
      <c r="BR203" s="137" t="s">
        <v>175</v>
      </c>
      <c r="BS203" s="137" t="s">
        <v>175</v>
      </c>
      <c r="BT203" s="138">
        <f t="shared" si="114"/>
        <v>-23.721507438</v>
      </c>
      <c r="BU203" s="138">
        <f t="shared" si="115"/>
        <v>1.1320998189205755</v>
      </c>
      <c r="BV203" s="138">
        <f t="shared" si="116"/>
        <v>1.1320998189205755</v>
      </c>
      <c r="BW203" s="53" t="s">
        <v>175</v>
      </c>
      <c r="BX203" s="53" t="s">
        <v>175</v>
      </c>
      <c r="BY203" s="53" t="s">
        <v>175</v>
      </c>
      <c r="BZ203" s="53" t="s">
        <v>175</v>
      </c>
      <c r="CA203" s="147">
        <v>1</v>
      </c>
      <c r="CB203" s="54">
        <v>0</v>
      </c>
    </row>
    <row r="204" spans="1:81">
      <c r="A204" s="123" t="s">
        <v>613</v>
      </c>
      <c r="B204" s="124" t="s">
        <v>545</v>
      </c>
      <c r="C204" s="148" t="s">
        <v>674</v>
      </c>
      <c r="D204" s="126" t="s">
        <v>741</v>
      </c>
      <c r="E204" s="127">
        <v>22.483152357409701</v>
      </c>
      <c r="F204" s="127">
        <v>113.233522645843</v>
      </c>
      <c r="G204" s="163" t="s">
        <v>194</v>
      </c>
      <c r="H204" s="145" t="s">
        <v>717</v>
      </c>
      <c r="I204" s="145" t="s">
        <v>717</v>
      </c>
      <c r="J204" s="129">
        <v>8000</v>
      </c>
      <c r="K204" s="129">
        <v>400</v>
      </c>
      <c r="L204" s="129">
        <v>400</v>
      </c>
      <c r="M204" s="130" t="s">
        <v>864</v>
      </c>
      <c r="N204" s="130" t="s">
        <v>866</v>
      </c>
      <c r="O204" s="130" t="s">
        <v>862</v>
      </c>
      <c r="P204" s="130" t="s">
        <v>867</v>
      </c>
      <c r="Q204" s="130" t="s">
        <v>377</v>
      </c>
      <c r="R204" s="131">
        <v>25.55</v>
      </c>
      <c r="S204" s="131">
        <f t="shared" si="118"/>
        <v>4.4499999999999993</v>
      </c>
      <c r="T204" s="130">
        <v>1</v>
      </c>
      <c r="U204" s="132" t="s">
        <v>173</v>
      </c>
      <c r="V204" s="133">
        <v>0.05</v>
      </c>
      <c r="W204" s="132" t="s">
        <v>174</v>
      </c>
      <c r="X204" s="133">
        <v>0.05</v>
      </c>
      <c r="Y204" s="133">
        <v>2.5000000000000001E-2</v>
      </c>
      <c r="Z204" s="133">
        <v>0.01</v>
      </c>
      <c r="AA204" s="133">
        <v>0.15</v>
      </c>
      <c r="AB204" s="133">
        <f t="shared" si="112"/>
        <v>0.51100000000000001</v>
      </c>
      <c r="AC204" s="134">
        <v>0</v>
      </c>
      <c r="AD204" s="134">
        <v>0</v>
      </c>
      <c r="AE204" s="134">
        <v>0.03</v>
      </c>
      <c r="AF204" s="134">
        <v>0</v>
      </c>
      <c r="AG204" s="134">
        <v>0.1</v>
      </c>
      <c r="AH204" s="134">
        <v>0</v>
      </c>
      <c r="AI204" s="134">
        <v>1</v>
      </c>
      <c r="AJ204" s="134">
        <v>0</v>
      </c>
      <c r="AK204" s="134" t="s">
        <v>175</v>
      </c>
      <c r="AL204" s="122" t="s">
        <v>175</v>
      </c>
      <c r="AM204" s="122">
        <f t="shared" si="119"/>
        <v>-24.55</v>
      </c>
      <c r="AN204" s="134" t="s">
        <v>176</v>
      </c>
      <c r="AO204" s="122" t="s">
        <v>177</v>
      </c>
      <c r="AP204" s="135">
        <f t="shared" si="117"/>
        <v>1.138088748736231</v>
      </c>
      <c r="AQ204" s="135">
        <f t="shared" si="111"/>
        <v>1.138088748736231</v>
      </c>
      <c r="AR204" s="117">
        <v>-1.7161785190000001</v>
      </c>
      <c r="AS204" s="117">
        <v>0</v>
      </c>
      <c r="AT204" s="117">
        <v>0</v>
      </c>
      <c r="AU204" s="117">
        <v>-1.009313498</v>
      </c>
      <c r="AV204" s="117">
        <v>-0.58602975300000004</v>
      </c>
      <c r="AW204" s="117">
        <v>-2.8492561999999999E-2</v>
      </c>
      <c r="AX204" s="117">
        <v>0.49068650200000002</v>
      </c>
      <c r="AY204" s="117">
        <v>0.99068650199999997</v>
      </c>
      <c r="AZ204" s="117">
        <v>0</v>
      </c>
      <c r="BA204" s="117">
        <v>0</v>
      </c>
      <c r="BB204" s="117">
        <v>1.4838214810000001</v>
      </c>
      <c r="BC204" s="136" t="str">
        <f t="shared" si="113"/>
        <v>-1</v>
      </c>
      <c r="BD204" s="136" t="s">
        <v>178</v>
      </c>
      <c r="BE204" s="152" t="s">
        <v>863</v>
      </c>
      <c r="BF204" s="136" t="s">
        <v>668</v>
      </c>
      <c r="BG204" s="120" t="s">
        <v>678</v>
      </c>
      <c r="BH204" s="136" t="str">
        <f t="shared" si="105"/>
        <v>&lt;MTL</v>
      </c>
      <c r="BI204" s="136">
        <f t="shared" si="106"/>
        <v>-2.8492561999999999E-2</v>
      </c>
      <c r="BJ204" s="136" t="str">
        <f t="shared" si="107"/>
        <v>Nil</v>
      </c>
      <c r="BK204" s="136">
        <f t="shared" si="108"/>
        <v>0.05</v>
      </c>
      <c r="BL204" s="136" t="s">
        <v>736</v>
      </c>
      <c r="BM204" s="136" t="s">
        <v>175</v>
      </c>
      <c r="BN204" s="136" t="s">
        <v>175</v>
      </c>
      <c r="BO204" s="136" t="s">
        <v>736</v>
      </c>
      <c r="BP204" s="137" t="s">
        <v>175</v>
      </c>
      <c r="BQ204" s="137" t="s">
        <v>175</v>
      </c>
      <c r="BR204" s="137" t="s">
        <v>175</v>
      </c>
      <c r="BS204" s="137" t="s">
        <v>175</v>
      </c>
      <c r="BT204" s="138">
        <f t="shared" si="114"/>
        <v>-24.521507438</v>
      </c>
      <c r="BU204" s="138">
        <f t="shared" si="115"/>
        <v>1.1391865518869155</v>
      </c>
      <c r="BV204" s="138">
        <f t="shared" si="116"/>
        <v>1.1391865518869155</v>
      </c>
      <c r="BW204" s="53" t="s">
        <v>175</v>
      </c>
      <c r="BX204" s="53" t="s">
        <v>175</v>
      </c>
      <c r="BY204" s="53" t="s">
        <v>175</v>
      </c>
      <c r="BZ204" s="53" t="s">
        <v>175</v>
      </c>
      <c r="CA204" s="147">
        <v>1</v>
      </c>
      <c r="CB204" s="54">
        <v>0</v>
      </c>
    </row>
    <row r="205" spans="1:81">
      <c r="A205" s="123" t="s">
        <v>614</v>
      </c>
      <c r="B205" s="124" t="s">
        <v>545</v>
      </c>
      <c r="C205" s="148" t="s">
        <v>674</v>
      </c>
      <c r="D205" s="126" t="s">
        <v>741</v>
      </c>
      <c r="E205" s="127">
        <v>22.483152357409701</v>
      </c>
      <c r="F205" s="127">
        <v>113.233522645843</v>
      </c>
      <c r="G205" s="163" t="s">
        <v>194</v>
      </c>
      <c r="H205" s="145" t="s">
        <v>717</v>
      </c>
      <c r="I205" s="145" t="s">
        <v>717</v>
      </c>
      <c r="J205" s="129">
        <v>7900</v>
      </c>
      <c r="K205" s="129">
        <v>400</v>
      </c>
      <c r="L205" s="129">
        <v>400</v>
      </c>
      <c r="M205" s="130" t="s">
        <v>864</v>
      </c>
      <c r="N205" s="130" t="s">
        <v>866</v>
      </c>
      <c r="O205" s="130" t="s">
        <v>862</v>
      </c>
      <c r="P205" s="130" t="s">
        <v>867</v>
      </c>
      <c r="Q205" s="130" t="s">
        <v>377</v>
      </c>
      <c r="R205" s="131">
        <v>26.35</v>
      </c>
      <c r="S205" s="131">
        <f t="shared" si="118"/>
        <v>3.6499999999999986</v>
      </c>
      <c r="T205" s="130">
        <v>1</v>
      </c>
      <c r="U205" s="132" t="s">
        <v>173</v>
      </c>
      <c r="V205" s="133">
        <v>0.05</v>
      </c>
      <c r="W205" s="132" t="s">
        <v>174</v>
      </c>
      <c r="X205" s="133">
        <v>0.05</v>
      </c>
      <c r="Y205" s="133">
        <v>2.5000000000000001E-2</v>
      </c>
      <c r="Z205" s="133">
        <v>0.01</v>
      </c>
      <c r="AA205" s="133">
        <v>0.15</v>
      </c>
      <c r="AB205" s="133">
        <f t="shared" si="112"/>
        <v>0.52700000000000002</v>
      </c>
      <c r="AC205" s="134">
        <v>0</v>
      </c>
      <c r="AD205" s="134">
        <v>0</v>
      </c>
      <c r="AE205" s="134">
        <v>0.03</v>
      </c>
      <c r="AF205" s="134">
        <v>0</v>
      </c>
      <c r="AG205" s="134">
        <v>0.1</v>
      </c>
      <c r="AH205" s="134">
        <v>0</v>
      </c>
      <c r="AI205" s="134">
        <v>1</v>
      </c>
      <c r="AJ205" s="134">
        <v>0</v>
      </c>
      <c r="AK205" s="134" t="s">
        <v>175</v>
      </c>
      <c r="AL205" s="122" t="s">
        <v>175</v>
      </c>
      <c r="AM205" s="122">
        <f t="shared" si="119"/>
        <v>-25.35</v>
      </c>
      <c r="AN205" s="134" t="s">
        <v>176</v>
      </c>
      <c r="AO205" s="122" t="s">
        <v>177</v>
      </c>
      <c r="AP205" s="135">
        <f t="shared" si="117"/>
        <v>1.1453619515244953</v>
      </c>
      <c r="AQ205" s="135">
        <f t="shared" si="111"/>
        <v>1.1453619515244953</v>
      </c>
      <c r="AR205" s="117">
        <v>-1.7161785190000001</v>
      </c>
      <c r="AS205" s="117">
        <v>0</v>
      </c>
      <c r="AT205" s="117">
        <v>0</v>
      </c>
      <c r="AU205" s="117">
        <v>-1.009313498</v>
      </c>
      <c r="AV205" s="117">
        <v>-0.58602975300000004</v>
      </c>
      <c r="AW205" s="117">
        <v>-2.8492561999999999E-2</v>
      </c>
      <c r="AX205" s="117">
        <v>0.49068650200000002</v>
      </c>
      <c r="AY205" s="117">
        <v>0.99068650199999997</v>
      </c>
      <c r="AZ205" s="117">
        <v>0</v>
      </c>
      <c r="BA205" s="117">
        <v>0</v>
      </c>
      <c r="BB205" s="117">
        <v>1.4838214810000001</v>
      </c>
      <c r="BC205" s="136" t="str">
        <f t="shared" si="113"/>
        <v>-1</v>
      </c>
      <c r="BD205" s="136" t="s">
        <v>178</v>
      </c>
      <c r="BE205" s="152" t="s">
        <v>863</v>
      </c>
      <c r="BF205" s="136" t="s">
        <v>668</v>
      </c>
      <c r="BG205" s="120" t="s">
        <v>678</v>
      </c>
      <c r="BH205" s="136" t="str">
        <f t="shared" si="105"/>
        <v>&lt;MTL</v>
      </c>
      <c r="BI205" s="136">
        <f t="shared" si="106"/>
        <v>-2.8492561999999999E-2</v>
      </c>
      <c r="BJ205" s="136" t="str">
        <f t="shared" si="107"/>
        <v>Nil</v>
      </c>
      <c r="BK205" s="136">
        <f t="shared" si="108"/>
        <v>0.05</v>
      </c>
      <c r="BL205" s="136" t="s">
        <v>736</v>
      </c>
      <c r="BM205" s="136" t="s">
        <v>175</v>
      </c>
      <c r="BN205" s="136" t="s">
        <v>175</v>
      </c>
      <c r="BO205" s="136" t="s">
        <v>736</v>
      </c>
      <c r="BP205" s="137" t="s">
        <v>175</v>
      </c>
      <c r="BQ205" s="137" t="s">
        <v>175</v>
      </c>
      <c r="BR205" s="137" t="s">
        <v>175</v>
      </c>
      <c r="BS205" s="137" t="s">
        <v>175</v>
      </c>
      <c r="BT205" s="138">
        <f t="shared" si="114"/>
        <v>-25.321507438000001</v>
      </c>
      <c r="BU205" s="138">
        <f t="shared" si="115"/>
        <v>1.1464527901313688</v>
      </c>
      <c r="BV205" s="138">
        <f t="shared" si="116"/>
        <v>1.1464527901313688</v>
      </c>
      <c r="BW205" s="53" t="s">
        <v>175</v>
      </c>
      <c r="BX205" s="53" t="s">
        <v>175</v>
      </c>
      <c r="BY205" s="53" t="s">
        <v>175</v>
      </c>
      <c r="BZ205" s="53" t="s">
        <v>175</v>
      </c>
      <c r="CA205" s="147">
        <v>1</v>
      </c>
      <c r="CB205" s="54">
        <v>0</v>
      </c>
    </row>
    <row r="206" spans="1:81">
      <c r="A206" s="123" t="s">
        <v>868</v>
      </c>
      <c r="B206" s="124" t="s">
        <v>883</v>
      </c>
      <c r="C206" s="148" t="s">
        <v>674</v>
      </c>
      <c r="D206" s="126" t="s">
        <v>741</v>
      </c>
      <c r="E206" s="127">
        <v>22.523333000000001</v>
      </c>
      <c r="F206" s="127">
        <v>113.18388899999999</v>
      </c>
      <c r="G206" s="128" t="s">
        <v>168</v>
      </c>
      <c r="H206" s="145">
        <v>1915</v>
      </c>
      <c r="I206" s="145">
        <v>200</v>
      </c>
      <c r="J206" s="129">
        <v>1852</v>
      </c>
      <c r="K206" s="129">
        <v>470</v>
      </c>
      <c r="L206" s="129">
        <v>440</v>
      </c>
      <c r="M206" s="130" t="s">
        <v>884</v>
      </c>
      <c r="N206" s="149" t="s">
        <v>735</v>
      </c>
      <c r="O206" s="130" t="s">
        <v>885</v>
      </c>
      <c r="P206" s="130" t="s">
        <v>886</v>
      </c>
      <c r="Q206" s="130" t="s">
        <v>377</v>
      </c>
      <c r="R206" s="131">
        <v>4.5</v>
      </c>
      <c r="S206" s="131">
        <f>35-R206</f>
        <v>30.5</v>
      </c>
      <c r="T206" s="130">
        <v>1</v>
      </c>
      <c r="U206" s="132" t="s">
        <v>173</v>
      </c>
      <c r="V206" s="133">
        <v>0.05</v>
      </c>
      <c r="W206" s="132" t="s">
        <v>174</v>
      </c>
      <c r="X206" s="133">
        <v>0.05</v>
      </c>
      <c r="Y206" s="133">
        <v>2.5000000000000001E-2</v>
      </c>
      <c r="Z206" s="133">
        <v>0.01</v>
      </c>
      <c r="AA206" s="133">
        <v>0.5</v>
      </c>
      <c r="AB206" s="133">
        <f t="shared" si="112"/>
        <v>0.09</v>
      </c>
      <c r="AC206" s="134">
        <v>0</v>
      </c>
      <c r="AD206" s="134">
        <v>0</v>
      </c>
      <c r="AE206" s="134">
        <v>0.5</v>
      </c>
      <c r="AF206" s="134">
        <v>0</v>
      </c>
      <c r="AG206" s="134">
        <v>0.1</v>
      </c>
      <c r="AH206" s="134">
        <v>0</v>
      </c>
      <c r="AI206" s="134">
        <v>0</v>
      </c>
      <c r="AJ206" s="134">
        <v>0</v>
      </c>
      <c r="AK206" s="134" t="s">
        <v>175</v>
      </c>
      <c r="AL206" s="122" t="s">
        <v>175</v>
      </c>
      <c r="AM206" s="134">
        <f>1.12-R206</f>
        <v>-3.38</v>
      </c>
      <c r="AN206" s="134" t="s">
        <v>176</v>
      </c>
      <c r="AO206" s="122" t="s">
        <v>177</v>
      </c>
      <c r="AP206" s="135">
        <f t="shared" ref="AP206:AP220" si="120">SQRT(SUMSQ(IF(OR(Y206="nd",Y206="nd"),0,Y206),IF(OR(Z206="nd",Z206="nd"),0,Z206),IF(OR(AA206="nd",AA206="nd"),0,AA206),IF(OR(AB206="nd",AB206="nd"),0,AB206),IF(OR(AC206="nd",AC206="nd"),0,AC206),IF(OR(AD206="nd",AD206="nd"),0,AD206),IF(OR(AE206="nd",AE206="nd"),0,AE206),IF(OR(AF206="nd",AF206="nd"),0,AF206),IF(OR(AG206="nd",AG206="nd"),0,AG206),IF(OR(AH206="nd",AH206="nd"),0,AH206),IF(OR(AI206="nd",AI206="nd"),0,AI206),IF(OR(AJ206="nd",AJ206="nd"),0,AJ206)))</f>
        <v>0.72029507842272533</v>
      </c>
      <c r="AQ206" s="135">
        <f t="shared" ref="AQ206:AQ220" si="121">SQRT(SUMSQ(IF(OR(Y206="nd",Y206="nd"),0,Y206),IF(OR(Z206="nd",Z206="nd"),0,Z206),IF(OR(AA206="nd",AA206="nd"),0,AA206),IF(OR(AB206="nd",AB206="nd"),0,AB206),IF(OR(AC206="nd",AC206="nd"),0,AC206),IF(OR(AD206="nd",AD206="nd"),0,AD206),IF(OR(AE206="nd",AE206="nd"),0,AE206),IF(OR(AF206="nd",AF206="nd"),0,AF206),IF(OR(AG206="nd",AG206="nd"),0,AG206),IF(OR(AH206="nd",AH206="nd"),0,AH206),IF(OR(AI206="nd",AI206="nd"),0,AI206),IF(OR(AJ206="nd",AJ206="nd"),0,AJ206)))</f>
        <v>0.72029507842272533</v>
      </c>
      <c r="AR206" s="117">
        <v>-1.71548965752143</v>
      </c>
      <c r="AS206" s="117">
        <v>0</v>
      </c>
      <c r="AT206" s="117">
        <v>0</v>
      </c>
      <c r="AU206" s="117">
        <v>-1.00939003805317</v>
      </c>
      <c r="AV206" s="117">
        <v>-0.58591494292023805</v>
      </c>
      <c r="AW206" s="117">
        <v>-2.85212642699403E-2</v>
      </c>
      <c r="AX206" s="117">
        <v>0.49060996194682499</v>
      </c>
      <c r="AY206" s="117">
        <v>0.99060996194682505</v>
      </c>
      <c r="AZ206" s="117">
        <v>0</v>
      </c>
      <c r="BA206" s="117">
        <v>0</v>
      </c>
      <c r="BB206" s="117">
        <v>1.48451034247856</v>
      </c>
      <c r="BC206" s="136" t="str">
        <f>IF(BG206="1","1 ",
IF(BG206="2a","0",
IF(BG206="2b","1 ",
IF(BG206="3a","-1 ",
IF(BG206="3b","0 ",
IF(BG206="3c","0",
IF(BG206="3d","-1 ",
IF(BG206="3e","1 ",
IF(BG206="4","1 ",
IF(BG206="5","1",
IF(BG206="6","-1 ",
IF(BG206="7","-1 ",
IF(BG206="8","0",
IF(BG206="9","-1",
IF(BG206="10a","-1 ",
IF(BG206="10b","0",
IF(BG206="11","1 ",
IF(BG206="12a","0",
IF(BG206="12b","-1 ","")))))))))))))))))))</f>
        <v xml:space="preserve">1 </v>
      </c>
      <c r="BD206" s="136" t="s">
        <v>178</v>
      </c>
      <c r="BE206" s="136" t="s">
        <v>865</v>
      </c>
      <c r="BF206" s="136" t="s">
        <v>892</v>
      </c>
      <c r="BG206" s="120" t="s">
        <v>658</v>
      </c>
      <c r="BH206" s="136" t="str">
        <f t="shared" si="105"/>
        <v>&gt;MTL</v>
      </c>
      <c r="BI206" s="136">
        <f t="shared" si="106"/>
        <v>-2.85212642699403E-2</v>
      </c>
      <c r="BJ206" s="136" t="str">
        <f t="shared" ref="BJ206:BJ220" si="122">IF(BG206="1","Nil",
IF(BG206="2a",(BB206-AR206)/2,
IF(BG206="2b","Nil",
IF(BG206="3a","Nil",
IF(BG206="3b",(AU206 -AR206)/2,
IF(BG206="3c",4,
IF(BG206="3d","Nil",
IF(BG206="3e","Nil",
IF(BG206="4","Nil",
IF(BG206="5","Nil",
IF(BG206="6","Nil",
IF(BG206="7","Nil",
IF(BG206="8",(BB206-AW206)/2,
IF(BG206="9","Nil",
IF(BG206="10a","Nil",
IF(BG206="10b",(AY206-AU206)/2,
IF(BG206="11","Nil",
IF(BG206="12a",(BB206-AR206)/2,
IF(BG206="12b","Nil","")))))))))))))))))))</f>
        <v>Nil</v>
      </c>
      <c r="BK206" s="136">
        <f t="shared" ref="BK206:BK220" si="123">IF(BH206="HAT-LAT",0.27,
IF(BH206="HAT-MTL",0.09,
IF(BH206="MHHW-MLLW",0.27,IF(BH206="MLLW-LAT",0.27,
IF(BH206="(MLLW)-(MLLW-8)",0.4,
IF(BH206="&lt;HAT",0.18,
IF(BH206="&gt;MHHW",0.44,
IF(BH206="&gt;MTL",0.05,
IF(BH206="&lt;MTL",0.05,
IF(BH206="&gt;MLLW",0.4,
IF(BH206="&lt;MLLW",0.4,"Nil")))))))))))</f>
        <v>0.05</v>
      </c>
      <c r="BL206" s="136" t="s">
        <v>736</v>
      </c>
      <c r="BM206" s="136" t="s">
        <v>175</v>
      </c>
      <c r="BN206" s="136" t="s">
        <v>175</v>
      </c>
      <c r="BO206" s="136" t="s">
        <v>736</v>
      </c>
      <c r="BP206" s="137" t="s">
        <v>175</v>
      </c>
      <c r="BQ206" s="137" t="s">
        <v>175</v>
      </c>
      <c r="BR206" s="137" t="s">
        <v>175</v>
      </c>
      <c r="BS206" s="137" t="s">
        <v>175</v>
      </c>
      <c r="BT206" s="164">
        <f>AM206-BI206</f>
        <v>-3.3514787357300597</v>
      </c>
      <c r="BU206" s="138">
        <f t="shared" ref="BU206:BU220" si="124">SQRT(SUMSQ(AP206,BJ206,IF(OR(BK206="nd",BK206="nd"),0,BK206),IF(OR(BL206="nd",BL206="nd"),0,BL206),IF(OR(BO206="nd",BO206="nd"),0,BO206)))</f>
        <v>0.72202839279352449</v>
      </c>
      <c r="BV206" s="138">
        <f t="shared" ref="BV206:BV220" si="125">SQRT(SUMSQ(AP206,BJ206,IF(OR(BK206="nd",BK206="nd"),0,BK206),IF(OR(BL206="nd",BL206="nd"),0,BL206),IF(OR(BO206="nd",BO206="nd"),0,BO206)))</f>
        <v>0.72202839279352449</v>
      </c>
      <c r="BW206" s="53" t="s">
        <v>175</v>
      </c>
      <c r="BX206" s="53" t="s">
        <v>175</v>
      </c>
      <c r="BY206" s="53" t="s">
        <v>175</v>
      </c>
      <c r="BZ206" s="53" t="s">
        <v>175</v>
      </c>
      <c r="CA206" s="147">
        <v>3</v>
      </c>
      <c r="CB206" s="54">
        <v>1</v>
      </c>
      <c r="CC206" s="54" t="s">
        <v>893</v>
      </c>
    </row>
    <row r="207" spans="1:81">
      <c r="A207" s="123" t="s">
        <v>869</v>
      </c>
      <c r="B207" s="124" t="s">
        <v>883</v>
      </c>
      <c r="C207" s="148" t="s">
        <v>674</v>
      </c>
      <c r="D207" s="126" t="s">
        <v>741</v>
      </c>
      <c r="E207" s="127">
        <v>22.523333000000001</v>
      </c>
      <c r="F207" s="127">
        <v>113.18388899999999</v>
      </c>
      <c r="G207" s="128" t="s">
        <v>168</v>
      </c>
      <c r="H207" s="145">
        <v>2065</v>
      </c>
      <c r="I207" s="145">
        <v>180</v>
      </c>
      <c r="J207" s="129">
        <v>2030</v>
      </c>
      <c r="K207" s="129">
        <v>457</v>
      </c>
      <c r="L207" s="129">
        <v>481</v>
      </c>
      <c r="M207" s="130" t="s">
        <v>884</v>
      </c>
      <c r="N207" s="149" t="s">
        <v>735</v>
      </c>
      <c r="O207" s="130" t="s">
        <v>885</v>
      </c>
      <c r="P207" s="130" t="s">
        <v>886</v>
      </c>
      <c r="Q207" s="130" t="s">
        <v>377</v>
      </c>
      <c r="R207" s="131">
        <v>5.5</v>
      </c>
      <c r="S207" s="131">
        <f t="shared" ref="S207:S220" si="126">35-R207</f>
        <v>29.5</v>
      </c>
      <c r="T207" s="130">
        <v>1</v>
      </c>
      <c r="U207" s="132" t="s">
        <v>173</v>
      </c>
      <c r="V207" s="133">
        <v>0.05</v>
      </c>
      <c r="W207" s="132" t="s">
        <v>174</v>
      </c>
      <c r="X207" s="133">
        <v>0.05</v>
      </c>
      <c r="Y207" s="133">
        <v>2.5000000000000001E-2</v>
      </c>
      <c r="Z207" s="133">
        <v>0.01</v>
      </c>
      <c r="AA207" s="133">
        <v>0.5</v>
      </c>
      <c r="AB207" s="133">
        <f t="shared" si="112"/>
        <v>0.11</v>
      </c>
      <c r="AC207" s="134">
        <v>0</v>
      </c>
      <c r="AD207" s="134">
        <v>0</v>
      </c>
      <c r="AE207" s="134">
        <v>0.5</v>
      </c>
      <c r="AF207" s="134">
        <v>0</v>
      </c>
      <c r="AG207" s="134">
        <v>0.1</v>
      </c>
      <c r="AH207" s="134">
        <v>0</v>
      </c>
      <c r="AI207" s="134">
        <v>0</v>
      </c>
      <c r="AJ207" s="134">
        <v>0</v>
      </c>
      <c r="AK207" s="134" t="s">
        <v>175</v>
      </c>
      <c r="AL207" s="122" t="s">
        <v>175</v>
      </c>
      <c r="AM207" s="134">
        <f t="shared" ref="AM207:AM220" si="127">1.12-R207</f>
        <v>-4.38</v>
      </c>
      <c r="AN207" s="134" t="s">
        <v>176</v>
      </c>
      <c r="AO207" s="122" t="s">
        <v>177</v>
      </c>
      <c r="AP207" s="135">
        <f t="shared" si="120"/>
        <v>0.72306638699361481</v>
      </c>
      <c r="AQ207" s="135">
        <f t="shared" si="121"/>
        <v>0.72306638699361481</v>
      </c>
      <c r="AR207" s="117">
        <v>-1.71548965752143</v>
      </c>
      <c r="AS207" s="117">
        <v>0</v>
      </c>
      <c r="AT207" s="117">
        <v>0</v>
      </c>
      <c r="AU207" s="117">
        <v>-1.00939003805317</v>
      </c>
      <c r="AV207" s="117">
        <v>-0.58591494292023805</v>
      </c>
      <c r="AW207" s="117">
        <v>-2.85212642699403E-2</v>
      </c>
      <c r="AX207" s="117">
        <v>0.49060996194682499</v>
      </c>
      <c r="AY207" s="117">
        <v>0.99060996194682505</v>
      </c>
      <c r="AZ207" s="117">
        <v>0</v>
      </c>
      <c r="BA207" s="117">
        <v>0</v>
      </c>
      <c r="BB207" s="117">
        <v>1.48451034247856</v>
      </c>
      <c r="BC207" s="136" t="str">
        <f t="shared" si="113"/>
        <v xml:space="preserve">1 </v>
      </c>
      <c r="BD207" s="136" t="s">
        <v>178</v>
      </c>
      <c r="BE207" s="136" t="s">
        <v>865</v>
      </c>
      <c r="BF207" s="136" t="s">
        <v>892</v>
      </c>
      <c r="BG207" s="120" t="s">
        <v>658</v>
      </c>
      <c r="BH207" s="136" t="str">
        <f t="shared" ref="BH207:BH266" si="128">IF(BG207="1","&gt;MTL",
IF(BG207="2a","HAT-LAT",
IF(BG207="2b","&gt;MLLW",
IF(BG207="3a","&lt;HAT",
IF(BG207="3b","MLLW-LAT",
IF(BG207="3c","(MLLW)-(MLLW-8)",
IF(BG207="3d","&lt;HAT",
IF(BG207="3e","&gt;MLLW",
IF(BG207="4","&gt;MTL",
IF(BG207="5","&gt;MTL",
IF(BG207="6","&lt;HAT",
IF(BG207="7","&lt;HAT",
IF(BG207="8","HAT-MTL",
IF(BG207="9","&lt;MTL",
IF(BG207="10a","&lt;MTL",
IF(BG207="10b","MHHW-MLLW",
IF(BG207="11","&gt;MHHW",
IF(BG207="12a","HAT-LAT",
IF(BG207="12b","&lt;HAT","")))))))))))))))))))</f>
        <v>&gt;MTL</v>
      </c>
      <c r="BI207" s="136">
        <f t="shared" ref="BI207:BI266" si="129">IF(BG207="1",AW207,
IF(BG207="2a",(AR207+BB207)/2,
IF(BG207="2b",AU207,
IF(BG207="3a",BB207,
IF(BG207="3b",(AU207+AR207)/2,
IF(BG207="3c",(AU207+(AU207-8))/2,
IF(BG207="3d",BB207,
IF(BG207="3e",AU207,
IF(BG207="4",AW207,
IF(BG207="5",AW207,
IF(BG207="6",BB207,
IF(BG207="7",BB207,
IF(BG207="8",(AW207+BB207)/2,
IF(BG207="9",AW207,
IF(BG207="10a",AW207,
IF(BG207="10b",(AU207+AY207)/2,
IF(BG207="11",AY207,
IF(BG207="12a",(AR207+BB207)/2,
IF(BG207="12b",BB207,"")))))))))))))))))))</f>
        <v>-2.85212642699403E-2</v>
      </c>
      <c r="BJ207" s="136" t="str">
        <f t="shared" si="122"/>
        <v>Nil</v>
      </c>
      <c r="BK207" s="136">
        <f t="shared" si="123"/>
        <v>0.05</v>
      </c>
      <c r="BL207" s="136" t="s">
        <v>736</v>
      </c>
      <c r="BM207" s="136" t="s">
        <v>175</v>
      </c>
      <c r="BN207" s="136" t="s">
        <v>175</v>
      </c>
      <c r="BO207" s="136" t="s">
        <v>736</v>
      </c>
      <c r="BP207" s="137" t="s">
        <v>175</v>
      </c>
      <c r="BQ207" s="137" t="s">
        <v>175</v>
      </c>
      <c r="BR207" s="137" t="s">
        <v>175</v>
      </c>
      <c r="BS207" s="137" t="s">
        <v>175</v>
      </c>
      <c r="BT207" s="138">
        <f t="shared" ref="BT207:BT220" si="130">AM207-BI207</f>
        <v>-4.3514787357300593</v>
      </c>
      <c r="BU207" s="138">
        <f t="shared" si="124"/>
        <v>0.72479307391834258</v>
      </c>
      <c r="BV207" s="138">
        <f t="shared" si="125"/>
        <v>0.72479307391834258</v>
      </c>
      <c r="BW207" s="53" t="s">
        <v>175</v>
      </c>
      <c r="BX207" s="53" t="s">
        <v>175</v>
      </c>
      <c r="BY207" s="53" t="s">
        <v>175</v>
      </c>
      <c r="BZ207" s="53" t="s">
        <v>175</v>
      </c>
      <c r="CA207" s="147">
        <v>3</v>
      </c>
      <c r="CB207" s="54">
        <v>1</v>
      </c>
      <c r="CC207" s="54" t="s">
        <v>893</v>
      </c>
    </row>
    <row r="208" spans="1:81">
      <c r="A208" s="123" t="s">
        <v>870</v>
      </c>
      <c r="B208" s="124" t="s">
        <v>883</v>
      </c>
      <c r="C208" s="148" t="s">
        <v>674</v>
      </c>
      <c r="D208" s="126" t="s">
        <v>741</v>
      </c>
      <c r="E208" s="127">
        <v>22.523333000000001</v>
      </c>
      <c r="F208" s="127">
        <v>113.18388899999999</v>
      </c>
      <c r="G208" s="128" t="s">
        <v>168</v>
      </c>
      <c r="H208" s="145">
        <v>2355</v>
      </c>
      <c r="I208" s="145">
        <v>150</v>
      </c>
      <c r="J208" s="129">
        <v>2412</v>
      </c>
      <c r="K208" s="129">
        <v>338</v>
      </c>
      <c r="L208" s="129">
        <v>407</v>
      </c>
      <c r="M208" s="130" t="s">
        <v>884</v>
      </c>
      <c r="N208" s="149" t="s">
        <v>735</v>
      </c>
      <c r="O208" s="130" t="s">
        <v>885</v>
      </c>
      <c r="P208" s="130" t="s">
        <v>886</v>
      </c>
      <c r="Q208" s="130" t="s">
        <v>377</v>
      </c>
      <c r="R208" s="131">
        <v>6.5</v>
      </c>
      <c r="S208" s="131">
        <f t="shared" si="126"/>
        <v>28.5</v>
      </c>
      <c r="T208" s="130">
        <v>1</v>
      </c>
      <c r="U208" s="132" t="s">
        <v>173</v>
      </c>
      <c r="V208" s="133">
        <v>0.05</v>
      </c>
      <c r="W208" s="132" t="s">
        <v>174</v>
      </c>
      <c r="X208" s="133">
        <v>0.05</v>
      </c>
      <c r="Y208" s="133">
        <v>2.5000000000000001E-2</v>
      </c>
      <c r="Z208" s="133">
        <v>0.01</v>
      </c>
      <c r="AA208" s="133">
        <v>0.5</v>
      </c>
      <c r="AB208" s="133">
        <f t="shared" si="112"/>
        <v>0.13</v>
      </c>
      <c r="AC208" s="134">
        <v>0</v>
      </c>
      <c r="AD208" s="134">
        <v>0</v>
      </c>
      <c r="AE208" s="134">
        <v>0.5</v>
      </c>
      <c r="AF208" s="134">
        <v>0</v>
      </c>
      <c r="AG208" s="134">
        <v>0.1</v>
      </c>
      <c r="AH208" s="134">
        <v>0</v>
      </c>
      <c r="AI208" s="134">
        <v>0</v>
      </c>
      <c r="AJ208" s="134">
        <v>0</v>
      </c>
      <c r="AK208" s="134" t="s">
        <v>175</v>
      </c>
      <c r="AL208" s="122" t="s">
        <v>175</v>
      </c>
      <c r="AM208" s="134">
        <f t="shared" si="127"/>
        <v>-5.38</v>
      </c>
      <c r="AN208" s="134" t="s">
        <v>176</v>
      </c>
      <c r="AO208" s="122" t="s">
        <v>177</v>
      </c>
      <c r="AP208" s="135">
        <f t="shared" si="120"/>
        <v>0.72637800076819503</v>
      </c>
      <c r="AQ208" s="135">
        <f t="shared" si="121"/>
        <v>0.72637800076819503</v>
      </c>
      <c r="AR208" s="117">
        <v>-1.71548965752143</v>
      </c>
      <c r="AS208" s="117">
        <v>0</v>
      </c>
      <c r="AT208" s="117">
        <v>0</v>
      </c>
      <c r="AU208" s="117">
        <v>-1.00939003805317</v>
      </c>
      <c r="AV208" s="117">
        <v>-0.58591494292023805</v>
      </c>
      <c r="AW208" s="117">
        <v>-2.85212642699403E-2</v>
      </c>
      <c r="AX208" s="117">
        <v>0.49060996194682499</v>
      </c>
      <c r="AY208" s="117">
        <v>0.99060996194682505</v>
      </c>
      <c r="AZ208" s="117">
        <v>0</v>
      </c>
      <c r="BA208" s="117">
        <v>0</v>
      </c>
      <c r="BB208" s="117">
        <v>1.48451034247856</v>
      </c>
      <c r="BC208" s="136" t="str">
        <f t="shared" si="113"/>
        <v xml:space="preserve">1 </v>
      </c>
      <c r="BD208" s="136" t="s">
        <v>178</v>
      </c>
      <c r="BE208" s="136" t="s">
        <v>865</v>
      </c>
      <c r="BF208" s="136" t="s">
        <v>892</v>
      </c>
      <c r="BG208" s="120" t="s">
        <v>658</v>
      </c>
      <c r="BH208" s="136" t="str">
        <f t="shared" si="128"/>
        <v>&gt;MTL</v>
      </c>
      <c r="BI208" s="136">
        <f t="shared" si="129"/>
        <v>-2.85212642699403E-2</v>
      </c>
      <c r="BJ208" s="136" t="str">
        <f t="shared" si="122"/>
        <v>Nil</v>
      </c>
      <c r="BK208" s="136">
        <f t="shared" si="123"/>
        <v>0.05</v>
      </c>
      <c r="BL208" s="136" t="s">
        <v>736</v>
      </c>
      <c r="BM208" s="136" t="s">
        <v>175</v>
      </c>
      <c r="BN208" s="136" t="s">
        <v>175</v>
      </c>
      <c r="BO208" s="136" t="s">
        <v>736</v>
      </c>
      <c r="BP208" s="137" t="s">
        <v>175</v>
      </c>
      <c r="BQ208" s="137" t="s">
        <v>175</v>
      </c>
      <c r="BR208" s="137" t="s">
        <v>175</v>
      </c>
      <c r="BS208" s="137" t="s">
        <v>175</v>
      </c>
      <c r="BT208" s="138">
        <f t="shared" si="130"/>
        <v>-5.3514787357300593</v>
      </c>
      <c r="BU208" s="138">
        <f t="shared" si="124"/>
        <v>0.72809683421918536</v>
      </c>
      <c r="BV208" s="138">
        <f t="shared" si="125"/>
        <v>0.72809683421918536</v>
      </c>
      <c r="BW208" s="53" t="s">
        <v>175</v>
      </c>
      <c r="BX208" s="53" t="s">
        <v>175</v>
      </c>
      <c r="BY208" s="53" t="s">
        <v>175</v>
      </c>
      <c r="BZ208" s="53" t="s">
        <v>175</v>
      </c>
      <c r="CA208" s="147">
        <v>3</v>
      </c>
      <c r="CB208" s="54">
        <v>1</v>
      </c>
      <c r="CC208" s="54" t="s">
        <v>893</v>
      </c>
    </row>
    <row r="209" spans="1:81">
      <c r="A209" s="123" t="s">
        <v>871</v>
      </c>
      <c r="B209" s="124" t="s">
        <v>883</v>
      </c>
      <c r="C209" s="148" t="s">
        <v>674</v>
      </c>
      <c r="D209" s="126" t="s">
        <v>741</v>
      </c>
      <c r="E209" s="127">
        <v>22.523333000000001</v>
      </c>
      <c r="F209" s="127">
        <v>113.18388899999999</v>
      </c>
      <c r="G209" s="128" t="s">
        <v>168</v>
      </c>
      <c r="H209" s="145">
        <v>2955</v>
      </c>
      <c r="I209" s="145">
        <v>160</v>
      </c>
      <c r="J209" s="129">
        <v>3116</v>
      </c>
      <c r="K209" s="129">
        <v>335</v>
      </c>
      <c r="L209" s="129">
        <v>352</v>
      </c>
      <c r="M209" s="130" t="s">
        <v>884</v>
      </c>
      <c r="N209" s="149" t="s">
        <v>735</v>
      </c>
      <c r="O209" s="130" t="s">
        <v>885</v>
      </c>
      <c r="P209" s="130" t="s">
        <v>886</v>
      </c>
      <c r="Q209" s="130" t="s">
        <v>377</v>
      </c>
      <c r="R209" s="131">
        <v>10.5</v>
      </c>
      <c r="S209" s="131">
        <f t="shared" si="126"/>
        <v>24.5</v>
      </c>
      <c r="T209" s="130">
        <v>1</v>
      </c>
      <c r="U209" s="132" t="s">
        <v>173</v>
      </c>
      <c r="V209" s="133">
        <v>0.05</v>
      </c>
      <c r="W209" s="132" t="s">
        <v>174</v>
      </c>
      <c r="X209" s="133">
        <v>0.05</v>
      </c>
      <c r="Y209" s="133">
        <v>2.5000000000000001E-2</v>
      </c>
      <c r="Z209" s="133">
        <v>0.01</v>
      </c>
      <c r="AA209" s="133">
        <v>0.5</v>
      </c>
      <c r="AB209" s="133">
        <f t="shared" si="112"/>
        <v>0.21</v>
      </c>
      <c r="AC209" s="134">
        <v>0</v>
      </c>
      <c r="AD209" s="134">
        <v>0</v>
      </c>
      <c r="AE209" s="134">
        <v>0.5</v>
      </c>
      <c r="AF209" s="134">
        <v>0</v>
      </c>
      <c r="AG209" s="134">
        <v>0.1</v>
      </c>
      <c r="AH209" s="134">
        <v>0</v>
      </c>
      <c r="AI209" s="134">
        <v>0</v>
      </c>
      <c r="AJ209" s="134">
        <v>0</v>
      </c>
      <c r="AK209" s="134" t="s">
        <v>175</v>
      </c>
      <c r="AL209" s="122" t="s">
        <v>175</v>
      </c>
      <c r="AM209" s="134">
        <f t="shared" si="127"/>
        <v>-9.379999999999999</v>
      </c>
      <c r="AN209" s="134" t="s">
        <v>176</v>
      </c>
      <c r="AO209" s="122" t="s">
        <v>177</v>
      </c>
      <c r="AP209" s="135">
        <f t="shared" si="120"/>
        <v>0.74486575971781643</v>
      </c>
      <c r="AQ209" s="135">
        <f t="shared" si="121"/>
        <v>0.74486575971781643</v>
      </c>
      <c r="AR209" s="117">
        <v>-1.71548965752143</v>
      </c>
      <c r="AS209" s="117">
        <v>0</v>
      </c>
      <c r="AT209" s="117">
        <v>0</v>
      </c>
      <c r="AU209" s="117">
        <v>-1.00939003805317</v>
      </c>
      <c r="AV209" s="117">
        <v>-0.58591494292023805</v>
      </c>
      <c r="AW209" s="117">
        <v>-2.85212642699403E-2</v>
      </c>
      <c r="AX209" s="117">
        <v>0.49060996194682499</v>
      </c>
      <c r="AY209" s="117">
        <v>0.99060996194682505</v>
      </c>
      <c r="AZ209" s="117">
        <v>0</v>
      </c>
      <c r="BA209" s="117">
        <v>0</v>
      </c>
      <c r="BB209" s="117">
        <v>1.48451034247856</v>
      </c>
      <c r="BC209" s="136" t="str">
        <f t="shared" si="113"/>
        <v xml:space="preserve">1 </v>
      </c>
      <c r="BD209" s="136" t="s">
        <v>178</v>
      </c>
      <c r="BE209" s="136" t="s">
        <v>865</v>
      </c>
      <c r="BF209" s="136" t="s">
        <v>892</v>
      </c>
      <c r="BG209" s="120" t="s">
        <v>658</v>
      </c>
      <c r="BH209" s="136" t="str">
        <f t="shared" si="128"/>
        <v>&gt;MTL</v>
      </c>
      <c r="BI209" s="136">
        <f t="shared" si="129"/>
        <v>-2.85212642699403E-2</v>
      </c>
      <c r="BJ209" s="136" t="str">
        <f t="shared" si="122"/>
        <v>Nil</v>
      </c>
      <c r="BK209" s="136">
        <f t="shared" si="123"/>
        <v>0.05</v>
      </c>
      <c r="BL209" s="136" t="s">
        <v>736</v>
      </c>
      <c r="BM209" s="136" t="s">
        <v>175</v>
      </c>
      <c r="BN209" s="136" t="s">
        <v>175</v>
      </c>
      <c r="BO209" s="136" t="s">
        <v>736</v>
      </c>
      <c r="BP209" s="137" t="s">
        <v>175</v>
      </c>
      <c r="BQ209" s="137" t="s">
        <v>175</v>
      </c>
      <c r="BR209" s="137" t="s">
        <v>175</v>
      </c>
      <c r="BS209" s="137" t="s">
        <v>175</v>
      </c>
      <c r="BT209" s="138">
        <f t="shared" si="130"/>
        <v>-9.3514787357300584</v>
      </c>
      <c r="BU209" s="138">
        <f t="shared" si="124"/>
        <v>0.74654202828775817</v>
      </c>
      <c r="BV209" s="138">
        <f t="shared" si="125"/>
        <v>0.74654202828775817</v>
      </c>
      <c r="BW209" s="53" t="s">
        <v>175</v>
      </c>
      <c r="BX209" s="53" t="s">
        <v>175</v>
      </c>
      <c r="BY209" s="53" t="s">
        <v>175</v>
      </c>
      <c r="BZ209" s="53" t="s">
        <v>175</v>
      </c>
      <c r="CA209" s="147">
        <v>3</v>
      </c>
      <c r="CB209" s="54">
        <v>1</v>
      </c>
      <c r="CC209" s="54" t="s">
        <v>893</v>
      </c>
    </row>
    <row r="210" spans="1:81">
      <c r="A210" s="123" t="s">
        <v>872</v>
      </c>
      <c r="B210" s="124" t="s">
        <v>883</v>
      </c>
      <c r="C210" s="148" t="s">
        <v>674</v>
      </c>
      <c r="D210" s="126" t="s">
        <v>741</v>
      </c>
      <c r="E210" s="127">
        <v>22.523333000000001</v>
      </c>
      <c r="F210" s="127">
        <v>113.18388899999999</v>
      </c>
      <c r="G210" s="128" t="s">
        <v>168</v>
      </c>
      <c r="H210" s="145">
        <v>3681</v>
      </c>
      <c r="I210" s="145">
        <v>94</v>
      </c>
      <c r="J210" s="129">
        <v>4022</v>
      </c>
      <c r="K210" s="129">
        <v>324</v>
      </c>
      <c r="L210" s="129">
        <v>299</v>
      </c>
      <c r="M210" s="130" t="s">
        <v>886</v>
      </c>
      <c r="N210" s="149" t="s">
        <v>735</v>
      </c>
      <c r="O210" s="130" t="s">
        <v>884</v>
      </c>
      <c r="P210" s="130" t="s">
        <v>887</v>
      </c>
      <c r="Q210" s="130" t="s">
        <v>377</v>
      </c>
      <c r="R210" s="131">
        <v>11.5</v>
      </c>
      <c r="S210" s="131">
        <f t="shared" si="126"/>
        <v>23.5</v>
      </c>
      <c r="T210" s="130">
        <v>1</v>
      </c>
      <c r="U210" s="132" t="s">
        <v>173</v>
      </c>
      <c r="V210" s="133">
        <v>0.05</v>
      </c>
      <c r="W210" s="132" t="s">
        <v>174</v>
      </c>
      <c r="X210" s="133">
        <v>0.05</v>
      </c>
      <c r="Y210" s="133">
        <v>2.5000000000000001E-2</v>
      </c>
      <c r="Z210" s="133">
        <v>0.01</v>
      </c>
      <c r="AA210" s="133">
        <v>0.5</v>
      </c>
      <c r="AB210" s="133">
        <f t="shared" si="112"/>
        <v>0.23</v>
      </c>
      <c r="AC210" s="134">
        <v>0</v>
      </c>
      <c r="AD210" s="134">
        <v>0</v>
      </c>
      <c r="AE210" s="134">
        <v>0.5</v>
      </c>
      <c r="AF210" s="134">
        <v>0</v>
      </c>
      <c r="AG210" s="134">
        <v>0.1</v>
      </c>
      <c r="AH210" s="134">
        <v>0</v>
      </c>
      <c r="AI210" s="134">
        <v>0</v>
      </c>
      <c r="AJ210" s="134">
        <v>0</v>
      </c>
      <c r="AK210" s="134" t="s">
        <v>175</v>
      </c>
      <c r="AL210" s="122" t="s">
        <v>175</v>
      </c>
      <c r="AM210" s="134">
        <f t="shared" si="127"/>
        <v>-10.379999999999999</v>
      </c>
      <c r="AN210" s="134" t="s">
        <v>176</v>
      </c>
      <c r="AO210" s="122" t="s">
        <v>177</v>
      </c>
      <c r="AP210" s="135">
        <f t="shared" si="120"/>
        <v>0.75074962537453194</v>
      </c>
      <c r="AQ210" s="135">
        <f t="shared" si="121"/>
        <v>0.75074962537453194</v>
      </c>
      <c r="AR210" s="117">
        <v>-1.71548965752143</v>
      </c>
      <c r="AS210" s="117">
        <v>0</v>
      </c>
      <c r="AT210" s="117">
        <v>0</v>
      </c>
      <c r="AU210" s="117">
        <v>-1.00939003805317</v>
      </c>
      <c r="AV210" s="117">
        <v>-0.58591494292023805</v>
      </c>
      <c r="AW210" s="117">
        <v>-2.85212642699403E-2</v>
      </c>
      <c r="AX210" s="117">
        <v>0.49060996194682499</v>
      </c>
      <c r="AY210" s="117">
        <v>0.99060996194682505</v>
      </c>
      <c r="AZ210" s="117">
        <v>0</v>
      </c>
      <c r="BA210" s="117">
        <v>0</v>
      </c>
      <c r="BB210" s="117">
        <v>1.48451034247856</v>
      </c>
      <c r="BC210" s="136" t="str">
        <f t="shared" si="113"/>
        <v xml:space="preserve">-1 </v>
      </c>
      <c r="BD210" s="136" t="s">
        <v>178</v>
      </c>
      <c r="BE210" s="136" t="s">
        <v>694</v>
      </c>
      <c r="BF210" s="136" t="s">
        <v>894</v>
      </c>
      <c r="BG210" s="120" t="s">
        <v>665</v>
      </c>
      <c r="BH210" s="136" t="str">
        <f t="shared" si="128"/>
        <v>&lt;HAT</v>
      </c>
      <c r="BI210" s="136">
        <f t="shared" si="129"/>
        <v>1.48451034247856</v>
      </c>
      <c r="BJ210" s="136" t="str">
        <f t="shared" si="122"/>
        <v>Nil</v>
      </c>
      <c r="BK210" s="136">
        <f t="shared" si="123"/>
        <v>0.18</v>
      </c>
      <c r="BL210" s="136" t="s">
        <v>736</v>
      </c>
      <c r="BM210" s="136" t="s">
        <v>175</v>
      </c>
      <c r="BN210" s="136" t="s">
        <v>175</v>
      </c>
      <c r="BO210" s="136" t="s">
        <v>736</v>
      </c>
      <c r="BP210" s="137" t="s">
        <v>175</v>
      </c>
      <c r="BQ210" s="137" t="s">
        <v>175</v>
      </c>
      <c r="BR210" s="137" t="s">
        <v>175</v>
      </c>
      <c r="BS210" s="137" t="s">
        <v>175</v>
      </c>
      <c r="BT210" s="138">
        <f t="shared" si="130"/>
        <v>-11.864510342478559</v>
      </c>
      <c r="BU210" s="138">
        <f t="shared" si="124"/>
        <v>0.77202655394746622</v>
      </c>
      <c r="BV210" s="138">
        <f t="shared" si="125"/>
        <v>0.77202655394746622</v>
      </c>
      <c r="BW210" s="53" t="s">
        <v>175</v>
      </c>
      <c r="BX210" s="53" t="s">
        <v>175</v>
      </c>
      <c r="BY210" s="53" t="s">
        <v>175</v>
      </c>
      <c r="BZ210" s="53" t="s">
        <v>175</v>
      </c>
      <c r="CA210" s="147">
        <v>1</v>
      </c>
      <c r="CB210" s="54">
        <v>0</v>
      </c>
    </row>
    <row r="211" spans="1:81">
      <c r="A211" s="123" t="s">
        <v>873</v>
      </c>
      <c r="B211" s="124" t="s">
        <v>883</v>
      </c>
      <c r="C211" s="148" t="s">
        <v>674</v>
      </c>
      <c r="D211" s="126" t="s">
        <v>741</v>
      </c>
      <c r="E211" s="127">
        <v>22.523333000000001</v>
      </c>
      <c r="F211" s="127">
        <v>113.18388899999999</v>
      </c>
      <c r="G211" s="128" t="s">
        <v>168</v>
      </c>
      <c r="H211" s="145">
        <v>5185</v>
      </c>
      <c r="I211" s="145">
        <v>115</v>
      </c>
      <c r="J211" s="129">
        <v>5953</v>
      </c>
      <c r="K211" s="129">
        <v>315</v>
      </c>
      <c r="L211" s="129">
        <v>293</v>
      </c>
      <c r="M211" s="130" t="s">
        <v>887</v>
      </c>
      <c r="N211" s="149" t="s">
        <v>735</v>
      </c>
      <c r="O211" s="130" t="s">
        <v>886</v>
      </c>
      <c r="P211" s="130" t="s">
        <v>888</v>
      </c>
      <c r="Q211" s="130" t="s">
        <v>377</v>
      </c>
      <c r="R211" s="131">
        <v>12.5</v>
      </c>
      <c r="S211" s="131">
        <f t="shared" si="126"/>
        <v>22.5</v>
      </c>
      <c r="T211" s="130">
        <v>1</v>
      </c>
      <c r="U211" s="132" t="s">
        <v>173</v>
      </c>
      <c r="V211" s="133">
        <v>0.05</v>
      </c>
      <c r="W211" s="132" t="s">
        <v>174</v>
      </c>
      <c r="X211" s="133">
        <v>0.05</v>
      </c>
      <c r="Y211" s="133">
        <v>2.5000000000000001E-2</v>
      </c>
      <c r="Z211" s="133">
        <v>0.01</v>
      </c>
      <c r="AA211" s="133">
        <v>0.5</v>
      </c>
      <c r="AB211" s="133">
        <f t="shared" si="112"/>
        <v>0.25</v>
      </c>
      <c r="AC211" s="134">
        <v>0</v>
      </c>
      <c r="AD211" s="134">
        <v>0</v>
      </c>
      <c r="AE211" s="134">
        <v>0.5</v>
      </c>
      <c r="AF211" s="134">
        <v>0</v>
      </c>
      <c r="AG211" s="134">
        <v>0.1</v>
      </c>
      <c r="AH211" s="134">
        <v>0</v>
      </c>
      <c r="AI211" s="134">
        <v>0</v>
      </c>
      <c r="AJ211" s="134">
        <v>0</v>
      </c>
      <c r="AK211" s="134" t="s">
        <v>175</v>
      </c>
      <c r="AL211" s="122" t="s">
        <v>175</v>
      </c>
      <c r="AM211" s="134">
        <f t="shared" si="127"/>
        <v>-11.379999999999999</v>
      </c>
      <c r="AN211" s="134" t="s">
        <v>176</v>
      </c>
      <c r="AO211" s="122" t="s">
        <v>177</v>
      </c>
      <c r="AP211" s="135">
        <f t="shared" si="120"/>
        <v>0.75711623942430395</v>
      </c>
      <c r="AQ211" s="135">
        <f t="shared" si="121"/>
        <v>0.75711623942430395</v>
      </c>
      <c r="AR211" s="117">
        <v>-1.71548965752143</v>
      </c>
      <c r="AS211" s="117">
        <v>0</v>
      </c>
      <c r="AT211" s="117">
        <v>0</v>
      </c>
      <c r="AU211" s="117">
        <v>-1.00939003805317</v>
      </c>
      <c r="AV211" s="117">
        <v>-0.58591494292023805</v>
      </c>
      <c r="AW211" s="117">
        <v>-2.85212642699403E-2</v>
      </c>
      <c r="AX211" s="117">
        <v>0.49060996194682499</v>
      </c>
      <c r="AY211" s="117">
        <v>0.99060996194682505</v>
      </c>
      <c r="AZ211" s="117">
        <v>0</v>
      </c>
      <c r="BA211" s="117">
        <v>0</v>
      </c>
      <c r="BB211" s="117">
        <v>1.48451034247856</v>
      </c>
      <c r="BC211" s="136" t="str">
        <f t="shared" si="113"/>
        <v xml:space="preserve">-1 </v>
      </c>
      <c r="BD211" s="136" t="s">
        <v>178</v>
      </c>
      <c r="BE211" s="136" t="s">
        <v>694</v>
      </c>
      <c r="BF211" s="136" t="s">
        <v>894</v>
      </c>
      <c r="BG211" s="120" t="s">
        <v>665</v>
      </c>
      <c r="BH211" s="136" t="str">
        <f t="shared" si="128"/>
        <v>&lt;HAT</v>
      </c>
      <c r="BI211" s="136">
        <f t="shared" si="129"/>
        <v>1.48451034247856</v>
      </c>
      <c r="BJ211" s="136" t="str">
        <f t="shared" si="122"/>
        <v>Nil</v>
      </c>
      <c r="BK211" s="136">
        <f t="shared" si="123"/>
        <v>0.18</v>
      </c>
      <c r="BL211" s="136" t="s">
        <v>736</v>
      </c>
      <c r="BM211" s="136" t="s">
        <v>175</v>
      </c>
      <c r="BN211" s="136" t="s">
        <v>175</v>
      </c>
      <c r="BO211" s="136" t="s">
        <v>736</v>
      </c>
      <c r="BP211" s="137" t="s">
        <v>175</v>
      </c>
      <c r="BQ211" s="137" t="s">
        <v>175</v>
      </c>
      <c r="BR211" s="137" t="s">
        <v>175</v>
      </c>
      <c r="BS211" s="137" t="s">
        <v>175</v>
      </c>
      <c r="BT211" s="138">
        <f t="shared" si="130"/>
        <v>-12.864510342478559</v>
      </c>
      <c r="BU211" s="138">
        <f t="shared" si="124"/>
        <v>0.77821912081366906</v>
      </c>
      <c r="BV211" s="138">
        <f t="shared" si="125"/>
        <v>0.77821912081366906</v>
      </c>
      <c r="BW211" s="53" t="s">
        <v>175</v>
      </c>
      <c r="BX211" s="53" t="s">
        <v>175</v>
      </c>
      <c r="BY211" s="53" t="s">
        <v>175</v>
      </c>
      <c r="BZ211" s="53" t="s">
        <v>175</v>
      </c>
      <c r="CA211" s="147">
        <v>1</v>
      </c>
      <c r="CB211" s="54">
        <v>0</v>
      </c>
    </row>
    <row r="212" spans="1:81">
      <c r="A212" s="123" t="s">
        <v>874</v>
      </c>
      <c r="B212" s="124" t="s">
        <v>883</v>
      </c>
      <c r="C212" s="148" t="s">
        <v>674</v>
      </c>
      <c r="D212" s="126" t="s">
        <v>741</v>
      </c>
      <c r="E212" s="127">
        <v>22.523333000000001</v>
      </c>
      <c r="F212" s="127">
        <v>113.18388899999999</v>
      </c>
      <c r="G212" s="128" t="s">
        <v>168</v>
      </c>
      <c r="H212" s="145">
        <v>5530</v>
      </c>
      <c r="I212" s="145">
        <v>180</v>
      </c>
      <c r="J212" s="129">
        <v>6322</v>
      </c>
      <c r="K212" s="129">
        <v>407</v>
      </c>
      <c r="L212" s="129">
        <v>399</v>
      </c>
      <c r="M212" s="130" t="s">
        <v>887</v>
      </c>
      <c r="N212" s="149" t="s">
        <v>735</v>
      </c>
      <c r="O212" s="130" t="s">
        <v>886</v>
      </c>
      <c r="P212" s="130" t="s">
        <v>888</v>
      </c>
      <c r="Q212" s="130" t="s">
        <v>377</v>
      </c>
      <c r="R212" s="131">
        <v>13</v>
      </c>
      <c r="S212" s="131">
        <f t="shared" si="126"/>
        <v>22</v>
      </c>
      <c r="T212" s="130">
        <v>1</v>
      </c>
      <c r="U212" s="132" t="s">
        <v>173</v>
      </c>
      <c r="V212" s="133">
        <v>0.05</v>
      </c>
      <c r="W212" s="132" t="s">
        <v>174</v>
      </c>
      <c r="X212" s="133">
        <v>0.05</v>
      </c>
      <c r="Y212" s="133">
        <v>2.5000000000000001E-2</v>
      </c>
      <c r="Z212" s="133">
        <v>0.01</v>
      </c>
      <c r="AA212" s="133">
        <v>0.5</v>
      </c>
      <c r="AB212" s="133">
        <f t="shared" si="112"/>
        <v>0.26</v>
      </c>
      <c r="AC212" s="134">
        <v>0</v>
      </c>
      <c r="AD212" s="134">
        <v>0</v>
      </c>
      <c r="AE212" s="134">
        <v>0.5</v>
      </c>
      <c r="AF212" s="134">
        <v>0</v>
      </c>
      <c r="AG212" s="134">
        <v>0.1</v>
      </c>
      <c r="AH212" s="134">
        <v>0</v>
      </c>
      <c r="AI212" s="134">
        <v>0</v>
      </c>
      <c r="AJ212" s="134">
        <v>0</v>
      </c>
      <c r="AK212" s="134" t="s">
        <v>175</v>
      </c>
      <c r="AL212" s="122" t="s">
        <v>175</v>
      </c>
      <c r="AM212" s="134">
        <f t="shared" si="127"/>
        <v>-11.879999999999999</v>
      </c>
      <c r="AN212" s="134" t="s">
        <v>176</v>
      </c>
      <c r="AO212" s="122" t="s">
        <v>177</v>
      </c>
      <c r="AP212" s="135">
        <f t="shared" si="120"/>
        <v>0.76047682410445616</v>
      </c>
      <c r="AQ212" s="135">
        <f t="shared" si="121"/>
        <v>0.76047682410445616</v>
      </c>
      <c r="AR212" s="117">
        <v>-1.71548965752143</v>
      </c>
      <c r="AS212" s="117">
        <v>0</v>
      </c>
      <c r="AT212" s="117">
        <v>0</v>
      </c>
      <c r="AU212" s="117">
        <v>-1.00939003805317</v>
      </c>
      <c r="AV212" s="117">
        <v>-0.58591494292023805</v>
      </c>
      <c r="AW212" s="117">
        <v>-2.85212642699403E-2</v>
      </c>
      <c r="AX212" s="117">
        <v>0.49060996194682499</v>
      </c>
      <c r="AY212" s="117">
        <v>0.99060996194682505</v>
      </c>
      <c r="AZ212" s="117">
        <v>0</v>
      </c>
      <c r="BA212" s="117">
        <v>0</v>
      </c>
      <c r="BB212" s="117">
        <v>1.48451034247856</v>
      </c>
      <c r="BC212" s="136" t="str">
        <f t="shared" si="113"/>
        <v xml:space="preserve">-1 </v>
      </c>
      <c r="BD212" s="136" t="s">
        <v>178</v>
      </c>
      <c r="BE212" s="136" t="s">
        <v>694</v>
      </c>
      <c r="BF212" s="136" t="s">
        <v>894</v>
      </c>
      <c r="BG212" s="120" t="s">
        <v>665</v>
      </c>
      <c r="BH212" s="136" t="str">
        <f t="shared" si="128"/>
        <v>&lt;HAT</v>
      </c>
      <c r="BI212" s="136">
        <f t="shared" si="129"/>
        <v>1.48451034247856</v>
      </c>
      <c r="BJ212" s="136" t="str">
        <f t="shared" si="122"/>
        <v>Nil</v>
      </c>
      <c r="BK212" s="136">
        <f t="shared" si="123"/>
        <v>0.18</v>
      </c>
      <c r="BL212" s="136" t="s">
        <v>736</v>
      </c>
      <c r="BM212" s="136" t="s">
        <v>175</v>
      </c>
      <c r="BN212" s="136" t="s">
        <v>175</v>
      </c>
      <c r="BO212" s="136" t="s">
        <v>736</v>
      </c>
      <c r="BP212" s="137" t="s">
        <v>175</v>
      </c>
      <c r="BQ212" s="137" t="s">
        <v>175</v>
      </c>
      <c r="BR212" s="137" t="s">
        <v>175</v>
      </c>
      <c r="BS212" s="137" t="s">
        <v>175</v>
      </c>
      <c r="BT212" s="138">
        <f t="shared" si="130"/>
        <v>-13.364510342478559</v>
      </c>
      <c r="BU212" s="138">
        <f t="shared" si="124"/>
        <v>0.7814889634537393</v>
      </c>
      <c r="BV212" s="138">
        <f t="shared" si="125"/>
        <v>0.7814889634537393</v>
      </c>
      <c r="BW212" s="53" t="s">
        <v>175</v>
      </c>
      <c r="BX212" s="53" t="s">
        <v>175</v>
      </c>
      <c r="BY212" s="53" t="s">
        <v>175</v>
      </c>
      <c r="BZ212" s="53" t="s">
        <v>175</v>
      </c>
      <c r="CA212" s="147">
        <v>1</v>
      </c>
      <c r="CB212" s="54">
        <v>0</v>
      </c>
    </row>
    <row r="213" spans="1:81">
      <c r="A213" s="123" t="s">
        <v>875</v>
      </c>
      <c r="B213" s="124" t="s">
        <v>883</v>
      </c>
      <c r="C213" s="148" t="s">
        <v>674</v>
      </c>
      <c r="D213" s="126" t="s">
        <v>741</v>
      </c>
      <c r="E213" s="127">
        <v>22.523333000000001</v>
      </c>
      <c r="F213" s="127">
        <v>113.18388899999999</v>
      </c>
      <c r="G213" s="128" t="s">
        <v>168</v>
      </c>
      <c r="H213" s="145">
        <v>6380</v>
      </c>
      <c r="I213" s="145">
        <v>135</v>
      </c>
      <c r="J213" s="129">
        <v>7286</v>
      </c>
      <c r="K213" s="129">
        <v>279</v>
      </c>
      <c r="L213" s="129">
        <v>307</v>
      </c>
      <c r="M213" s="130" t="s">
        <v>887</v>
      </c>
      <c r="N213" s="149" t="s">
        <v>735</v>
      </c>
      <c r="O213" s="130" t="s">
        <v>886</v>
      </c>
      <c r="P213" s="130" t="s">
        <v>888</v>
      </c>
      <c r="Q213" s="130" t="s">
        <v>377</v>
      </c>
      <c r="R213" s="131">
        <v>13.5</v>
      </c>
      <c r="S213" s="131">
        <f t="shared" si="126"/>
        <v>21.5</v>
      </c>
      <c r="T213" s="130">
        <v>1</v>
      </c>
      <c r="U213" s="132" t="s">
        <v>173</v>
      </c>
      <c r="V213" s="133">
        <v>0.05</v>
      </c>
      <c r="W213" s="132" t="s">
        <v>174</v>
      </c>
      <c r="X213" s="133">
        <v>0.05</v>
      </c>
      <c r="Y213" s="133">
        <v>2.5000000000000001E-2</v>
      </c>
      <c r="Z213" s="133">
        <v>0.01</v>
      </c>
      <c r="AA213" s="133">
        <v>0.5</v>
      </c>
      <c r="AB213" s="133">
        <f t="shared" si="112"/>
        <v>0.27</v>
      </c>
      <c r="AC213" s="134">
        <v>0</v>
      </c>
      <c r="AD213" s="134">
        <v>0</v>
      </c>
      <c r="AE213" s="134">
        <v>0.5</v>
      </c>
      <c r="AF213" s="134">
        <v>0</v>
      </c>
      <c r="AG213" s="134">
        <v>0.1</v>
      </c>
      <c r="AH213" s="134">
        <v>0</v>
      </c>
      <c r="AI213" s="134">
        <v>0</v>
      </c>
      <c r="AJ213" s="134">
        <v>0</v>
      </c>
      <c r="AK213" s="134" t="s">
        <v>175</v>
      </c>
      <c r="AL213" s="122" t="s">
        <v>175</v>
      </c>
      <c r="AM213" s="134">
        <f t="shared" si="127"/>
        <v>-12.379999999999999</v>
      </c>
      <c r="AN213" s="134" t="s">
        <v>176</v>
      </c>
      <c r="AO213" s="122" t="s">
        <v>177</v>
      </c>
      <c r="AP213" s="135">
        <f t="shared" si="120"/>
        <v>0.76395353261831311</v>
      </c>
      <c r="AQ213" s="135">
        <f t="shared" si="121"/>
        <v>0.76395353261831311</v>
      </c>
      <c r="AR213" s="117">
        <v>-1.71548965752143</v>
      </c>
      <c r="AS213" s="117">
        <v>0</v>
      </c>
      <c r="AT213" s="117">
        <v>0</v>
      </c>
      <c r="AU213" s="117">
        <v>-1.00939003805317</v>
      </c>
      <c r="AV213" s="117">
        <v>-0.58591494292023805</v>
      </c>
      <c r="AW213" s="117">
        <v>-2.85212642699403E-2</v>
      </c>
      <c r="AX213" s="117">
        <v>0.49060996194682499</v>
      </c>
      <c r="AY213" s="117">
        <v>0.99060996194682505</v>
      </c>
      <c r="AZ213" s="117">
        <v>0</v>
      </c>
      <c r="BA213" s="117">
        <v>0</v>
      </c>
      <c r="BB213" s="117">
        <v>1.48451034247856</v>
      </c>
      <c r="BC213" s="136" t="str">
        <f t="shared" si="113"/>
        <v xml:space="preserve">-1 </v>
      </c>
      <c r="BD213" s="136" t="s">
        <v>178</v>
      </c>
      <c r="BE213" s="136" t="s">
        <v>694</v>
      </c>
      <c r="BF213" s="136" t="s">
        <v>894</v>
      </c>
      <c r="BG213" s="120" t="s">
        <v>665</v>
      </c>
      <c r="BH213" s="136" t="str">
        <f t="shared" si="128"/>
        <v>&lt;HAT</v>
      </c>
      <c r="BI213" s="136">
        <f t="shared" si="129"/>
        <v>1.48451034247856</v>
      </c>
      <c r="BJ213" s="136" t="str">
        <f t="shared" si="122"/>
        <v>Nil</v>
      </c>
      <c r="BK213" s="136">
        <f t="shared" si="123"/>
        <v>0.18</v>
      </c>
      <c r="BL213" s="136" t="s">
        <v>736</v>
      </c>
      <c r="BM213" s="136" t="s">
        <v>175</v>
      </c>
      <c r="BN213" s="136" t="s">
        <v>175</v>
      </c>
      <c r="BO213" s="136" t="s">
        <v>736</v>
      </c>
      <c r="BP213" s="137" t="s">
        <v>175</v>
      </c>
      <c r="BQ213" s="137" t="s">
        <v>175</v>
      </c>
      <c r="BR213" s="137" t="s">
        <v>175</v>
      </c>
      <c r="BS213" s="137" t="s">
        <v>175</v>
      </c>
      <c r="BT213" s="138">
        <f t="shared" si="130"/>
        <v>-13.864510342478559</v>
      </c>
      <c r="BU213" s="138">
        <f t="shared" si="124"/>
        <v>0.78487260112708734</v>
      </c>
      <c r="BV213" s="138">
        <f t="shared" si="125"/>
        <v>0.78487260112708734</v>
      </c>
      <c r="BW213" s="53" t="s">
        <v>175</v>
      </c>
      <c r="BX213" s="53" t="s">
        <v>175</v>
      </c>
      <c r="BY213" s="53" t="s">
        <v>175</v>
      </c>
      <c r="BZ213" s="53" t="s">
        <v>175</v>
      </c>
      <c r="CA213" s="147">
        <v>1</v>
      </c>
      <c r="CB213" s="54">
        <v>0</v>
      </c>
    </row>
    <row r="214" spans="1:81">
      <c r="A214" s="123" t="s">
        <v>876</v>
      </c>
      <c r="B214" s="124" t="s">
        <v>883</v>
      </c>
      <c r="C214" s="148" t="s">
        <v>674</v>
      </c>
      <c r="D214" s="126" t="s">
        <v>741</v>
      </c>
      <c r="E214" s="127">
        <v>22.523333000000001</v>
      </c>
      <c r="F214" s="127">
        <v>113.18388899999999</v>
      </c>
      <c r="G214" s="128" t="s">
        <v>168</v>
      </c>
      <c r="H214" s="145">
        <v>6450</v>
      </c>
      <c r="I214" s="145">
        <v>180</v>
      </c>
      <c r="J214" s="129">
        <v>7339</v>
      </c>
      <c r="K214" s="129">
        <v>325</v>
      </c>
      <c r="L214" s="129">
        <v>390</v>
      </c>
      <c r="M214" s="130" t="s">
        <v>888</v>
      </c>
      <c r="N214" s="149" t="s">
        <v>735</v>
      </c>
      <c r="O214" s="130" t="s">
        <v>887</v>
      </c>
      <c r="P214" s="130" t="s">
        <v>889</v>
      </c>
      <c r="Q214" s="130" t="s">
        <v>377</v>
      </c>
      <c r="R214" s="131">
        <v>15</v>
      </c>
      <c r="S214" s="131">
        <f t="shared" si="126"/>
        <v>20</v>
      </c>
      <c r="T214" s="130">
        <v>1</v>
      </c>
      <c r="U214" s="132" t="s">
        <v>173</v>
      </c>
      <c r="V214" s="133">
        <v>0.05</v>
      </c>
      <c r="W214" s="132" t="s">
        <v>174</v>
      </c>
      <c r="X214" s="133">
        <v>0.05</v>
      </c>
      <c r="Y214" s="133">
        <v>2.5000000000000001E-2</v>
      </c>
      <c r="Z214" s="133">
        <v>0.01</v>
      </c>
      <c r="AA214" s="133">
        <v>0.5</v>
      </c>
      <c r="AB214" s="133">
        <f t="shared" si="112"/>
        <v>0.3</v>
      </c>
      <c r="AC214" s="134">
        <v>0</v>
      </c>
      <c r="AD214" s="134">
        <v>0</v>
      </c>
      <c r="AE214" s="134">
        <v>0.5</v>
      </c>
      <c r="AF214" s="134">
        <v>0</v>
      </c>
      <c r="AG214" s="134">
        <v>0.1</v>
      </c>
      <c r="AH214" s="134">
        <v>0</v>
      </c>
      <c r="AI214" s="134">
        <v>0</v>
      </c>
      <c r="AJ214" s="134">
        <v>0</v>
      </c>
      <c r="AK214" s="134" t="s">
        <v>175</v>
      </c>
      <c r="AL214" s="122" t="s">
        <v>175</v>
      </c>
      <c r="AM214" s="134">
        <f t="shared" si="127"/>
        <v>-13.879999999999999</v>
      </c>
      <c r="AN214" s="134" t="s">
        <v>176</v>
      </c>
      <c r="AO214" s="122" t="s">
        <v>177</v>
      </c>
      <c r="AP214" s="135">
        <f t="shared" si="120"/>
        <v>0.77506451344388094</v>
      </c>
      <c r="AQ214" s="135">
        <f t="shared" si="121"/>
        <v>0.77506451344388094</v>
      </c>
      <c r="AR214" s="117">
        <v>-1.71548965752143</v>
      </c>
      <c r="AS214" s="117">
        <v>0</v>
      </c>
      <c r="AT214" s="117">
        <v>0</v>
      </c>
      <c r="AU214" s="117">
        <v>-1.00939003805317</v>
      </c>
      <c r="AV214" s="117">
        <v>-0.58591494292023805</v>
      </c>
      <c r="AW214" s="117">
        <v>-2.85212642699403E-2</v>
      </c>
      <c r="AX214" s="117">
        <v>0.49060996194682499</v>
      </c>
      <c r="AY214" s="117">
        <v>0.99060996194682505</v>
      </c>
      <c r="AZ214" s="117">
        <v>0</v>
      </c>
      <c r="BA214" s="117">
        <v>0</v>
      </c>
      <c r="BB214" s="117">
        <v>1.48451034247856</v>
      </c>
      <c r="BC214" s="136" t="str">
        <f t="shared" si="113"/>
        <v>-1</v>
      </c>
      <c r="BD214" s="136" t="s">
        <v>178</v>
      </c>
      <c r="BE214" s="136" t="s">
        <v>705</v>
      </c>
      <c r="BF214" s="136" t="s">
        <v>895</v>
      </c>
      <c r="BG214" s="120" t="s">
        <v>678</v>
      </c>
      <c r="BH214" s="136" t="str">
        <f t="shared" si="128"/>
        <v>&lt;MTL</v>
      </c>
      <c r="BI214" s="136">
        <f t="shared" si="129"/>
        <v>-2.85212642699403E-2</v>
      </c>
      <c r="BJ214" s="136" t="str">
        <f t="shared" si="122"/>
        <v>Nil</v>
      </c>
      <c r="BK214" s="136">
        <f t="shared" si="123"/>
        <v>0.05</v>
      </c>
      <c r="BL214" s="136" t="s">
        <v>736</v>
      </c>
      <c r="BM214" s="136" t="s">
        <v>175</v>
      </c>
      <c r="BN214" s="136" t="s">
        <v>175</v>
      </c>
      <c r="BO214" s="136" t="s">
        <v>736</v>
      </c>
      <c r="BP214" s="137" t="s">
        <v>175</v>
      </c>
      <c r="BQ214" s="137" t="s">
        <v>175</v>
      </c>
      <c r="BR214" s="137" t="s">
        <v>175</v>
      </c>
      <c r="BS214" s="137" t="s">
        <v>175</v>
      </c>
      <c r="BT214" s="138">
        <f t="shared" si="130"/>
        <v>-13.851478735730058</v>
      </c>
      <c r="BU214" s="138">
        <f t="shared" si="124"/>
        <v>0.77667560795997703</v>
      </c>
      <c r="BV214" s="138">
        <f t="shared" si="125"/>
        <v>0.77667560795997703</v>
      </c>
      <c r="BW214" s="53" t="s">
        <v>175</v>
      </c>
      <c r="BX214" s="53" t="s">
        <v>175</v>
      </c>
      <c r="BY214" s="53" t="s">
        <v>175</v>
      </c>
      <c r="BZ214" s="53" t="s">
        <v>175</v>
      </c>
      <c r="CA214" s="147">
        <v>1</v>
      </c>
      <c r="CB214" s="54">
        <v>0</v>
      </c>
    </row>
    <row r="215" spans="1:81">
      <c r="A215" s="123" t="s">
        <v>877</v>
      </c>
      <c r="B215" s="124" t="s">
        <v>883</v>
      </c>
      <c r="C215" s="148" t="s">
        <v>674</v>
      </c>
      <c r="D215" s="126" t="s">
        <v>741</v>
      </c>
      <c r="E215" s="127">
        <v>22.523333000000001</v>
      </c>
      <c r="F215" s="127">
        <v>113.18388899999999</v>
      </c>
      <c r="G215" s="128" t="s">
        <v>168</v>
      </c>
      <c r="H215" s="145">
        <v>7000</v>
      </c>
      <c r="I215" s="145">
        <v>155</v>
      </c>
      <c r="J215" s="129">
        <v>7828</v>
      </c>
      <c r="K215" s="129">
        <v>339</v>
      </c>
      <c r="L215" s="129">
        <v>255</v>
      </c>
      <c r="M215" s="130" t="s">
        <v>888</v>
      </c>
      <c r="N215" s="149" t="s">
        <v>735</v>
      </c>
      <c r="O215" s="130" t="s">
        <v>887</v>
      </c>
      <c r="P215" s="130" t="s">
        <v>889</v>
      </c>
      <c r="Q215" s="130" t="s">
        <v>377</v>
      </c>
      <c r="R215" s="131">
        <v>16</v>
      </c>
      <c r="S215" s="131">
        <f t="shared" si="126"/>
        <v>19</v>
      </c>
      <c r="T215" s="130">
        <v>1</v>
      </c>
      <c r="U215" s="132" t="s">
        <v>173</v>
      </c>
      <c r="V215" s="133">
        <v>0.05</v>
      </c>
      <c r="W215" s="132" t="s">
        <v>174</v>
      </c>
      <c r="X215" s="133">
        <v>0.05</v>
      </c>
      <c r="Y215" s="133">
        <v>2.5000000000000001E-2</v>
      </c>
      <c r="Z215" s="133">
        <v>0.01</v>
      </c>
      <c r="AA215" s="133">
        <v>0.5</v>
      </c>
      <c r="AB215" s="133">
        <f t="shared" si="112"/>
        <v>0.32</v>
      </c>
      <c r="AC215" s="134">
        <v>0</v>
      </c>
      <c r="AD215" s="134">
        <v>0</v>
      </c>
      <c r="AE215" s="134">
        <v>0.5</v>
      </c>
      <c r="AF215" s="134">
        <v>0</v>
      </c>
      <c r="AG215" s="134">
        <v>0.1</v>
      </c>
      <c r="AH215" s="134">
        <v>0</v>
      </c>
      <c r="AI215" s="134">
        <v>0</v>
      </c>
      <c r="AJ215" s="134">
        <v>0</v>
      </c>
      <c r="AK215" s="134" t="s">
        <v>175</v>
      </c>
      <c r="AL215" s="122" t="s">
        <v>175</v>
      </c>
      <c r="AM215" s="134">
        <f t="shared" si="127"/>
        <v>-14.879999999999999</v>
      </c>
      <c r="AN215" s="134" t="s">
        <v>176</v>
      </c>
      <c r="AO215" s="122" t="s">
        <v>177</v>
      </c>
      <c r="AP215" s="135">
        <f t="shared" si="120"/>
        <v>0.78302298816829119</v>
      </c>
      <c r="AQ215" s="135">
        <f t="shared" si="121"/>
        <v>0.78302298816829119</v>
      </c>
      <c r="AR215" s="117">
        <v>-1.71548965752143</v>
      </c>
      <c r="AS215" s="117">
        <v>0</v>
      </c>
      <c r="AT215" s="117">
        <v>0</v>
      </c>
      <c r="AU215" s="117">
        <v>-1.00939003805317</v>
      </c>
      <c r="AV215" s="117">
        <v>-0.58591494292023805</v>
      </c>
      <c r="AW215" s="117">
        <v>-2.85212642699403E-2</v>
      </c>
      <c r="AX215" s="117">
        <v>0.49060996194682499</v>
      </c>
      <c r="AY215" s="117">
        <v>0.99060996194682505</v>
      </c>
      <c r="AZ215" s="117">
        <v>0</v>
      </c>
      <c r="BA215" s="117">
        <v>0</v>
      </c>
      <c r="BB215" s="117">
        <v>1.48451034247856</v>
      </c>
      <c r="BC215" s="136" t="str">
        <f t="shared" si="113"/>
        <v>-1</v>
      </c>
      <c r="BD215" s="136" t="s">
        <v>178</v>
      </c>
      <c r="BE215" s="136" t="s">
        <v>705</v>
      </c>
      <c r="BF215" s="136" t="s">
        <v>895</v>
      </c>
      <c r="BG215" s="120" t="s">
        <v>678</v>
      </c>
      <c r="BH215" s="136" t="str">
        <f t="shared" si="128"/>
        <v>&lt;MTL</v>
      </c>
      <c r="BI215" s="136">
        <f t="shared" si="129"/>
        <v>-2.85212642699403E-2</v>
      </c>
      <c r="BJ215" s="136" t="str">
        <f t="shared" si="122"/>
        <v>Nil</v>
      </c>
      <c r="BK215" s="136">
        <f t="shared" si="123"/>
        <v>0.05</v>
      </c>
      <c r="BL215" s="136" t="s">
        <v>736</v>
      </c>
      <c r="BM215" s="136" t="s">
        <v>175</v>
      </c>
      <c r="BN215" s="136" t="s">
        <v>175</v>
      </c>
      <c r="BO215" s="136" t="s">
        <v>736</v>
      </c>
      <c r="BP215" s="137" t="s">
        <v>175</v>
      </c>
      <c r="BQ215" s="137" t="s">
        <v>175</v>
      </c>
      <c r="BR215" s="137" t="s">
        <v>175</v>
      </c>
      <c r="BS215" s="137" t="s">
        <v>175</v>
      </c>
      <c r="BT215" s="138">
        <f t="shared" si="130"/>
        <v>-14.851478735730058</v>
      </c>
      <c r="BU215" s="138">
        <f t="shared" si="124"/>
        <v>0.78461774132376072</v>
      </c>
      <c r="BV215" s="138">
        <f t="shared" si="125"/>
        <v>0.78461774132376072</v>
      </c>
      <c r="BW215" s="53" t="s">
        <v>175</v>
      </c>
      <c r="BX215" s="53" t="s">
        <v>175</v>
      </c>
      <c r="BY215" s="53" t="s">
        <v>175</v>
      </c>
      <c r="BZ215" s="53" t="s">
        <v>175</v>
      </c>
      <c r="CA215" s="147">
        <v>1</v>
      </c>
      <c r="CB215" s="54">
        <v>0</v>
      </c>
    </row>
    <row r="216" spans="1:81">
      <c r="A216" s="123" t="s">
        <v>878</v>
      </c>
      <c r="B216" s="124" t="s">
        <v>883</v>
      </c>
      <c r="C216" s="148" t="s">
        <v>674</v>
      </c>
      <c r="D216" s="126" t="s">
        <v>741</v>
      </c>
      <c r="E216" s="127">
        <v>22.523333000000001</v>
      </c>
      <c r="F216" s="127">
        <v>113.18388899999999</v>
      </c>
      <c r="G216" s="128" t="s">
        <v>168</v>
      </c>
      <c r="H216" s="145">
        <v>7570</v>
      </c>
      <c r="I216" s="145">
        <v>180</v>
      </c>
      <c r="J216" s="129">
        <v>8372</v>
      </c>
      <c r="K216" s="129">
        <v>597</v>
      </c>
      <c r="L216" s="129">
        <v>393</v>
      </c>
      <c r="M216" s="130" t="s">
        <v>888</v>
      </c>
      <c r="N216" s="149" t="s">
        <v>735</v>
      </c>
      <c r="O216" s="130" t="s">
        <v>887</v>
      </c>
      <c r="P216" s="130" t="s">
        <v>889</v>
      </c>
      <c r="Q216" s="130" t="s">
        <v>377</v>
      </c>
      <c r="R216" s="131">
        <v>18</v>
      </c>
      <c r="S216" s="131">
        <f t="shared" si="126"/>
        <v>17</v>
      </c>
      <c r="T216" s="130">
        <v>1</v>
      </c>
      <c r="U216" s="132" t="s">
        <v>173</v>
      </c>
      <c r="V216" s="133">
        <v>0.05</v>
      </c>
      <c r="W216" s="132" t="s">
        <v>174</v>
      </c>
      <c r="X216" s="133">
        <v>0.05</v>
      </c>
      <c r="Y216" s="133">
        <v>2.5000000000000001E-2</v>
      </c>
      <c r="Z216" s="133">
        <v>0.01</v>
      </c>
      <c r="AA216" s="133">
        <v>0.5</v>
      </c>
      <c r="AB216" s="133">
        <f t="shared" si="112"/>
        <v>0.36</v>
      </c>
      <c r="AC216" s="134">
        <v>0</v>
      </c>
      <c r="AD216" s="134">
        <v>0</v>
      </c>
      <c r="AE216" s="134">
        <v>0.5</v>
      </c>
      <c r="AF216" s="134">
        <v>0</v>
      </c>
      <c r="AG216" s="134">
        <v>0.1</v>
      </c>
      <c r="AH216" s="134">
        <v>0</v>
      </c>
      <c r="AI216" s="134">
        <v>0</v>
      </c>
      <c r="AJ216" s="134">
        <v>0</v>
      </c>
      <c r="AK216" s="134" t="s">
        <v>175</v>
      </c>
      <c r="AL216" s="122" t="s">
        <v>175</v>
      </c>
      <c r="AM216" s="134">
        <f t="shared" si="127"/>
        <v>-16.88</v>
      </c>
      <c r="AN216" s="134" t="s">
        <v>176</v>
      </c>
      <c r="AO216" s="122" t="s">
        <v>177</v>
      </c>
      <c r="AP216" s="135">
        <f t="shared" si="120"/>
        <v>0.80020309921919197</v>
      </c>
      <c r="AQ216" s="135">
        <f t="shared" si="121"/>
        <v>0.80020309921919197</v>
      </c>
      <c r="AR216" s="117">
        <v>-1.71548965752143</v>
      </c>
      <c r="AS216" s="117">
        <v>0</v>
      </c>
      <c r="AT216" s="117">
        <v>0</v>
      </c>
      <c r="AU216" s="117">
        <v>-1.00939003805317</v>
      </c>
      <c r="AV216" s="117">
        <v>-0.58591494292023805</v>
      </c>
      <c r="AW216" s="117">
        <v>-2.85212642699403E-2</v>
      </c>
      <c r="AX216" s="117">
        <v>0.49060996194682499</v>
      </c>
      <c r="AY216" s="117">
        <v>0.99060996194682505</v>
      </c>
      <c r="AZ216" s="117">
        <v>0</v>
      </c>
      <c r="BA216" s="117">
        <v>0</v>
      </c>
      <c r="BB216" s="117">
        <v>1.48451034247856</v>
      </c>
      <c r="BC216" s="136" t="str">
        <f t="shared" si="113"/>
        <v>-1</v>
      </c>
      <c r="BD216" s="136" t="s">
        <v>178</v>
      </c>
      <c r="BE216" s="136" t="s">
        <v>705</v>
      </c>
      <c r="BF216" s="136" t="s">
        <v>895</v>
      </c>
      <c r="BG216" s="120" t="s">
        <v>678</v>
      </c>
      <c r="BH216" s="136" t="str">
        <f t="shared" si="128"/>
        <v>&lt;MTL</v>
      </c>
      <c r="BI216" s="136">
        <f t="shared" si="129"/>
        <v>-2.85212642699403E-2</v>
      </c>
      <c r="BJ216" s="136" t="str">
        <f t="shared" si="122"/>
        <v>Nil</v>
      </c>
      <c r="BK216" s="136">
        <f t="shared" si="123"/>
        <v>0.05</v>
      </c>
      <c r="BL216" s="136" t="s">
        <v>736</v>
      </c>
      <c r="BM216" s="136" t="s">
        <v>175</v>
      </c>
      <c r="BN216" s="136" t="s">
        <v>175</v>
      </c>
      <c r="BO216" s="136" t="s">
        <v>736</v>
      </c>
      <c r="BP216" s="137" t="s">
        <v>175</v>
      </c>
      <c r="BQ216" s="137" t="s">
        <v>175</v>
      </c>
      <c r="BR216" s="137" t="s">
        <v>175</v>
      </c>
      <c r="BS216" s="137" t="s">
        <v>175</v>
      </c>
      <c r="BT216" s="138">
        <f t="shared" si="130"/>
        <v>-16.851478735730058</v>
      </c>
      <c r="BU216" s="138">
        <f t="shared" si="124"/>
        <v>0.80176368089356598</v>
      </c>
      <c r="BV216" s="138">
        <f t="shared" si="125"/>
        <v>0.80176368089356598</v>
      </c>
      <c r="BW216" s="53" t="s">
        <v>175</v>
      </c>
      <c r="BX216" s="53" t="s">
        <v>175</v>
      </c>
      <c r="BY216" s="53" t="s">
        <v>175</v>
      </c>
      <c r="BZ216" s="53" t="s">
        <v>175</v>
      </c>
      <c r="CA216" s="147">
        <v>1</v>
      </c>
      <c r="CB216" s="54">
        <v>0</v>
      </c>
    </row>
    <row r="217" spans="1:81">
      <c r="A217" s="123" t="s">
        <v>879</v>
      </c>
      <c r="B217" s="124" t="s">
        <v>883</v>
      </c>
      <c r="C217" s="148" t="s">
        <v>674</v>
      </c>
      <c r="D217" s="126" t="s">
        <v>741</v>
      </c>
      <c r="E217" s="127">
        <v>22.523333000000001</v>
      </c>
      <c r="F217" s="127">
        <v>113.18388899999999</v>
      </c>
      <c r="G217" s="128" t="s">
        <v>168</v>
      </c>
      <c r="H217" s="145">
        <v>8640</v>
      </c>
      <c r="I217" s="145">
        <v>240</v>
      </c>
      <c r="J217" s="129">
        <v>9702</v>
      </c>
      <c r="K217" s="129">
        <v>539</v>
      </c>
      <c r="L217" s="129">
        <v>670</v>
      </c>
      <c r="M217" s="130" t="s">
        <v>888</v>
      </c>
      <c r="N217" s="149" t="s">
        <v>735</v>
      </c>
      <c r="O217" s="130" t="s">
        <v>887</v>
      </c>
      <c r="P217" s="130" t="s">
        <v>889</v>
      </c>
      <c r="Q217" s="130" t="s">
        <v>377</v>
      </c>
      <c r="R217" s="131">
        <v>20</v>
      </c>
      <c r="S217" s="131">
        <f t="shared" si="126"/>
        <v>15</v>
      </c>
      <c r="T217" s="130">
        <v>1</v>
      </c>
      <c r="U217" s="132" t="s">
        <v>173</v>
      </c>
      <c r="V217" s="133">
        <v>0.05</v>
      </c>
      <c r="W217" s="132" t="s">
        <v>174</v>
      </c>
      <c r="X217" s="133">
        <v>0.05</v>
      </c>
      <c r="Y217" s="133">
        <v>2.5000000000000001E-2</v>
      </c>
      <c r="Z217" s="133">
        <v>0.01</v>
      </c>
      <c r="AA217" s="133">
        <v>0.5</v>
      </c>
      <c r="AB217" s="133">
        <f t="shared" si="112"/>
        <v>0.4</v>
      </c>
      <c r="AC217" s="134">
        <v>0</v>
      </c>
      <c r="AD217" s="134">
        <v>0</v>
      </c>
      <c r="AE217" s="134">
        <v>0.5</v>
      </c>
      <c r="AF217" s="134">
        <v>0</v>
      </c>
      <c r="AG217" s="134">
        <v>0.1</v>
      </c>
      <c r="AH217" s="134">
        <v>0</v>
      </c>
      <c r="AI217" s="134">
        <v>0</v>
      </c>
      <c r="AJ217" s="134">
        <v>0</v>
      </c>
      <c r="AK217" s="134" t="s">
        <v>175</v>
      </c>
      <c r="AL217" s="122" t="s">
        <v>175</v>
      </c>
      <c r="AM217" s="134">
        <f t="shared" si="127"/>
        <v>-18.88</v>
      </c>
      <c r="AN217" s="134" t="s">
        <v>176</v>
      </c>
      <c r="AO217" s="122" t="s">
        <v>177</v>
      </c>
      <c r="AP217" s="135">
        <f t="shared" si="120"/>
        <v>0.81897802168312184</v>
      </c>
      <c r="AQ217" s="135">
        <f t="shared" si="121"/>
        <v>0.81897802168312184</v>
      </c>
      <c r="AR217" s="117">
        <v>-1.71548965752143</v>
      </c>
      <c r="AS217" s="117">
        <v>0</v>
      </c>
      <c r="AT217" s="117">
        <v>0</v>
      </c>
      <c r="AU217" s="117">
        <v>-1.00939003805317</v>
      </c>
      <c r="AV217" s="117">
        <v>-0.58591494292023805</v>
      </c>
      <c r="AW217" s="117">
        <v>-2.85212642699403E-2</v>
      </c>
      <c r="AX217" s="117">
        <v>0.49060996194682499</v>
      </c>
      <c r="AY217" s="117">
        <v>0.99060996194682505</v>
      </c>
      <c r="AZ217" s="117">
        <v>0</v>
      </c>
      <c r="BA217" s="117">
        <v>0</v>
      </c>
      <c r="BB217" s="117">
        <v>1.48451034247856</v>
      </c>
      <c r="BC217" s="136" t="str">
        <f t="shared" si="113"/>
        <v>-1</v>
      </c>
      <c r="BD217" s="136" t="s">
        <v>178</v>
      </c>
      <c r="BE217" s="136" t="s">
        <v>705</v>
      </c>
      <c r="BF217" s="136" t="s">
        <v>895</v>
      </c>
      <c r="BG217" s="120" t="s">
        <v>678</v>
      </c>
      <c r="BH217" s="136" t="str">
        <f t="shared" si="128"/>
        <v>&lt;MTL</v>
      </c>
      <c r="BI217" s="136">
        <f t="shared" si="129"/>
        <v>-2.85212642699403E-2</v>
      </c>
      <c r="BJ217" s="136" t="str">
        <f t="shared" si="122"/>
        <v>Nil</v>
      </c>
      <c r="BK217" s="136">
        <f t="shared" si="123"/>
        <v>0.05</v>
      </c>
      <c r="BL217" s="136" t="s">
        <v>736</v>
      </c>
      <c r="BM217" s="136" t="s">
        <v>175</v>
      </c>
      <c r="BN217" s="136" t="s">
        <v>175</v>
      </c>
      <c r="BO217" s="136" t="s">
        <v>736</v>
      </c>
      <c r="BP217" s="137" t="s">
        <v>175</v>
      </c>
      <c r="BQ217" s="137" t="s">
        <v>175</v>
      </c>
      <c r="BR217" s="137" t="s">
        <v>175</v>
      </c>
      <c r="BS217" s="137" t="s">
        <v>175</v>
      </c>
      <c r="BT217" s="138">
        <f t="shared" si="130"/>
        <v>-18.851478735730058</v>
      </c>
      <c r="BU217" s="138">
        <f t="shared" si="124"/>
        <v>0.82050289457137193</v>
      </c>
      <c r="BV217" s="138">
        <f t="shared" si="125"/>
        <v>0.82050289457137193</v>
      </c>
      <c r="BW217" s="53" t="s">
        <v>175</v>
      </c>
      <c r="BX217" s="53" t="s">
        <v>175</v>
      </c>
      <c r="BY217" s="53" t="s">
        <v>175</v>
      </c>
      <c r="BZ217" s="53" t="s">
        <v>175</v>
      </c>
      <c r="CA217" s="147">
        <v>3</v>
      </c>
      <c r="CB217" s="54">
        <v>1</v>
      </c>
      <c r="CC217" s="54" t="s">
        <v>898</v>
      </c>
    </row>
    <row r="218" spans="1:81">
      <c r="A218" s="123" t="s">
        <v>880</v>
      </c>
      <c r="B218" s="124" t="s">
        <v>883</v>
      </c>
      <c r="C218" s="148" t="s">
        <v>674</v>
      </c>
      <c r="D218" s="126" t="s">
        <v>741</v>
      </c>
      <c r="E218" s="127">
        <v>22.523333000000001</v>
      </c>
      <c r="F218" s="127">
        <v>113.18388899999999</v>
      </c>
      <c r="G218" s="128" t="s">
        <v>168</v>
      </c>
      <c r="H218" s="145">
        <v>6640</v>
      </c>
      <c r="I218" s="145">
        <v>270</v>
      </c>
      <c r="J218" s="129">
        <v>7507</v>
      </c>
      <c r="K218" s="129">
        <v>506</v>
      </c>
      <c r="L218" s="129">
        <v>564</v>
      </c>
      <c r="M218" s="130" t="s">
        <v>889</v>
      </c>
      <c r="N218" s="149" t="s">
        <v>735</v>
      </c>
      <c r="O218" s="130" t="s">
        <v>888</v>
      </c>
      <c r="P218" s="130" t="s">
        <v>890</v>
      </c>
      <c r="Q218" s="130" t="s">
        <v>172</v>
      </c>
      <c r="R218" s="131">
        <v>23</v>
      </c>
      <c r="S218" s="131">
        <f t="shared" si="126"/>
        <v>12</v>
      </c>
      <c r="T218" s="130">
        <v>1</v>
      </c>
      <c r="U218" s="132" t="s">
        <v>173</v>
      </c>
      <c r="V218" s="133">
        <v>0.05</v>
      </c>
      <c r="W218" s="132" t="s">
        <v>174</v>
      </c>
      <c r="X218" s="133">
        <v>0.05</v>
      </c>
      <c r="Y218" s="133">
        <v>2.5000000000000001E-2</v>
      </c>
      <c r="Z218" s="133">
        <v>0.01</v>
      </c>
      <c r="AA218" s="133">
        <v>0.5</v>
      </c>
      <c r="AB218" s="133">
        <f t="shared" si="112"/>
        <v>0.46</v>
      </c>
      <c r="AC218" s="134">
        <v>0</v>
      </c>
      <c r="AD218" s="134">
        <v>0</v>
      </c>
      <c r="AE218" s="134">
        <v>0.5</v>
      </c>
      <c r="AF218" s="134">
        <v>0</v>
      </c>
      <c r="AG218" s="134">
        <v>0.1</v>
      </c>
      <c r="AH218" s="134">
        <v>0</v>
      </c>
      <c r="AI218" s="134">
        <v>0</v>
      </c>
      <c r="AJ218" s="134">
        <v>0</v>
      </c>
      <c r="AK218" s="134" t="s">
        <v>175</v>
      </c>
      <c r="AL218" s="122" t="s">
        <v>175</v>
      </c>
      <c r="AM218" s="134">
        <f t="shared" si="127"/>
        <v>-21.88</v>
      </c>
      <c r="AN218" s="134" t="s">
        <v>176</v>
      </c>
      <c r="AO218" s="122" t="s">
        <v>177</v>
      </c>
      <c r="AP218" s="135">
        <f t="shared" si="120"/>
        <v>0.84989705258931214</v>
      </c>
      <c r="AQ218" s="135">
        <f t="shared" si="121"/>
        <v>0.84989705258931214</v>
      </c>
      <c r="AR218" s="117">
        <v>-1.71548965752143</v>
      </c>
      <c r="AS218" s="117">
        <v>0</v>
      </c>
      <c r="AT218" s="117">
        <v>0</v>
      </c>
      <c r="AU218" s="117">
        <v>-1.00939003805317</v>
      </c>
      <c r="AV218" s="117">
        <v>-0.58591494292023805</v>
      </c>
      <c r="AW218" s="117">
        <v>-2.85212642699403E-2</v>
      </c>
      <c r="AX218" s="117">
        <v>0.49060996194682499</v>
      </c>
      <c r="AY218" s="117">
        <v>0.99060996194682505</v>
      </c>
      <c r="AZ218" s="117">
        <v>0</v>
      </c>
      <c r="BA218" s="117">
        <v>0</v>
      </c>
      <c r="BB218" s="117">
        <v>1.48451034247856</v>
      </c>
      <c r="BC218" s="136" t="str">
        <f t="shared" si="113"/>
        <v>-1</v>
      </c>
      <c r="BD218" s="136" t="s">
        <v>178</v>
      </c>
      <c r="BE218" s="136" t="s">
        <v>705</v>
      </c>
      <c r="BF218" s="136" t="s">
        <v>895</v>
      </c>
      <c r="BG218" s="120" t="s">
        <v>678</v>
      </c>
      <c r="BH218" s="136" t="str">
        <f t="shared" si="128"/>
        <v>&lt;MTL</v>
      </c>
      <c r="BI218" s="136">
        <f t="shared" si="129"/>
        <v>-2.85212642699403E-2</v>
      </c>
      <c r="BJ218" s="136" t="str">
        <f t="shared" si="122"/>
        <v>Nil</v>
      </c>
      <c r="BK218" s="136">
        <f t="shared" si="123"/>
        <v>0.05</v>
      </c>
      <c r="BL218" s="136" t="s">
        <v>736</v>
      </c>
      <c r="BM218" s="136" t="s">
        <v>175</v>
      </c>
      <c r="BN218" s="136" t="s">
        <v>175</v>
      </c>
      <c r="BO218" s="136" t="s">
        <v>736</v>
      </c>
      <c r="BP218" s="137" t="s">
        <v>175</v>
      </c>
      <c r="BQ218" s="137" t="s">
        <v>175</v>
      </c>
      <c r="BR218" s="137" t="s">
        <v>175</v>
      </c>
      <c r="BS218" s="137" t="s">
        <v>175</v>
      </c>
      <c r="BT218" s="138">
        <f t="shared" si="130"/>
        <v>-21.851478735730058</v>
      </c>
      <c r="BU218" s="138">
        <f t="shared" si="124"/>
        <v>0.85136654855590843</v>
      </c>
      <c r="BV218" s="138">
        <f t="shared" si="125"/>
        <v>0.85136654855590843</v>
      </c>
      <c r="BW218" s="53" t="s">
        <v>175</v>
      </c>
      <c r="BX218" s="53" t="s">
        <v>175</v>
      </c>
      <c r="BY218" s="53" t="s">
        <v>175</v>
      </c>
      <c r="BZ218" s="53" t="s">
        <v>175</v>
      </c>
      <c r="CA218" s="147">
        <v>3</v>
      </c>
      <c r="CB218" s="54">
        <v>1</v>
      </c>
      <c r="CC218" s="54" t="s">
        <v>898</v>
      </c>
    </row>
    <row r="219" spans="1:81">
      <c r="A219" s="123" t="s">
        <v>881</v>
      </c>
      <c r="B219" s="124" t="s">
        <v>883</v>
      </c>
      <c r="C219" s="148" t="s">
        <v>674</v>
      </c>
      <c r="D219" s="126" t="s">
        <v>741</v>
      </c>
      <c r="E219" s="127">
        <v>22.523333000000001</v>
      </c>
      <c r="F219" s="127">
        <v>113.18388899999999</v>
      </c>
      <c r="G219" s="128" t="s">
        <v>168</v>
      </c>
      <c r="H219" s="145">
        <v>7925</v>
      </c>
      <c r="I219" s="145">
        <v>195</v>
      </c>
      <c r="J219" s="129">
        <v>8795</v>
      </c>
      <c r="K219" s="129">
        <v>602</v>
      </c>
      <c r="L219" s="129">
        <v>421</v>
      </c>
      <c r="M219" s="130" t="s">
        <v>889</v>
      </c>
      <c r="N219" s="149" t="s">
        <v>735</v>
      </c>
      <c r="O219" s="130" t="s">
        <v>888</v>
      </c>
      <c r="P219" s="130" t="s">
        <v>890</v>
      </c>
      <c r="Q219" s="130" t="s">
        <v>172</v>
      </c>
      <c r="R219" s="131">
        <v>24.5</v>
      </c>
      <c r="S219" s="131">
        <f t="shared" si="126"/>
        <v>10.5</v>
      </c>
      <c r="T219" s="130">
        <v>1</v>
      </c>
      <c r="U219" s="132" t="s">
        <v>173</v>
      </c>
      <c r="V219" s="133">
        <v>0.05</v>
      </c>
      <c r="W219" s="132" t="s">
        <v>174</v>
      </c>
      <c r="X219" s="133">
        <v>0.05</v>
      </c>
      <c r="Y219" s="133">
        <v>2.5000000000000001E-2</v>
      </c>
      <c r="Z219" s="133">
        <v>0.01</v>
      </c>
      <c r="AA219" s="133">
        <v>0.5</v>
      </c>
      <c r="AB219" s="133">
        <f t="shared" si="112"/>
        <v>0.49</v>
      </c>
      <c r="AC219" s="134">
        <v>0</v>
      </c>
      <c r="AD219" s="134">
        <v>0</v>
      </c>
      <c r="AE219" s="134">
        <v>0.5</v>
      </c>
      <c r="AF219" s="134">
        <v>0</v>
      </c>
      <c r="AG219" s="134">
        <v>0.1</v>
      </c>
      <c r="AH219" s="134">
        <v>0</v>
      </c>
      <c r="AI219" s="134">
        <v>0</v>
      </c>
      <c r="AJ219" s="134">
        <v>0</v>
      </c>
      <c r="AK219" s="134" t="s">
        <v>175</v>
      </c>
      <c r="AL219" s="122" t="s">
        <v>175</v>
      </c>
      <c r="AM219" s="134">
        <f t="shared" si="127"/>
        <v>-23.38</v>
      </c>
      <c r="AN219" s="134" t="s">
        <v>176</v>
      </c>
      <c r="AO219" s="122" t="s">
        <v>177</v>
      </c>
      <c r="AP219" s="135">
        <f t="shared" si="120"/>
        <v>0.86650158684217071</v>
      </c>
      <c r="AQ219" s="135">
        <f t="shared" si="121"/>
        <v>0.86650158684217071</v>
      </c>
      <c r="AR219" s="117">
        <v>-1.71548965752143</v>
      </c>
      <c r="AS219" s="117">
        <v>0</v>
      </c>
      <c r="AT219" s="117">
        <v>0</v>
      </c>
      <c r="AU219" s="117">
        <v>-1.00939003805317</v>
      </c>
      <c r="AV219" s="117">
        <v>-0.58591494292023805</v>
      </c>
      <c r="AW219" s="117">
        <v>-2.85212642699403E-2</v>
      </c>
      <c r="AX219" s="117">
        <v>0.49060996194682499</v>
      </c>
      <c r="AY219" s="117">
        <v>0.99060996194682505</v>
      </c>
      <c r="AZ219" s="117">
        <v>0</v>
      </c>
      <c r="BA219" s="117">
        <v>0</v>
      </c>
      <c r="BB219" s="117">
        <v>1.48451034247856</v>
      </c>
      <c r="BC219" s="136" t="str">
        <f t="shared" si="113"/>
        <v>-1</v>
      </c>
      <c r="BD219" s="136" t="s">
        <v>178</v>
      </c>
      <c r="BE219" s="136" t="s">
        <v>705</v>
      </c>
      <c r="BF219" s="136" t="s">
        <v>895</v>
      </c>
      <c r="BG219" s="120" t="s">
        <v>678</v>
      </c>
      <c r="BH219" s="136" t="str">
        <f t="shared" si="128"/>
        <v>&lt;MTL</v>
      </c>
      <c r="BI219" s="136">
        <f t="shared" si="129"/>
        <v>-2.85212642699403E-2</v>
      </c>
      <c r="BJ219" s="136" t="str">
        <f t="shared" si="122"/>
        <v>Nil</v>
      </c>
      <c r="BK219" s="136">
        <f t="shared" si="123"/>
        <v>0.05</v>
      </c>
      <c r="BL219" s="136" t="s">
        <v>736</v>
      </c>
      <c r="BM219" s="136" t="s">
        <v>175</v>
      </c>
      <c r="BN219" s="136" t="s">
        <v>175</v>
      </c>
      <c r="BO219" s="136" t="s">
        <v>736</v>
      </c>
      <c r="BP219" s="137" t="s">
        <v>175</v>
      </c>
      <c r="BQ219" s="137" t="s">
        <v>175</v>
      </c>
      <c r="BR219" s="137" t="s">
        <v>175</v>
      </c>
      <c r="BS219" s="137" t="s">
        <v>175</v>
      </c>
      <c r="BT219" s="138">
        <f t="shared" si="130"/>
        <v>-23.351478735730058</v>
      </c>
      <c r="BU219" s="138">
        <f t="shared" si="124"/>
        <v>0.86794297047674729</v>
      </c>
      <c r="BV219" s="138">
        <f t="shared" si="125"/>
        <v>0.86794297047674729</v>
      </c>
      <c r="BW219" s="53" t="s">
        <v>175</v>
      </c>
      <c r="BX219" s="53" t="s">
        <v>175</v>
      </c>
      <c r="BY219" s="53" t="s">
        <v>175</v>
      </c>
      <c r="BZ219" s="53" t="s">
        <v>175</v>
      </c>
      <c r="CA219" s="147">
        <v>1</v>
      </c>
      <c r="CB219" s="54">
        <v>0</v>
      </c>
    </row>
    <row r="220" spans="1:81">
      <c r="A220" s="123" t="s">
        <v>882</v>
      </c>
      <c r="B220" s="124" t="s">
        <v>883</v>
      </c>
      <c r="C220" s="148" t="s">
        <v>674</v>
      </c>
      <c r="D220" s="126" t="s">
        <v>741</v>
      </c>
      <c r="E220" s="127">
        <v>22.523333000000001</v>
      </c>
      <c r="F220" s="127">
        <v>113.18388899999999</v>
      </c>
      <c r="G220" s="128" t="s">
        <v>168</v>
      </c>
      <c r="H220" s="145">
        <v>13380</v>
      </c>
      <c r="I220" s="145">
        <v>220</v>
      </c>
      <c r="J220" s="129">
        <v>16110</v>
      </c>
      <c r="K220" s="129">
        <v>717</v>
      </c>
      <c r="L220" s="129">
        <v>640</v>
      </c>
      <c r="M220" s="130" t="s">
        <v>890</v>
      </c>
      <c r="N220" s="149" t="s">
        <v>735</v>
      </c>
      <c r="O220" s="130" t="s">
        <v>889</v>
      </c>
      <c r="P220" s="130" t="s">
        <v>891</v>
      </c>
      <c r="Q220" s="130" t="s">
        <v>172</v>
      </c>
      <c r="R220" s="131">
        <v>26.5</v>
      </c>
      <c r="S220" s="131">
        <f t="shared" si="126"/>
        <v>8.5</v>
      </c>
      <c r="T220" s="130">
        <v>1</v>
      </c>
      <c r="U220" s="132" t="s">
        <v>173</v>
      </c>
      <c r="V220" s="133">
        <v>0.05</v>
      </c>
      <c r="W220" s="132" t="s">
        <v>174</v>
      </c>
      <c r="X220" s="133">
        <v>0.05</v>
      </c>
      <c r="Y220" s="133">
        <v>2.5000000000000001E-2</v>
      </c>
      <c r="Z220" s="133">
        <v>0.01</v>
      </c>
      <c r="AA220" s="133">
        <v>0.5</v>
      </c>
      <c r="AB220" s="133">
        <f t="shared" si="112"/>
        <v>0.53</v>
      </c>
      <c r="AC220" s="134">
        <v>0</v>
      </c>
      <c r="AD220" s="134">
        <v>0</v>
      </c>
      <c r="AE220" s="134">
        <v>0.5</v>
      </c>
      <c r="AF220" s="134">
        <v>0</v>
      </c>
      <c r="AG220" s="134">
        <v>0.1</v>
      </c>
      <c r="AH220" s="134">
        <v>0</v>
      </c>
      <c r="AI220" s="134">
        <v>0</v>
      </c>
      <c r="AJ220" s="134">
        <v>0</v>
      </c>
      <c r="AK220" s="134" t="s">
        <v>175</v>
      </c>
      <c r="AL220" s="122" t="s">
        <v>175</v>
      </c>
      <c r="AM220" s="134">
        <f t="shared" si="127"/>
        <v>-25.38</v>
      </c>
      <c r="AN220" s="134" t="s">
        <v>176</v>
      </c>
      <c r="AO220" s="122" t="s">
        <v>177</v>
      </c>
      <c r="AP220" s="135">
        <f t="shared" si="120"/>
        <v>0.88973310604922418</v>
      </c>
      <c r="AQ220" s="135">
        <f t="shared" si="121"/>
        <v>0.88973310604922418</v>
      </c>
      <c r="AR220" s="117">
        <v>-1.71548965752143</v>
      </c>
      <c r="AS220" s="117">
        <v>0</v>
      </c>
      <c r="AT220" s="117">
        <v>0</v>
      </c>
      <c r="AU220" s="117">
        <v>-1.00939003805317</v>
      </c>
      <c r="AV220" s="117">
        <v>-0.58591494292023805</v>
      </c>
      <c r="AW220" s="117">
        <v>-2.85212642699403E-2</v>
      </c>
      <c r="AX220" s="117">
        <v>0.49060996194682499</v>
      </c>
      <c r="AY220" s="117">
        <v>0.99060996194682505</v>
      </c>
      <c r="AZ220" s="117">
        <v>0</v>
      </c>
      <c r="BA220" s="117">
        <v>0</v>
      </c>
      <c r="BB220" s="117">
        <v>1.48451034247856</v>
      </c>
      <c r="BC220" s="136" t="str">
        <f t="shared" si="113"/>
        <v>1</v>
      </c>
      <c r="BD220" s="136" t="s">
        <v>178</v>
      </c>
      <c r="BE220" s="136" t="s">
        <v>897</v>
      </c>
      <c r="BF220" s="136" t="s">
        <v>896</v>
      </c>
      <c r="BG220" s="120" t="s">
        <v>660</v>
      </c>
      <c r="BH220" s="136" t="str">
        <f t="shared" si="128"/>
        <v>&gt;MTL</v>
      </c>
      <c r="BI220" s="136">
        <f t="shared" si="129"/>
        <v>-2.85212642699403E-2</v>
      </c>
      <c r="BJ220" s="136" t="str">
        <f t="shared" si="122"/>
        <v>Nil</v>
      </c>
      <c r="BK220" s="136">
        <f t="shared" si="123"/>
        <v>0.05</v>
      </c>
      <c r="BL220" s="136" t="s">
        <v>736</v>
      </c>
      <c r="BM220" s="136" t="s">
        <v>175</v>
      </c>
      <c r="BN220" s="136" t="s">
        <v>175</v>
      </c>
      <c r="BO220" s="136" t="s">
        <v>736</v>
      </c>
      <c r="BP220" s="137" t="s">
        <v>175</v>
      </c>
      <c r="BQ220" s="137" t="s">
        <v>175</v>
      </c>
      <c r="BR220" s="137" t="s">
        <v>175</v>
      </c>
      <c r="BS220" s="137" t="s">
        <v>175</v>
      </c>
      <c r="BT220" s="138">
        <f t="shared" si="130"/>
        <v>-25.351478735730058</v>
      </c>
      <c r="BU220" s="138">
        <f t="shared" si="124"/>
        <v>0.89113691428421926</v>
      </c>
      <c r="BV220" s="138">
        <f t="shared" si="125"/>
        <v>0.89113691428421926</v>
      </c>
      <c r="BW220" s="53" t="s">
        <v>175</v>
      </c>
      <c r="BX220" s="53" t="s">
        <v>175</v>
      </c>
      <c r="BY220" s="53" t="s">
        <v>175</v>
      </c>
      <c r="BZ220" s="53" t="s">
        <v>175</v>
      </c>
      <c r="CA220" s="147">
        <v>1</v>
      </c>
      <c r="CB220" s="54">
        <v>0</v>
      </c>
    </row>
    <row r="221" spans="1:81">
      <c r="A221" s="165" t="s">
        <v>980</v>
      </c>
      <c r="B221" s="124" t="s">
        <v>961</v>
      </c>
      <c r="C221" s="148" t="s">
        <v>674</v>
      </c>
      <c r="D221" s="126" t="s">
        <v>741</v>
      </c>
      <c r="E221" s="127">
        <v>22.096959999999999</v>
      </c>
      <c r="F221" s="127">
        <v>113.532219</v>
      </c>
      <c r="G221" s="128" t="s">
        <v>168</v>
      </c>
      <c r="H221" s="145">
        <v>2490.6818647162495</v>
      </c>
      <c r="I221" s="145">
        <v>102.09332595228739</v>
      </c>
      <c r="J221" s="129">
        <v>1989</v>
      </c>
      <c r="K221" s="129">
        <v>337</v>
      </c>
      <c r="L221" s="129">
        <v>320</v>
      </c>
      <c r="M221" s="130" t="s">
        <v>977</v>
      </c>
      <c r="N221" s="149" t="s">
        <v>339</v>
      </c>
      <c r="O221" s="130" t="s">
        <v>175</v>
      </c>
      <c r="P221" s="130" t="s">
        <v>175</v>
      </c>
      <c r="Q221" s="130" t="s">
        <v>377</v>
      </c>
      <c r="R221" s="131" t="s">
        <v>175</v>
      </c>
      <c r="S221" s="131" t="s">
        <v>175</v>
      </c>
      <c r="T221" s="130">
        <v>1</v>
      </c>
      <c r="U221" s="132" t="s">
        <v>281</v>
      </c>
      <c r="V221" s="133">
        <v>0.01</v>
      </c>
      <c r="W221" s="132" t="s">
        <v>174</v>
      </c>
      <c r="X221" s="133">
        <v>0.01</v>
      </c>
      <c r="Y221" s="133">
        <v>5.0000000000000001E-3</v>
      </c>
      <c r="Z221" s="133">
        <v>0.01</v>
      </c>
      <c r="AA221" s="133">
        <v>0</v>
      </c>
      <c r="AB221" s="133">
        <v>0</v>
      </c>
      <c r="AC221" s="134">
        <v>0</v>
      </c>
      <c r="AD221" s="134">
        <v>0</v>
      </c>
      <c r="AE221" s="134">
        <v>0.5</v>
      </c>
      <c r="AF221" s="134">
        <v>0</v>
      </c>
      <c r="AG221" s="134">
        <v>0.1</v>
      </c>
      <c r="AH221" s="134">
        <v>0</v>
      </c>
      <c r="AI221" s="134">
        <v>0</v>
      </c>
      <c r="AJ221" s="134">
        <v>0</v>
      </c>
      <c r="AK221" s="134" t="s">
        <v>175</v>
      </c>
      <c r="AL221" s="122" t="s">
        <v>175</v>
      </c>
      <c r="AM221" s="134">
        <v>1.74</v>
      </c>
      <c r="AN221" s="134" t="s">
        <v>176</v>
      </c>
      <c r="AO221" s="122" t="s">
        <v>177</v>
      </c>
      <c r="AP221" s="135">
        <f>SQRT(SUMSQ(IF(OR(Y221="nd",Y221="nd"),0,Y221),IF(OR(Z221="nd",Z221="nd"),0,Z221),IF(OR(AA221="nd",AA221="nd"),0,AA221),IF(OR(AB221="nd",AB221="nd"),0,AB221),IF(OR(AC221="nd",AC221="nd"),0,AC221),IF(OR(AD221="nd",AD221="nd"),0,AD221),IF(OR(AE221="nd",AE221="nd"),0,AE221),IF(OR(AF221="nd",AF221="nd"),0,AF221),IF(OR(AG221="nd",AG221="nd"),0,AG221),IF(OR(AH221="nd",AH221="nd"),0,AH221),IF(OR(AI221="nd",AI221="nd"),0,AI221),IF(OR(AJ221="nd",AJ221="nd"),0,AJ221)))</f>
        <v>0.51002450921499842</v>
      </c>
      <c r="AQ221" s="135">
        <f>SQRT(SUMSQ(IF(OR(Y221="nd",Y221="nd"),0,Y221),IF(OR(Z221="nd",Z221="nd"),0,Z221),IF(OR(AA221="nd",AA221="nd"),0,AA221),IF(OR(AB221="nd",AB221="nd"),0,AB221),IF(OR(AC221="nd",AC221="nd"),0,AC221),IF(OR(AD221="nd",AD221="nd"),0,AD221),IF(OR(AE221="nd",AE221="nd"),0,AE221),IF(OR(AF221="nd",AF221="nd"),0,AF221),IF(OR(AG221="nd",AG221="nd"),0,AG221),IF(OR(AH221="nd",AH221="nd"),0,AH221),IF(OR(AI221="nd",AI221="nd"),0,AI221),IF(OR(AJ221="nd",AJ221="nd"),0,AJ221)))</f>
        <v>0.51002450921499842</v>
      </c>
      <c r="AR221" s="117">
        <v>-1.66094822162583</v>
      </c>
      <c r="AS221" s="117">
        <v>0</v>
      </c>
      <c r="AT221" s="117">
        <v>0</v>
      </c>
      <c r="AU221" s="117">
        <v>-1.01545019759712</v>
      </c>
      <c r="AV221" s="117">
        <v>-0.57682470360430504</v>
      </c>
      <c r="AW221" s="117">
        <v>-3.0793824098923499E-2</v>
      </c>
      <c r="AX221" s="117">
        <v>0.48454980240286999</v>
      </c>
      <c r="AY221" s="117">
        <v>0.98454980240287004</v>
      </c>
      <c r="AZ221" s="117">
        <v>0</v>
      </c>
      <c r="BA221" s="117">
        <v>0</v>
      </c>
      <c r="BB221" s="117">
        <v>1.53905177837416</v>
      </c>
      <c r="BC221" s="136" t="str">
        <f t="shared" ref="BC221" si="131">IF(BG221="1","1 ",
IF(BG221="2a","0",
IF(BG221="2b","1 ",
IF(BG221="3a","-1 ",
IF(BG221="3b","0 ",
IF(BG221="3c","0",
IF(BG221="3d","-1 ",
IF(BG221="3e","1 ",
IF(BG221="4","1 ",
IF(BG221="5","1",
IF(BG221="6","-1 ",
IF(BG221="7","-1 ",
IF(BG221="8","0",
IF(BG221="9","-1",
IF(BG221="10a","-1 ",
IF(BG221="10b","0",
IF(BG221="11","1 ",
IF(BG221="12a","0",
IF(BG221="12b","-1 ","")))))))))))))))))))</f>
        <v xml:space="preserve">1 </v>
      </c>
      <c r="BD221" s="136" t="s">
        <v>978</v>
      </c>
      <c r="BE221" s="136" t="s">
        <v>669</v>
      </c>
      <c r="BF221" s="136" t="s">
        <v>979</v>
      </c>
      <c r="BG221" s="120" t="s">
        <v>670</v>
      </c>
      <c r="BH221" s="136" t="str">
        <f t="shared" si="128"/>
        <v>&gt;MLLW</v>
      </c>
      <c r="BI221" s="136">
        <f t="shared" si="129"/>
        <v>-1.01545019759712</v>
      </c>
      <c r="BJ221" s="136" t="str">
        <f>IF(BG221="1","Nil",
IF(BG221="2a",(BB221-AR221)/2,
IF(BG221="2b","Nil",
IF(BG221="3a","Nil",
IF(BG221="3b",(AU221 -AR221)/2,
IF(BG221="3c",4,
IF(BG221="3d","Nil",
IF(BG221="3e","Nil",
IF(BG221="4","Nil",
IF(BG221="5","Nil",
IF(BG221="6","Nil",
IF(BG221="7","Nil",
IF(BG221="8",(BB221-AW221)/2,
IF(BG221="9","Nil",
IF(BG221="10a","Nil",
IF(BG221="10b",(AY221-AU221)/2,
IF(BG221="11","Nil",
IF(BG221="12a",(BB221-AR221)/2,
IF(BG221="12b","Nil","")))))))))))))))))))</f>
        <v>Nil</v>
      </c>
      <c r="BK221" s="136">
        <f>IF(BH221="HAT-LAT",0.27,
IF(BH221="HAT-MTL",0.09,
IF(BH221="MHHW-MLLW",0.27,IF(BH221="MLLW-LAT",0.27,
IF(BH221="(MLLW)-(MLLW-8)",0.4,
IF(BH221="&lt;HAT",0.18,
IF(BH221="&gt;MHHW",0.44,
IF(BH221="&gt;MTL",0.05,
IF(BH221="&lt;MTL",0.05,
IF(BH221="&gt;MLLW",0.4,
IF(BH221="&lt;MLLW",0.4,"Nil")))))))))))</f>
        <v>0.4</v>
      </c>
      <c r="BL221" s="136" t="s">
        <v>736</v>
      </c>
      <c r="BM221" s="136" t="s">
        <v>175</v>
      </c>
      <c r="BN221" s="136" t="s">
        <v>175</v>
      </c>
      <c r="BO221" s="136" t="s">
        <v>736</v>
      </c>
      <c r="BP221" s="137" t="s">
        <v>175</v>
      </c>
      <c r="BQ221" s="137" t="s">
        <v>175</v>
      </c>
      <c r="BR221" s="137" t="s">
        <v>175</v>
      </c>
      <c r="BS221" s="137" t="s">
        <v>175</v>
      </c>
      <c r="BT221" s="138">
        <f t="shared" ref="BT221" si="132">AM221-BI221</f>
        <v>2.7554501975971197</v>
      </c>
      <c r="BU221" s="138">
        <f t="shared" ref="BU221" si="133">SQRT(SUMSQ(AP221,BJ221,IF(OR(BK221="nd",BK221="nd"),0,BK221),IF(OR(BL221="nd",BL221="nd"),0,BL221),IF(OR(BO221="nd",BO221="nd"),0,BO221)))</f>
        <v>0.64817050226001494</v>
      </c>
      <c r="BV221" s="138">
        <f t="shared" ref="BV221" si="134">SQRT(SUMSQ(AP221,BJ221,IF(OR(BK221="nd",BK221="nd"),0,BK221),IF(OR(BL221="nd",BL221="nd"),0,BL221),IF(OR(BO221="nd",BO221="nd"),0,BO221)))</f>
        <v>0.64817050226001494</v>
      </c>
      <c r="BW221" s="53" t="s">
        <v>175</v>
      </c>
      <c r="BX221" s="53" t="s">
        <v>175</v>
      </c>
      <c r="BY221" s="53" t="s">
        <v>175</v>
      </c>
      <c r="BZ221" s="53" t="s">
        <v>175</v>
      </c>
      <c r="CA221" s="147">
        <v>2</v>
      </c>
      <c r="CB221" s="54">
        <v>0</v>
      </c>
    </row>
    <row r="222" spans="1:81">
      <c r="A222" s="123" t="s">
        <v>486</v>
      </c>
      <c r="B222" s="124" t="s">
        <v>732</v>
      </c>
      <c r="C222" s="148" t="s">
        <v>674</v>
      </c>
      <c r="D222" s="125" t="s">
        <v>741</v>
      </c>
      <c r="E222" s="127">
        <v>22.3</v>
      </c>
      <c r="F222" s="127">
        <v>113.23333333333333</v>
      </c>
      <c r="G222" s="128" t="s">
        <v>168</v>
      </c>
      <c r="H222" s="129">
        <v>6378.8105623511892</v>
      </c>
      <c r="I222" s="129">
        <v>206.06923373106474</v>
      </c>
      <c r="J222" s="129">
        <v>7260</v>
      </c>
      <c r="K222" s="129">
        <v>395</v>
      </c>
      <c r="L222" s="129">
        <v>469</v>
      </c>
      <c r="M222" s="130" t="s">
        <v>391</v>
      </c>
      <c r="N222" s="149" t="s">
        <v>735</v>
      </c>
      <c r="O222" s="157" t="s">
        <v>393</v>
      </c>
      <c r="P222" s="130" t="s">
        <v>487</v>
      </c>
      <c r="Q222" s="130" t="s">
        <v>172</v>
      </c>
      <c r="R222" s="131">
        <v>16</v>
      </c>
      <c r="S222" s="131">
        <v>4</v>
      </c>
      <c r="T222" s="130">
        <v>1</v>
      </c>
      <c r="U222" s="132" t="s">
        <v>173</v>
      </c>
      <c r="V222" s="133">
        <v>0.1</v>
      </c>
      <c r="W222" s="132" t="s">
        <v>174</v>
      </c>
      <c r="X222" s="133">
        <v>0.1</v>
      </c>
      <c r="Y222" s="133">
        <v>0.05</v>
      </c>
      <c r="Z222" s="133">
        <v>0.01</v>
      </c>
      <c r="AA222" s="133">
        <v>0.15</v>
      </c>
      <c r="AB222" s="133">
        <f t="shared" si="112"/>
        <v>0.32</v>
      </c>
      <c r="AC222" s="134">
        <v>0</v>
      </c>
      <c r="AD222" s="134">
        <v>0</v>
      </c>
      <c r="AE222" s="134">
        <v>0.5</v>
      </c>
      <c r="AF222" s="134">
        <v>0</v>
      </c>
      <c r="AG222" s="134">
        <v>0.1</v>
      </c>
      <c r="AH222" s="134">
        <v>0</v>
      </c>
      <c r="AI222" s="134">
        <v>0</v>
      </c>
      <c r="AJ222" s="134">
        <v>0</v>
      </c>
      <c r="AK222" s="134" t="s">
        <v>175</v>
      </c>
      <c r="AL222" s="122" t="s">
        <v>175</v>
      </c>
      <c r="AM222" s="122">
        <v>-14.9</v>
      </c>
      <c r="AN222" s="134" t="s">
        <v>176</v>
      </c>
      <c r="AO222" s="134" t="s">
        <v>177</v>
      </c>
      <c r="AP222" s="135">
        <f t="shared" si="117"/>
        <v>0.62249497989943658</v>
      </c>
      <c r="AQ222" s="135">
        <f t="shared" si="111"/>
        <v>0.62249497989943658</v>
      </c>
      <c r="AR222" s="117">
        <v>-1.705858656</v>
      </c>
      <c r="AS222" s="117">
        <v>0</v>
      </c>
      <c r="AT222" s="117">
        <v>0</v>
      </c>
      <c r="AU222" s="117">
        <v>-1.010460149</v>
      </c>
      <c r="AV222" s="117">
        <v>-0.584309776</v>
      </c>
      <c r="AW222" s="117">
        <v>-2.8922555999999999E-2</v>
      </c>
      <c r="AX222" s="117">
        <v>0.48953985100000003</v>
      </c>
      <c r="AY222" s="117">
        <v>0.98953985099999997</v>
      </c>
      <c r="AZ222" s="117">
        <v>0</v>
      </c>
      <c r="BA222" s="117">
        <v>0</v>
      </c>
      <c r="BB222" s="117">
        <v>1.494141344</v>
      </c>
      <c r="BC222" s="136" t="str">
        <f t="shared" si="113"/>
        <v>-1</v>
      </c>
      <c r="BD222" s="136" t="s">
        <v>178</v>
      </c>
      <c r="BE222" s="136" t="s">
        <v>518</v>
      </c>
      <c r="BF222" s="136" t="s">
        <v>301</v>
      </c>
      <c r="BG222" s="120" t="s">
        <v>678</v>
      </c>
      <c r="BH222" s="136" t="str">
        <f t="shared" si="128"/>
        <v>&lt;MTL</v>
      </c>
      <c r="BI222" s="136">
        <f t="shared" si="129"/>
        <v>-2.8922555999999999E-2</v>
      </c>
      <c r="BJ222" s="136" t="str">
        <f t="shared" ref="BJ222:BJ275" si="135">IF(BG222="1","Nil",
IF(BG222="2a",(BB222-AR222)/2,
IF(BG222="2b","Nil",
IF(BG222="3a","Nil",
IF(BG222="3b",(AU222 -AR222)/2,
IF(BG222="3c",4,
IF(BG222="3d","Nil",
IF(BG222="3e","Nil",
IF(BG222="4","Nil",
IF(BG222="5","Nil",
IF(BG222="6","Nil",
IF(BG222="7","Nil",
IF(BG222="8",(BB222-AW222)/2,
IF(BG222="9","Nil",
IF(BG222="10a","Nil",
IF(BG222="10b",(AY222-AU222)/2,
IF(BG222="11","Nil",
IF(BG222="12a",(BB222-AR222)/2,
IF(BG222="12b","Nil","")))))))))))))))))))</f>
        <v>Nil</v>
      </c>
      <c r="BK222" s="136">
        <f t="shared" ref="BK222:BK275" si="136">IF(BH222="HAT-LAT",0.27,
IF(BH222="HAT-MTL",0.09,
IF(BH222="MHHW-MLLW",0.27,IF(BH222="MLLW-LAT",0.27,
IF(BH222="(MLLW)-(MLLW-8)",0.4,
IF(BH222="&lt;HAT",0.18,
IF(BH222="&gt;MHHW",0.44,
IF(BH222="&gt;MTL",0.05,
IF(BH222="&lt;MTL",0.05,
IF(BH222="&gt;MLLW",0.4,
IF(BH222="&lt;MLLW",0.4,"Nil")))))))))))</f>
        <v>0.05</v>
      </c>
      <c r="BL222" s="136" t="s">
        <v>736</v>
      </c>
      <c r="BM222" s="136" t="s">
        <v>175</v>
      </c>
      <c r="BN222" s="136" t="s">
        <v>175</v>
      </c>
      <c r="BO222" s="136" t="s">
        <v>736</v>
      </c>
      <c r="BP222" s="137" t="s">
        <v>175</v>
      </c>
      <c r="BQ222" s="137" t="s">
        <v>175</v>
      </c>
      <c r="BR222" s="137" t="s">
        <v>175</v>
      </c>
      <c r="BS222" s="137" t="s">
        <v>175</v>
      </c>
      <c r="BT222" s="138">
        <f t="shared" si="114"/>
        <v>-14.871077444000001</v>
      </c>
      <c r="BU222" s="138">
        <f t="shared" si="115"/>
        <v>0.62449979983983983</v>
      </c>
      <c r="BV222" s="138">
        <f t="shared" si="116"/>
        <v>0.62449979983983983</v>
      </c>
      <c r="BW222" s="53" t="s">
        <v>175</v>
      </c>
      <c r="BX222" s="53" t="s">
        <v>175</v>
      </c>
      <c r="BY222" s="53" t="s">
        <v>175</v>
      </c>
      <c r="BZ222" s="53" t="s">
        <v>175</v>
      </c>
      <c r="CA222" s="147">
        <v>2</v>
      </c>
      <c r="CB222" s="54">
        <v>0</v>
      </c>
    </row>
    <row r="223" spans="1:81">
      <c r="A223" s="123" t="s">
        <v>899</v>
      </c>
      <c r="B223" s="124" t="s">
        <v>561</v>
      </c>
      <c r="C223" s="148" t="s">
        <v>674</v>
      </c>
      <c r="D223" s="126" t="s">
        <v>743</v>
      </c>
      <c r="E223" s="127">
        <v>23.087499999999999</v>
      </c>
      <c r="F223" s="127">
        <v>112.9342</v>
      </c>
      <c r="G223" s="128" t="s">
        <v>168</v>
      </c>
      <c r="H223" s="145">
        <v>2250</v>
      </c>
      <c r="I223" s="145">
        <v>40</v>
      </c>
      <c r="J223" s="129">
        <v>2230</v>
      </c>
      <c r="K223" s="129">
        <v>114</v>
      </c>
      <c r="L223" s="129">
        <v>81</v>
      </c>
      <c r="M223" s="149" t="s">
        <v>573</v>
      </c>
      <c r="N223" s="146" t="s">
        <v>528</v>
      </c>
      <c r="O223" s="149" t="s">
        <v>571</v>
      </c>
      <c r="P223" s="149" t="s">
        <v>574</v>
      </c>
      <c r="Q223" s="130" t="s">
        <v>172</v>
      </c>
      <c r="R223" s="131">
        <v>3.99</v>
      </c>
      <c r="S223" s="131" t="s">
        <v>175</v>
      </c>
      <c r="T223" s="130">
        <v>1</v>
      </c>
      <c r="U223" s="132" t="s">
        <v>173</v>
      </c>
      <c r="V223" s="133">
        <v>0.05</v>
      </c>
      <c r="W223" s="132" t="s">
        <v>174</v>
      </c>
      <c r="X223" s="133">
        <v>0.05</v>
      </c>
      <c r="Y223" s="133">
        <v>2.5000000000000001E-2</v>
      </c>
      <c r="Z223" s="133">
        <v>0.01</v>
      </c>
      <c r="AA223" s="133">
        <v>0.15</v>
      </c>
      <c r="AB223" s="133">
        <f t="shared" si="112"/>
        <v>7.980000000000001E-2</v>
      </c>
      <c r="AC223" s="134">
        <v>0</v>
      </c>
      <c r="AD223" s="134">
        <v>0</v>
      </c>
      <c r="AE223" s="134">
        <v>0.5</v>
      </c>
      <c r="AF223" s="134">
        <v>0</v>
      </c>
      <c r="AG223" s="134">
        <v>0.1</v>
      </c>
      <c r="AH223" s="134">
        <v>0</v>
      </c>
      <c r="AI223" s="134">
        <v>0</v>
      </c>
      <c r="AJ223" s="134">
        <v>0</v>
      </c>
      <c r="AK223" s="134" t="s">
        <v>175</v>
      </c>
      <c r="AL223" s="122" t="s">
        <v>175</v>
      </c>
      <c r="AM223" s="122">
        <f>4.4-3.99</f>
        <v>0.41000000000000014</v>
      </c>
      <c r="AN223" s="134" t="s">
        <v>176</v>
      </c>
      <c r="AO223" s="122" t="s">
        <v>177</v>
      </c>
      <c r="AP223" s="135">
        <f t="shared" si="117"/>
        <v>0.5381384951850221</v>
      </c>
      <c r="AQ223" s="135">
        <f t="shared" si="111"/>
        <v>0.5381384951850221</v>
      </c>
      <c r="AR223" s="117">
        <v>-1.407703385</v>
      </c>
      <c r="AS223" s="117">
        <v>0</v>
      </c>
      <c r="AT223" s="117">
        <v>0</v>
      </c>
      <c r="AU223" s="117">
        <v>-0.85138298800000001</v>
      </c>
      <c r="AV223" s="117">
        <v>-0.58586358299999997</v>
      </c>
      <c r="AW223" s="117">
        <v>-2.3793807E-2</v>
      </c>
      <c r="AX223" s="117">
        <v>0.51873592099999999</v>
      </c>
      <c r="AY223" s="117">
        <v>0.82333542500000001</v>
      </c>
      <c r="AZ223" s="117">
        <v>0</v>
      </c>
      <c r="BA223" s="117">
        <v>0</v>
      </c>
      <c r="BB223" s="117">
        <v>1.6878568599999999</v>
      </c>
      <c r="BC223" s="136" t="str">
        <f>IF(BG223="1","1 ",
IF(BG223="2a","0",
IF(BG223="2b","1 ",
IF(BG223="3a","-1 ",
IF(BG223="3b","0 ",
IF(BG223="3c","0",
IF(BG223="3d","-1 ",
IF(BG223="3e","1 ",
IF(BG223="4","1 ",
IF(BG223="5","1",
IF(BG223="6","-1 ",
IF(BG223="7","-1 ",
IF(BG223="8","0",
IF(BG223="9","-1",
IF(BG223="10a","-1 ",
IF(BG223="10b","0",
IF(BG223="11","1 ",
IF(BG223="12a","0",
IF(BG223="12b","-1 ","")))))))))))))))))))</f>
        <v xml:space="preserve">-1 </v>
      </c>
      <c r="BD223" s="136" t="s">
        <v>178</v>
      </c>
      <c r="BE223" s="136" t="s">
        <v>902</v>
      </c>
      <c r="BF223" s="136" t="s">
        <v>903</v>
      </c>
      <c r="BG223" s="120" t="s">
        <v>665</v>
      </c>
      <c r="BH223" s="136" t="str">
        <f t="shared" si="128"/>
        <v>&lt;HAT</v>
      </c>
      <c r="BI223" s="136">
        <f t="shared" si="129"/>
        <v>1.6878568599999999</v>
      </c>
      <c r="BJ223" s="136" t="str">
        <f t="shared" si="135"/>
        <v>Nil</v>
      </c>
      <c r="BK223" s="136">
        <f t="shared" si="136"/>
        <v>0.18</v>
      </c>
      <c r="BL223" s="136" t="s">
        <v>736</v>
      </c>
      <c r="BM223" s="136" t="s">
        <v>175</v>
      </c>
      <c r="BN223" s="136" t="s">
        <v>175</v>
      </c>
      <c r="BO223" s="136" t="s">
        <v>736</v>
      </c>
      <c r="BP223" s="137" t="s">
        <v>175</v>
      </c>
      <c r="BQ223" s="137" t="s">
        <v>175</v>
      </c>
      <c r="BR223" s="137" t="s">
        <v>175</v>
      </c>
      <c r="BS223" s="137" t="s">
        <v>175</v>
      </c>
      <c r="BT223" s="138">
        <f t="shared" si="114"/>
        <v>-1.2778568599999998</v>
      </c>
      <c r="BU223" s="138">
        <f t="shared" si="115"/>
        <v>0.567444305637126</v>
      </c>
      <c r="BV223" s="138">
        <f t="shared" si="116"/>
        <v>0.567444305637126</v>
      </c>
      <c r="BW223" s="53" t="s">
        <v>175</v>
      </c>
      <c r="BX223" s="53" t="s">
        <v>175</v>
      </c>
      <c r="BY223" s="53" t="s">
        <v>175</v>
      </c>
      <c r="BZ223" s="53" t="s">
        <v>175</v>
      </c>
      <c r="CA223" s="147">
        <v>1</v>
      </c>
      <c r="CB223" s="54">
        <v>0</v>
      </c>
    </row>
    <row r="224" spans="1:81">
      <c r="A224" s="123" t="s">
        <v>900</v>
      </c>
      <c r="B224" s="124" t="s">
        <v>561</v>
      </c>
      <c r="C224" s="148" t="s">
        <v>674</v>
      </c>
      <c r="D224" s="126" t="s">
        <v>743</v>
      </c>
      <c r="E224" s="127">
        <v>23.087499999999999</v>
      </c>
      <c r="F224" s="127">
        <v>112.9342</v>
      </c>
      <c r="G224" s="128" t="s">
        <v>168</v>
      </c>
      <c r="H224" s="145">
        <v>2160</v>
      </c>
      <c r="I224" s="145">
        <v>40</v>
      </c>
      <c r="J224" s="129">
        <v>2150</v>
      </c>
      <c r="K224" s="129">
        <v>158</v>
      </c>
      <c r="L224" s="129">
        <v>147</v>
      </c>
      <c r="M224" s="149" t="s">
        <v>577</v>
      </c>
      <c r="N224" s="146" t="s">
        <v>528</v>
      </c>
      <c r="O224" s="149" t="s">
        <v>578</v>
      </c>
      <c r="P224" s="149" t="s">
        <v>579</v>
      </c>
      <c r="Q224" s="130" t="s">
        <v>172</v>
      </c>
      <c r="R224" s="131">
        <v>4.6100000000000003</v>
      </c>
      <c r="S224" s="131" t="s">
        <v>175</v>
      </c>
      <c r="T224" s="130">
        <v>1</v>
      </c>
      <c r="U224" s="132" t="s">
        <v>173</v>
      </c>
      <c r="V224" s="133">
        <v>0.05</v>
      </c>
      <c r="W224" s="132" t="s">
        <v>174</v>
      </c>
      <c r="X224" s="133">
        <v>0.05</v>
      </c>
      <c r="Y224" s="133">
        <v>2.5000000000000001E-2</v>
      </c>
      <c r="Z224" s="133">
        <v>0.01</v>
      </c>
      <c r="AA224" s="133">
        <v>0.15</v>
      </c>
      <c r="AB224" s="133">
        <f t="shared" si="112"/>
        <v>9.2200000000000004E-2</v>
      </c>
      <c r="AC224" s="134">
        <v>0</v>
      </c>
      <c r="AD224" s="134">
        <v>0</v>
      </c>
      <c r="AE224" s="134">
        <v>0.5</v>
      </c>
      <c r="AF224" s="134">
        <v>0</v>
      </c>
      <c r="AG224" s="134">
        <v>0.1</v>
      </c>
      <c r="AH224" s="134">
        <v>0</v>
      </c>
      <c r="AI224" s="134">
        <v>0</v>
      </c>
      <c r="AJ224" s="134">
        <v>0</v>
      </c>
      <c r="AK224" s="134" t="s">
        <v>175</v>
      </c>
      <c r="AL224" s="122" t="s">
        <v>175</v>
      </c>
      <c r="AM224" s="122">
        <f>4.4-4.61</f>
        <v>-0.20999999999999996</v>
      </c>
      <c r="AN224" s="134" t="s">
        <v>176</v>
      </c>
      <c r="AO224" s="122" t="s">
        <v>177</v>
      </c>
      <c r="AP224" s="135">
        <f t="shared" si="117"/>
        <v>0.54011650595033667</v>
      </c>
      <c r="AQ224" s="135">
        <f t="shared" si="111"/>
        <v>0.54011650595033667</v>
      </c>
      <c r="AR224" s="117">
        <v>-1.407703385</v>
      </c>
      <c r="AS224" s="117">
        <v>0</v>
      </c>
      <c r="AT224" s="117">
        <v>0</v>
      </c>
      <c r="AU224" s="117">
        <v>-0.85138298800000001</v>
      </c>
      <c r="AV224" s="117">
        <v>-0.58586358299999997</v>
      </c>
      <c r="AW224" s="117">
        <v>-2.3793807E-2</v>
      </c>
      <c r="AX224" s="117">
        <v>0.51873592099999999</v>
      </c>
      <c r="AY224" s="117">
        <v>0.82333542500000001</v>
      </c>
      <c r="AZ224" s="117">
        <v>0</v>
      </c>
      <c r="BA224" s="117">
        <v>0</v>
      </c>
      <c r="BB224" s="117">
        <v>1.6878568599999999</v>
      </c>
      <c r="BC224" s="136" t="str">
        <f t="shared" si="113"/>
        <v xml:space="preserve">-1 </v>
      </c>
      <c r="BD224" s="136" t="s">
        <v>178</v>
      </c>
      <c r="BE224" s="136" t="s">
        <v>902</v>
      </c>
      <c r="BF224" s="136" t="s">
        <v>903</v>
      </c>
      <c r="BG224" s="120" t="s">
        <v>665</v>
      </c>
      <c r="BH224" s="136" t="str">
        <f t="shared" si="128"/>
        <v>&lt;HAT</v>
      </c>
      <c r="BI224" s="136">
        <f t="shared" si="129"/>
        <v>1.6878568599999999</v>
      </c>
      <c r="BJ224" s="136" t="str">
        <f t="shared" si="135"/>
        <v>Nil</v>
      </c>
      <c r="BK224" s="136">
        <f t="shared" si="136"/>
        <v>0.18</v>
      </c>
      <c r="BL224" s="136" t="s">
        <v>736</v>
      </c>
      <c r="BM224" s="136" t="s">
        <v>175</v>
      </c>
      <c r="BN224" s="136" t="s">
        <v>175</v>
      </c>
      <c r="BO224" s="136" t="s">
        <v>736</v>
      </c>
      <c r="BP224" s="137" t="s">
        <v>175</v>
      </c>
      <c r="BQ224" s="137" t="s">
        <v>175</v>
      </c>
      <c r="BR224" s="137" t="s">
        <v>175</v>
      </c>
      <c r="BS224" s="137" t="s">
        <v>175</v>
      </c>
      <c r="BT224" s="138">
        <f t="shared" si="114"/>
        <v>-1.8978568599999999</v>
      </c>
      <c r="BU224" s="138">
        <f t="shared" si="115"/>
        <v>0.5693205072716071</v>
      </c>
      <c r="BV224" s="138">
        <f t="shared" si="116"/>
        <v>0.5693205072716071</v>
      </c>
      <c r="BW224" s="53" t="s">
        <v>175</v>
      </c>
      <c r="BX224" s="53" t="s">
        <v>175</v>
      </c>
      <c r="BY224" s="53" t="s">
        <v>175</v>
      </c>
      <c r="BZ224" s="53" t="s">
        <v>175</v>
      </c>
      <c r="CA224" s="147">
        <v>1</v>
      </c>
      <c r="CB224" s="54">
        <v>0</v>
      </c>
    </row>
    <row r="225" spans="1:82">
      <c r="A225" s="123" t="s">
        <v>901</v>
      </c>
      <c r="B225" s="124" t="s">
        <v>561</v>
      </c>
      <c r="C225" s="148" t="s">
        <v>674</v>
      </c>
      <c r="D225" s="126" t="s">
        <v>743</v>
      </c>
      <c r="E225" s="127">
        <v>23.087499999999999</v>
      </c>
      <c r="F225" s="127">
        <v>112.9342</v>
      </c>
      <c r="G225" s="128" t="s">
        <v>168</v>
      </c>
      <c r="H225" s="145">
        <v>2560</v>
      </c>
      <c r="I225" s="145">
        <v>30</v>
      </c>
      <c r="J225" s="129">
        <v>2715</v>
      </c>
      <c r="K225" s="129">
        <v>38</v>
      </c>
      <c r="L225" s="129">
        <v>200</v>
      </c>
      <c r="M225" s="149" t="s">
        <v>577</v>
      </c>
      <c r="N225" s="146" t="s">
        <v>528</v>
      </c>
      <c r="O225" s="149" t="s">
        <v>578</v>
      </c>
      <c r="P225" s="149" t="s">
        <v>579</v>
      </c>
      <c r="Q225" s="130" t="s">
        <v>172</v>
      </c>
      <c r="R225" s="131">
        <v>6.92</v>
      </c>
      <c r="S225" s="131" t="s">
        <v>175</v>
      </c>
      <c r="T225" s="130">
        <v>1</v>
      </c>
      <c r="U225" s="132" t="s">
        <v>173</v>
      </c>
      <c r="V225" s="133">
        <v>0.05</v>
      </c>
      <c r="W225" s="132" t="s">
        <v>174</v>
      </c>
      <c r="X225" s="133">
        <v>0.05</v>
      </c>
      <c r="Y225" s="133">
        <v>2.5000000000000001E-2</v>
      </c>
      <c r="Z225" s="133">
        <v>0.01</v>
      </c>
      <c r="AA225" s="133">
        <v>0.15</v>
      </c>
      <c r="AB225" s="133">
        <f t="shared" si="112"/>
        <v>0.1384</v>
      </c>
      <c r="AC225" s="134">
        <v>0</v>
      </c>
      <c r="AD225" s="134">
        <v>0</v>
      </c>
      <c r="AE225" s="134">
        <v>0.5</v>
      </c>
      <c r="AF225" s="134">
        <v>0</v>
      </c>
      <c r="AG225" s="134">
        <v>0.1</v>
      </c>
      <c r="AH225" s="134">
        <v>0</v>
      </c>
      <c r="AI225" s="134">
        <v>0</v>
      </c>
      <c r="AJ225" s="134">
        <v>0</v>
      </c>
      <c r="AK225" s="134" t="s">
        <v>175</v>
      </c>
      <c r="AL225" s="122" t="s">
        <v>175</v>
      </c>
      <c r="AM225" s="122">
        <f>4.4-6.92</f>
        <v>-2.5199999999999996</v>
      </c>
      <c r="AN225" s="134" t="s">
        <v>176</v>
      </c>
      <c r="AO225" s="122" t="s">
        <v>177</v>
      </c>
      <c r="AP225" s="135">
        <f t="shared" si="117"/>
        <v>0.54989049819032154</v>
      </c>
      <c r="AQ225" s="135">
        <f t="shared" si="111"/>
        <v>0.54989049819032154</v>
      </c>
      <c r="AR225" s="117">
        <v>-1.407703385</v>
      </c>
      <c r="AS225" s="117">
        <v>0</v>
      </c>
      <c r="AT225" s="117">
        <v>0</v>
      </c>
      <c r="AU225" s="117">
        <v>-0.85138298800000001</v>
      </c>
      <c r="AV225" s="117">
        <v>-0.58586358299999997</v>
      </c>
      <c r="AW225" s="117">
        <v>-2.3793807E-2</v>
      </c>
      <c r="AX225" s="117">
        <v>0.51873592099999999</v>
      </c>
      <c r="AY225" s="117">
        <v>0.82333542500000001</v>
      </c>
      <c r="AZ225" s="117">
        <v>0</v>
      </c>
      <c r="BA225" s="117">
        <v>0</v>
      </c>
      <c r="BB225" s="117">
        <v>1.6878568599999999</v>
      </c>
      <c r="BC225" s="136" t="str">
        <f t="shared" si="113"/>
        <v xml:space="preserve">-1 </v>
      </c>
      <c r="BD225" s="136" t="s">
        <v>178</v>
      </c>
      <c r="BE225" s="136" t="s">
        <v>902</v>
      </c>
      <c r="BF225" s="136" t="s">
        <v>903</v>
      </c>
      <c r="BG225" s="120" t="s">
        <v>665</v>
      </c>
      <c r="BH225" s="136" t="str">
        <f t="shared" si="128"/>
        <v>&lt;HAT</v>
      </c>
      <c r="BI225" s="136">
        <f t="shared" si="129"/>
        <v>1.6878568599999999</v>
      </c>
      <c r="BJ225" s="136" t="str">
        <f t="shared" si="135"/>
        <v>Nil</v>
      </c>
      <c r="BK225" s="136">
        <f t="shared" si="136"/>
        <v>0.18</v>
      </c>
      <c r="BL225" s="136" t="s">
        <v>736</v>
      </c>
      <c r="BM225" s="136" t="s">
        <v>175</v>
      </c>
      <c r="BN225" s="136" t="s">
        <v>175</v>
      </c>
      <c r="BO225" s="136" t="s">
        <v>736</v>
      </c>
      <c r="BP225" s="137" t="s">
        <v>175</v>
      </c>
      <c r="BQ225" s="137" t="s">
        <v>175</v>
      </c>
      <c r="BR225" s="137" t="s">
        <v>175</v>
      </c>
      <c r="BS225" s="137" t="s">
        <v>175</v>
      </c>
      <c r="BT225" s="138">
        <f>AM225-BI225</f>
        <v>-4.2078568599999997</v>
      </c>
      <c r="BU225" s="138">
        <f t="shared" si="115"/>
        <v>0.57860138264611849</v>
      </c>
      <c r="BV225" s="138">
        <f t="shared" si="116"/>
        <v>0.57860138264611849</v>
      </c>
      <c r="BW225" s="53" t="s">
        <v>175</v>
      </c>
      <c r="BX225" s="53" t="s">
        <v>175</v>
      </c>
      <c r="BY225" s="53" t="s">
        <v>175</v>
      </c>
      <c r="BZ225" s="53" t="s">
        <v>175</v>
      </c>
      <c r="CA225" s="147">
        <v>1</v>
      </c>
      <c r="CB225" s="54">
        <v>0</v>
      </c>
    </row>
    <row r="226" spans="1:82">
      <c r="A226" s="123" t="s">
        <v>430</v>
      </c>
      <c r="B226" s="124" t="s">
        <v>968</v>
      </c>
      <c r="C226" s="148" t="s">
        <v>674</v>
      </c>
      <c r="D226" s="126" t="s">
        <v>741</v>
      </c>
      <c r="E226" s="127">
        <v>22.7</v>
      </c>
      <c r="F226" s="127">
        <v>113.2</v>
      </c>
      <c r="G226" s="128" t="s">
        <v>168</v>
      </c>
      <c r="H226" s="129">
        <v>3090.6818647162481</v>
      </c>
      <c r="I226" s="129">
        <v>157.55331543322089</v>
      </c>
      <c r="J226" s="129">
        <v>2728</v>
      </c>
      <c r="K226" s="129">
        <v>458</v>
      </c>
      <c r="L226" s="129">
        <v>434</v>
      </c>
      <c r="M226" s="130" t="s">
        <v>431</v>
      </c>
      <c r="N226" s="130" t="s">
        <v>339</v>
      </c>
      <c r="O226" s="130" t="s">
        <v>432</v>
      </c>
      <c r="P226" s="130" t="s">
        <v>433</v>
      </c>
      <c r="Q226" s="130" t="s">
        <v>377</v>
      </c>
      <c r="R226" s="131">
        <v>3.2</v>
      </c>
      <c r="S226" s="131">
        <v>15</v>
      </c>
      <c r="T226" s="130">
        <v>1</v>
      </c>
      <c r="U226" s="132" t="s">
        <v>173</v>
      </c>
      <c r="V226" s="133">
        <v>0.1</v>
      </c>
      <c r="W226" s="132" t="s">
        <v>174</v>
      </c>
      <c r="X226" s="133">
        <v>0.1</v>
      </c>
      <c r="Y226" s="133">
        <v>0.05</v>
      </c>
      <c r="Z226" s="133">
        <v>0.01</v>
      </c>
      <c r="AA226" s="133">
        <v>0.15</v>
      </c>
      <c r="AB226" s="133">
        <f t="shared" si="112"/>
        <v>6.4000000000000001E-2</v>
      </c>
      <c r="AC226" s="134">
        <v>0</v>
      </c>
      <c r="AD226" s="134">
        <v>0</v>
      </c>
      <c r="AE226" s="134">
        <v>0.5</v>
      </c>
      <c r="AF226" s="134">
        <v>0</v>
      </c>
      <c r="AG226" s="134">
        <v>0.1</v>
      </c>
      <c r="AH226" s="134">
        <v>0</v>
      </c>
      <c r="AI226" s="134">
        <v>0</v>
      </c>
      <c r="AJ226" s="134">
        <v>0</v>
      </c>
      <c r="AK226" s="134" t="s">
        <v>175</v>
      </c>
      <c r="AL226" s="122" t="s">
        <v>175</v>
      </c>
      <c r="AM226" s="122">
        <v>-2</v>
      </c>
      <c r="AN226" s="134" t="s">
        <v>176</v>
      </c>
      <c r="AO226" s="134" t="s">
        <v>177</v>
      </c>
      <c r="AP226" s="135">
        <f t="shared" si="117"/>
        <v>0.53776946733707376</v>
      </c>
      <c r="AQ226" s="135">
        <f t="shared" si="111"/>
        <v>0.53776946733707376</v>
      </c>
      <c r="AR226" s="117">
        <v>-2.2603938260000001</v>
      </c>
      <c r="AS226" s="117">
        <v>0</v>
      </c>
      <c r="AT226" s="117">
        <v>0</v>
      </c>
      <c r="AU226" s="117">
        <v>-1.0029696640000001</v>
      </c>
      <c r="AV226" s="117">
        <v>-0.59165475599999995</v>
      </c>
      <c r="AW226" s="117">
        <v>-1.3260279999999999E-3</v>
      </c>
      <c r="AX226" s="117">
        <v>0.62270128499999999</v>
      </c>
      <c r="AY226" s="117">
        <v>0.96661902200000005</v>
      </c>
      <c r="AZ226" s="117">
        <v>0</v>
      </c>
      <c r="BA226" s="117">
        <v>0</v>
      </c>
      <c r="BB226" s="117">
        <v>1.8666190220000001</v>
      </c>
      <c r="BC226" s="136" t="str">
        <f t="shared" si="113"/>
        <v>-1</v>
      </c>
      <c r="BD226" s="136" t="s">
        <v>178</v>
      </c>
      <c r="BE226" s="136" t="s">
        <v>518</v>
      </c>
      <c r="BF226" s="136" t="s">
        <v>292</v>
      </c>
      <c r="BG226" s="120" t="s">
        <v>678</v>
      </c>
      <c r="BH226" s="136" t="str">
        <f t="shared" si="128"/>
        <v>&lt;MTL</v>
      </c>
      <c r="BI226" s="136">
        <f t="shared" si="129"/>
        <v>-1.3260279999999999E-3</v>
      </c>
      <c r="BJ226" s="136" t="str">
        <f t="shared" si="135"/>
        <v>Nil</v>
      </c>
      <c r="BK226" s="136">
        <f t="shared" si="136"/>
        <v>0.05</v>
      </c>
      <c r="BL226" s="136" t="s">
        <v>736</v>
      </c>
      <c r="BM226" s="136" t="s">
        <v>175</v>
      </c>
      <c r="BN226" s="136" t="s">
        <v>175</v>
      </c>
      <c r="BO226" s="136" t="s">
        <v>736</v>
      </c>
      <c r="BP226" s="137" t="s">
        <v>175</v>
      </c>
      <c r="BQ226" s="137" t="s">
        <v>175</v>
      </c>
      <c r="BR226" s="137" t="s">
        <v>175</v>
      </c>
      <c r="BS226" s="137" t="s">
        <v>175</v>
      </c>
      <c r="BT226" s="138">
        <f t="shared" si="114"/>
        <v>-1.998673972</v>
      </c>
      <c r="BU226" s="138">
        <f t="shared" si="115"/>
        <v>0.54008888157413504</v>
      </c>
      <c r="BV226" s="138">
        <f t="shared" si="116"/>
        <v>0.54008888157413504</v>
      </c>
      <c r="BW226" s="53" t="s">
        <v>175</v>
      </c>
      <c r="BX226" s="53" t="s">
        <v>175</v>
      </c>
      <c r="BY226" s="53" t="s">
        <v>175</v>
      </c>
      <c r="BZ226" s="53" t="s">
        <v>175</v>
      </c>
      <c r="CA226" s="147">
        <v>2</v>
      </c>
      <c r="CB226" s="54">
        <v>0</v>
      </c>
    </row>
    <row r="227" spans="1:82">
      <c r="A227" s="123" t="s">
        <v>904</v>
      </c>
      <c r="B227" s="124" t="s">
        <v>731</v>
      </c>
      <c r="C227" s="125" t="s">
        <v>674</v>
      </c>
      <c r="D227" s="126" t="s">
        <v>741</v>
      </c>
      <c r="E227" s="127">
        <v>22.373190000000001</v>
      </c>
      <c r="F227" s="127">
        <v>113.19887</v>
      </c>
      <c r="G227" s="128" t="s">
        <v>168</v>
      </c>
      <c r="H227" s="145">
        <v>12010.681864716249</v>
      </c>
      <c r="I227" s="145">
        <v>395.88261796143564</v>
      </c>
      <c r="J227" s="129">
        <v>13411</v>
      </c>
      <c r="K227" s="129">
        <v>1133</v>
      </c>
      <c r="L227" s="129">
        <v>870</v>
      </c>
      <c r="M227" s="146" t="s">
        <v>412</v>
      </c>
      <c r="N227" s="146" t="s">
        <v>619</v>
      </c>
      <c r="O227" s="130" t="s">
        <v>175</v>
      </c>
      <c r="P227" s="130" t="s">
        <v>175</v>
      </c>
      <c r="Q227" s="130" t="s">
        <v>377</v>
      </c>
      <c r="R227" s="131">
        <v>23.2</v>
      </c>
      <c r="S227" s="131" t="s">
        <v>175</v>
      </c>
      <c r="T227" s="130">
        <v>1</v>
      </c>
      <c r="U227" s="132" t="s">
        <v>173</v>
      </c>
      <c r="V227" s="133">
        <v>0.1</v>
      </c>
      <c r="W227" s="132" t="s">
        <v>174</v>
      </c>
      <c r="X227" s="133">
        <v>0.1</v>
      </c>
      <c r="Y227" s="133">
        <v>0.05</v>
      </c>
      <c r="Z227" s="133">
        <v>0.01</v>
      </c>
      <c r="AA227" s="133">
        <v>0.15</v>
      </c>
      <c r="AB227" s="133">
        <f t="shared" si="112"/>
        <v>0.46399999999999997</v>
      </c>
      <c r="AC227" s="134">
        <v>0</v>
      </c>
      <c r="AD227" s="134">
        <v>0</v>
      </c>
      <c r="AE227" s="134">
        <v>0.5</v>
      </c>
      <c r="AF227" s="134">
        <v>0</v>
      </c>
      <c r="AG227" s="134">
        <v>0.1</v>
      </c>
      <c r="AH227" s="134">
        <v>0</v>
      </c>
      <c r="AI227" s="134">
        <v>0</v>
      </c>
      <c r="AJ227" s="134">
        <v>0</v>
      </c>
      <c r="AK227" s="134" t="s">
        <v>175</v>
      </c>
      <c r="AL227" s="122" t="s">
        <v>175</v>
      </c>
      <c r="AM227" s="122">
        <v>-12.8</v>
      </c>
      <c r="AN227" s="134" t="s">
        <v>176</v>
      </c>
      <c r="AO227" s="122" t="s">
        <v>177</v>
      </c>
      <c r="AP227" s="135">
        <f t="shared" si="117"/>
        <v>0.70738674005101332</v>
      </c>
      <c r="AQ227" s="135">
        <f t="shared" si="111"/>
        <v>0.70738674005101332</v>
      </c>
      <c r="AR227" s="117">
        <v>-1.710334113</v>
      </c>
      <c r="AS227" s="117">
        <v>0</v>
      </c>
      <c r="AT227" s="117">
        <v>0</v>
      </c>
      <c r="AU227" s="117">
        <v>-1.0099628759999999</v>
      </c>
      <c r="AV227" s="117">
        <v>-0.58505568600000002</v>
      </c>
      <c r="AW227" s="117">
        <v>-2.8736079000000001E-2</v>
      </c>
      <c r="AX227" s="117">
        <v>0.49003712399999999</v>
      </c>
      <c r="AY227" s="117">
        <v>0.99003712399999999</v>
      </c>
      <c r="AZ227" s="117">
        <v>0</v>
      </c>
      <c r="BA227" s="117">
        <v>0</v>
      </c>
      <c r="BB227" s="117">
        <v>1.4896658869999999</v>
      </c>
      <c r="BC227" s="136" t="str">
        <f t="shared" si="113"/>
        <v>-1</v>
      </c>
      <c r="BD227" s="136" t="s">
        <v>178</v>
      </c>
      <c r="BE227" s="136" t="s">
        <v>518</v>
      </c>
      <c r="BF227" s="136" t="s">
        <v>709</v>
      </c>
      <c r="BG227" s="120" t="s">
        <v>678</v>
      </c>
      <c r="BH227" s="136" t="str">
        <f t="shared" si="128"/>
        <v>&lt;MTL</v>
      </c>
      <c r="BI227" s="136">
        <f t="shared" si="129"/>
        <v>-2.8736079000000001E-2</v>
      </c>
      <c r="BJ227" s="136" t="str">
        <f t="shared" si="135"/>
        <v>Nil</v>
      </c>
      <c r="BK227" s="136">
        <f t="shared" si="136"/>
        <v>0.05</v>
      </c>
      <c r="BL227" s="136" t="s">
        <v>736</v>
      </c>
      <c r="BM227" s="136" t="s">
        <v>175</v>
      </c>
      <c r="BN227" s="136" t="s">
        <v>175</v>
      </c>
      <c r="BO227" s="136" t="s">
        <v>736</v>
      </c>
      <c r="BP227" s="137" t="s">
        <v>175</v>
      </c>
      <c r="BQ227" s="137" t="s">
        <v>175</v>
      </c>
      <c r="BR227" s="137" t="s">
        <v>175</v>
      </c>
      <c r="BS227" s="137" t="s">
        <v>175</v>
      </c>
      <c r="BT227" s="138">
        <f t="shared" si="114"/>
        <v>-12.771263921000001</v>
      </c>
      <c r="BU227" s="138">
        <f t="shared" si="115"/>
        <v>0.70915160579385261</v>
      </c>
      <c r="BV227" s="138">
        <f t="shared" si="116"/>
        <v>0.70915160579385261</v>
      </c>
      <c r="BW227" s="53" t="s">
        <v>175</v>
      </c>
      <c r="BX227" s="53" t="s">
        <v>175</v>
      </c>
      <c r="BY227" s="53" t="s">
        <v>175</v>
      </c>
      <c r="BZ227" s="53" t="s">
        <v>175</v>
      </c>
      <c r="CA227" s="147">
        <v>3</v>
      </c>
      <c r="CB227" s="54">
        <v>1</v>
      </c>
      <c r="CC227" s="54" t="s">
        <v>992</v>
      </c>
    </row>
    <row r="228" spans="1:82">
      <c r="A228" s="123" t="s">
        <v>505</v>
      </c>
      <c r="B228" s="124" t="s">
        <v>402</v>
      </c>
      <c r="C228" s="148" t="s">
        <v>674</v>
      </c>
      <c r="D228" s="126" t="s">
        <v>741</v>
      </c>
      <c r="E228" s="127">
        <v>22.788587</v>
      </c>
      <c r="F228" s="127">
        <v>113.14984800000001</v>
      </c>
      <c r="G228" s="128" t="s">
        <v>168</v>
      </c>
      <c r="H228" s="129">
        <v>8770.681864716249</v>
      </c>
      <c r="I228" s="129">
        <v>148.06433467921977</v>
      </c>
      <c r="J228" s="129">
        <v>9258</v>
      </c>
      <c r="K228" s="129">
        <v>416</v>
      </c>
      <c r="L228" s="129">
        <v>465</v>
      </c>
      <c r="M228" s="130" t="s">
        <v>506</v>
      </c>
      <c r="N228" s="130" t="s">
        <v>339</v>
      </c>
      <c r="O228" s="130" t="s">
        <v>507</v>
      </c>
      <c r="P228" s="130" t="s">
        <v>507</v>
      </c>
      <c r="Q228" s="130" t="s">
        <v>377</v>
      </c>
      <c r="R228" s="131">
        <v>17</v>
      </c>
      <c r="S228" s="131">
        <v>1.2</v>
      </c>
      <c r="T228" s="130">
        <v>0</v>
      </c>
      <c r="U228" s="132" t="s">
        <v>173</v>
      </c>
      <c r="V228" s="133">
        <v>0.1</v>
      </c>
      <c r="W228" s="132" t="s">
        <v>174</v>
      </c>
      <c r="X228" s="133">
        <v>0.1</v>
      </c>
      <c r="Y228" s="133">
        <v>0.05</v>
      </c>
      <c r="Z228" s="133">
        <v>0.01</v>
      </c>
      <c r="AA228" s="133">
        <v>0.15</v>
      </c>
      <c r="AB228" s="133">
        <f>0.02*R228</f>
        <v>0.34</v>
      </c>
      <c r="AC228" s="134">
        <v>0</v>
      </c>
      <c r="AD228" s="134">
        <v>0</v>
      </c>
      <c r="AE228" s="134">
        <v>0.5</v>
      </c>
      <c r="AF228" s="134">
        <v>0</v>
      </c>
      <c r="AG228" s="134">
        <v>0.1</v>
      </c>
      <c r="AH228" s="134">
        <v>0</v>
      </c>
      <c r="AI228" s="134">
        <v>0</v>
      </c>
      <c r="AJ228" s="134">
        <v>0</v>
      </c>
      <c r="AK228" s="134" t="s">
        <v>175</v>
      </c>
      <c r="AL228" s="122" t="s">
        <v>175</v>
      </c>
      <c r="AM228" s="122">
        <v>-16.3</v>
      </c>
      <c r="AN228" s="134" t="s">
        <v>176</v>
      </c>
      <c r="AO228" s="134" t="s">
        <v>177</v>
      </c>
      <c r="AP228" s="135">
        <f t="shared" si="117"/>
        <v>0.63300868872393845</v>
      </c>
      <c r="AQ228" s="135">
        <f t="shared" si="111"/>
        <v>0.63300868872393845</v>
      </c>
      <c r="AR228" s="117">
        <v>-2.0244538209999998</v>
      </c>
      <c r="AS228" s="117">
        <v>0</v>
      </c>
      <c r="AT228" s="117">
        <v>0</v>
      </c>
      <c r="AU228" s="117">
        <v>-0.93555823500000002</v>
      </c>
      <c r="AV228" s="117">
        <v>-0.57841322500000003</v>
      </c>
      <c r="AW228" s="117">
        <v>-1.626972E-3</v>
      </c>
      <c r="AX228" s="117">
        <v>0.59381067200000004</v>
      </c>
      <c r="AY228" s="117">
        <v>0.91365289900000002</v>
      </c>
      <c r="AZ228" s="117">
        <v>0</v>
      </c>
      <c r="BA228" s="117">
        <v>0</v>
      </c>
      <c r="BB228" s="117">
        <v>1.817528152</v>
      </c>
      <c r="BC228" s="136" t="str">
        <f t="shared" si="113"/>
        <v xml:space="preserve">1 </v>
      </c>
      <c r="BD228" s="136" t="s">
        <v>178</v>
      </c>
      <c r="BE228" s="136" t="s">
        <v>713</v>
      </c>
      <c r="BF228" s="136" t="s">
        <v>988</v>
      </c>
      <c r="BG228" s="120" t="s">
        <v>658</v>
      </c>
      <c r="BH228" s="136" t="str">
        <f t="shared" si="128"/>
        <v>&gt;MTL</v>
      </c>
      <c r="BI228" s="136">
        <f t="shared" si="129"/>
        <v>-1.626972E-3</v>
      </c>
      <c r="BJ228" s="136" t="str">
        <f t="shared" si="135"/>
        <v>Nil</v>
      </c>
      <c r="BK228" s="136">
        <f t="shared" si="136"/>
        <v>0.05</v>
      </c>
      <c r="BL228" s="136" t="s">
        <v>736</v>
      </c>
      <c r="BM228" s="136" t="s">
        <v>175</v>
      </c>
      <c r="BN228" s="136" t="s">
        <v>175</v>
      </c>
      <c r="BO228" s="136" t="s">
        <v>736</v>
      </c>
      <c r="BP228" s="137" t="s">
        <v>175</v>
      </c>
      <c r="BQ228" s="137" t="s">
        <v>175</v>
      </c>
      <c r="BR228" s="137" t="s">
        <v>175</v>
      </c>
      <c r="BS228" s="137" t="s">
        <v>175</v>
      </c>
      <c r="BT228" s="138">
        <f t="shared" si="114"/>
        <v>-16.298373028</v>
      </c>
      <c r="BU228" s="138">
        <f t="shared" si="115"/>
        <v>0.63498031465550175</v>
      </c>
      <c r="BV228" s="138">
        <f t="shared" si="116"/>
        <v>0.63498031465550175</v>
      </c>
      <c r="BW228" s="53" t="s">
        <v>175</v>
      </c>
      <c r="BX228" s="53" t="s">
        <v>175</v>
      </c>
      <c r="BY228" s="53" t="s">
        <v>175</v>
      </c>
      <c r="BZ228" s="53" t="s">
        <v>175</v>
      </c>
      <c r="CA228" s="147">
        <v>1</v>
      </c>
      <c r="CB228" s="54">
        <v>0</v>
      </c>
    </row>
    <row r="229" spans="1:82" ht="18" customHeight="1">
      <c r="A229" s="123" t="s">
        <v>458</v>
      </c>
      <c r="B229" s="124" t="s">
        <v>905</v>
      </c>
      <c r="C229" s="148" t="s">
        <v>674</v>
      </c>
      <c r="D229" s="126" t="s">
        <v>741</v>
      </c>
      <c r="E229" s="127">
        <v>22.648444000000001</v>
      </c>
      <c r="F229" s="127">
        <v>113.142225</v>
      </c>
      <c r="G229" s="128" t="s">
        <v>168</v>
      </c>
      <c r="H229" s="129">
        <v>5180.681864716249</v>
      </c>
      <c r="I229" s="129">
        <v>148.06433467921977</v>
      </c>
      <c r="J229" s="129">
        <v>5344</v>
      </c>
      <c r="K229" s="129">
        <v>379</v>
      </c>
      <c r="L229" s="129">
        <v>445</v>
      </c>
      <c r="M229" s="153" t="s">
        <v>734</v>
      </c>
      <c r="N229" s="130" t="s">
        <v>339</v>
      </c>
      <c r="O229" s="130" t="s">
        <v>175</v>
      </c>
      <c r="P229" s="130" t="s">
        <v>175</v>
      </c>
      <c r="Q229" s="130" t="s">
        <v>456</v>
      </c>
      <c r="R229" s="130" t="s">
        <v>456</v>
      </c>
      <c r="S229" s="130" t="s">
        <v>456</v>
      </c>
      <c r="T229" s="130">
        <v>1</v>
      </c>
      <c r="U229" s="132" t="s">
        <v>173</v>
      </c>
      <c r="V229" s="133">
        <v>0.1</v>
      </c>
      <c r="W229" s="132" t="s">
        <v>174</v>
      </c>
      <c r="X229" s="133">
        <v>0.1</v>
      </c>
      <c r="Y229" s="133">
        <v>0.05</v>
      </c>
      <c r="Z229" s="133">
        <v>0.01</v>
      </c>
      <c r="AA229" s="133">
        <v>0.15</v>
      </c>
      <c r="AB229" s="133">
        <v>0.2</v>
      </c>
      <c r="AC229" s="134">
        <v>0</v>
      </c>
      <c r="AD229" s="134">
        <v>0</v>
      </c>
      <c r="AE229" s="134">
        <v>0.5</v>
      </c>
      <c r="AF229" s="134">
        <v>0</v>
      </c>
      <c r="AG229" s="134">
        <v>0.1</v>
      </c>
      <c r="AH229" s="134">
        <v>0</v>
      </c>
      <c r="AI229" s="134">
        <v>0</v>
      </c>
      <c r="AJ229" s="134">
        <v>0</v>
      </c>
      <c r="AK229" s="134" t="s">
        <v>175</v>
      </c>
      <c r="AL229" s="122" t="s">
        <v>175</v>
      </c>
      <c r="AM229" s="122">
        <v>-1.4</v>
      </c>
      <c r="AN229" s="134" t="s">
        <v>176</v>
      </c>
      <c r="AO229" s="134" t="s">
        <v>177</v>
      </c>
      <c r="AP229" s="135">
        <f t="shared" si="117"/>
        <v>0.57017541160593732</v>
      </c>
      <c r="AQ229" s="135">
        <f t="shared" si="111"/>
        <v>0.57017541160593732</v>
      </c>
      <c r="AR229" s="117">
        <v>-2.24266013</v>
      </c>
      <c r="AS229" s="117">
        <v>0</v>
      </c>
      <c r="AT229" s="117">
        <v>0</v>
      </c>
      <c r="AU229" s="117">
        <v>-0.99790289399999998</v>
      </c>
      <c r="AV229" s="117">
        <v>-0.59065949699999998</v>
      </c>
      <c r="AW229" s="117">
        <v>-1.348648E-3</v>
      </c>
      <c r="AX229" s="117">
        <v>0.62052981200000001</v>
      </c>
      <c r="AY229" s="117">
        <v>0.962637988</v>
      </c>
      <c r="AZ229" s="117">
        <v>0</v>
      </c>
      <c r="BA229" s="117">
        <v>0</v>
      </c>
      <c r="BB229" s="117">
        <v>1.8626379879999999</v>
      </c>
      <c r="BC229" s="136" t="str">
        <f t="shared" si="113"/>
        <v>-1</v>
      </c>
      <c r="BD229" s="136" t="s">
        <v>178</v>
      </c>
      <c r="BE229" s="136" t="s">
        <v>518</v>
      </c>
      <c r="BF229" s="136" t="s">
        <v>292</v>
      </c>
      <c r="BG229" s="120" t="s">
        <v>678</v>
      </c>
      <c r="BH229" s="136" t="str">
        <f t="shared" si="128"/>
        <v>&lt;MTL</v>
      </c>
      <c r="BI229" s="136">
        <f t="shared" si="129"/>
        <v>-1.348648E-3</v>
      </c>
      <c r="BJ229" s="136" t="str">
        <f t="shared" si="135"/>
        <v>Nil</v>
      </c>
      <c r="BK229" s="136">
        <f t="shared" si="136"/>
        <v>0.05</v>
      </c>
      <c r="BL229" s="136" t="s">
        <v>736</v>
      </c>
      <c r="BM229" s="136" t="s">
        <v>175</v>
      </c>
      <c r="BN229" s="136" t="s">
        <v>175</v>
      </c>
      <c r="BO229" s="136" t="s">
        <v>736</v>
      </c>
      <c r="BP229" s="137" t="s">
        <v>175</v>
      </c>
      <c r="BQ229" s="137" t="s">
        <v>175</v>
      </c>
      <c r="BR229" s="137" t="s">
        <v>175</v>
      </c>
      <c r="BS229" s="137" t="s">
        <v>175</v>
      </c>
      <c r="BT229" s="138">
        <f t="shared" si="114"/>
        <v>-1.3986513519999999</v>
      </c>
      <c r="BU229" s="138">
        <f t="shared" si="115"/>
        <v>0.5723635208501674</v>
      </c>
      <c r="BV229" s="138">
        <f t="shared" si="116"/>
        <v>0.5723635208501674</v>
      </c>
      <c r="BW229" s="53" t="s">
        <v>175</v>
      </c>
      <c r="BX229" s="53" t="s">
        <v>175</v>
      </c>
      <c r="BY229" s="53" t="s">
        <v>175</v>
      </c>
      <c r="BZ229" s="53" t="s">
        <v>175</v>
      </c>
      <c r="CA229" s="147">
        <v>2</v>
      </c>
      <c r="CB229" s="54">
        <v>0</v>
      </c>
    </row>
    <row r="230" spans="1:82">
      <c r="A230" s="123" t="s">
        <v>415</v>
      </c>
      <c r="B230" s="124" t="s">
        <v>968</v>
      </c>
      <c r="C230" s="148" t="s">
        <v>674</v>
      </c>
      <c r="D230" s="126" t="s">
        <v>741</v>
      </c>
      <c r="E230" s="127">
        <v>22.5</v>
      </c>
      <c r="F230" s="127">
        <v>113</v>
      </c>
      <c r="G230" s="128" t="s">
        <v>168</v>
      </c>
      <c r="H230" s="129">
        <v>2378.8105623511892</v>
      </c>
      <c r="I230" s="129">
        <v>156.27874840809289</v>
      </c>
      <c r="J230" s="129">
        <v>2441</v>
      </c>
      <c r="K230" s="129">
        <v>320</v>
      </c>
      <c r="L230" s="129">
        <v>437</v>
      </c>
      <c r="M230" s="130" t="s">
        <v>416</v>
      </c>
      <c r="N230" s="149" t="s">
        <v>735</v>
      </c>
      <c r="O230" s="130" t="s">
        <v>417</v>
      </c>
      <c r="P230" s="130" t="s">
        <v>393</v>
      </c>
      <c r="Q230" s="130" t="s">
        <v>377</v>
      </c>
      <c r="R230" s="131">
        <v>4.5</v>
      </c>
      <c r="S230" s="131">
        <v>13.2</v>
      </c>
      <c r="T230" s="130">
        <v>1</v>
      </c>
      <c r="U230" s="132" t="s">
        <v>173</v>
      </c>
      <c r="V230" s="133">
        <v>0.1</v>
      </c>
      <c r="W230" s="132" t="s">
        <v>174</v>
      </c>
      <c r="X230" s="133">
        <v>0.1</v>
      </c>
      <c r="Y230" s="133">
        <v>0.05</v>
      </c>
      <c r="Z230" s="133">
        <v>0.01</v>
      </c>
      <c r="AA230" s="133">
        <v>0.15</v>
      </c>
      <c r="AB230" s="133">
        <f>0.02*R230</f>
        <v>0.09</v>
      </c>
      <c r="AC230" s="134">
        <v>0</v>
      </c>
      <c r="AD230" s="134">
        <v>0</v>
      </c>
      <c r="AE230" s="134">
        <v>0.5</v>
      </c>
      <c r="AF230" s="134">
        <v>0</v>
      </c>
      <c r="AG230" s="134">
        <v>0.1</v>
      </c>
      <c r="AH230" s="134">
        <v>0</v>
      </c>
      <c r="AI230" s="134">
        <v>0</v>
      </c>
      <c r="AJ230" s="134">
        <v>0</v>
      </c>
      <c r="AK230" s="134" t="s">
        <v>175</v>
      </c>
      <c r="AL230" s="122" t="s">
        <v>175</v>
      </c>
      <c r="AM230" s="122">
        <v>-3.4</v>
      </c>
      <c r="AN230" s="134" t="s">
        <v>176</v>
      </c>
      <c r="AO230" s="134" t="s">
        <v>177</v>
      </c>
      <c r="AP230" s="135">
        <f t="shared" si="117"/>
        <v>0.54147945482723536</v>
      </c>
      <c r="AQ230" s="135">
        <f t="shared" si="111"/>
        <v>0.54147945482723536</v>
      </c>
      <c r="AR230" s="117">
        <v>-1.711430665</v>
      </c>
      <c r="AS230" s="117">
        <v>0</v>
      </c>
      <c r="AT230" s="117">
        <v>0</v>
      </c>
      <c r="AU230" s="117">
        <v>-1.0098410369999999</v>
      </c>
      <c r="AV230" s="117">
        <v>-0.58523844400000002</v>
      </c>
      <c r="AW230" s="117">
        <v>-2.8690389E-2</v>
      </c>
      <c r="AX230" s="117">
        <v>0.490158963</v>
      </c>
      <c r="AY230" s="117">
        <v>0.99015896299999995</v>
      </c>
      <c r="AZ230" s="117">
        <v>0</v>
      </c>
      <c r="BA230" s="117">
        <v>0</v>
      </c>
      <c r="BB230" s="117">
        <v>1.488569335</v>
      </c>
      <c r="BC230" s="136" t="str">
        <f t="shared" si="113"/>
        <v>-1</v>
      </c>
      <c r="BD230" s="136" t="s">
        <v>178</v>
      </c>
      <c r="BE230" s="136" t="s">
        <v>518</v>
      </c>
      <c r="BF230" s="136" t="s">
        <v>385</v>
      </c>
      <c r="BG230" s="120" t="s">
        <v>678</v>
      </c>
      <c r="BH230" s="136" t="str">
        <f t="shared" si="128"/>
        <v>&lt;MTL</v>
      </c>
      <c r="BI230" s="136">
        <f t="shared" si="129"/>
        <v>-2.8690389E-2</v>
      </c>
      <c r="BJ230" s="136" t="str">
        <f t="shared" si="135"/>
        <v>Nil</v>
      </c>
      <c r="BK230" s="136">
        <f t="shared" si="136"/>
        <v>0.05</v>
      </c>
      <c r="BL230" s="136" t="s">
        <v>736</v>
      </c>
      <c r="BM230" s="136" t="s">
        <v>175</v>
      </c>
      <c r="BN230" s="136" t="s">
        <v>175</v>
      </c>
      <c r="BO230" s="136" t="s">
        <v>736</v>
      </c>
      <c r="BP230" s="137" t="s">
        <v>175</v>
      </c>
      <c r="BQ230" s="137" t="s">
        <v>175</v>
      </c>
      <c r="BR230" s="137" t="s">
        <v>175</v>
      </c>
      <c r="BS230" s="137" t="s">
        <v>175</v>
      </c>
      <c r="BT230" s="138">
        <f t="shared" si="114"/>
        <v>-3.371309611</v>
      </c>
      <c r="BU230" s="138">
        <f t="shared" si="115"/>
        <v>0.54378304497290098</v>
      </c>
      <c r="BV230" s="138">
        <f t="shared" si="116"/>
        <v>0.54378304497290098</v>
      </c>
      <c r="BW230" s="53" t="s">
        <v>175</v>
      </c>
      <c r="BX230" s="53" t="s">
        <v>175</v>
      </c>
      <c r="BY230" s="53" t="s">
        <v>175</v>
      </c>
      <c r="BZ230" s="53" t="s">
        <v>175</v>
      </c>
      <c r="CA230" s="147">
        <v>2</v>
      </c>
      <c r="CB230" s="54">
        <v>0</v>
      </c>
    </row>
    <row r="231" spans="1:82">
      <c r="A231" s="123" t="s">
        <v>422</v>
      </c>
      <c r="B231" s="124" t="s">
        <v>968</v>
      </c>
      <c r="C231" s="148" t="s">
        <v>674</v>
      </c>
      <c r="D231" s="126" t="s">
        <v>741</v>
      </c>
      <c r="E231" s="127">
        <v>22.5</v>
      </c>
      <c r="F231" s="127">
        <v>113</v>
      </c>
      <c r="G231" s="128" t="s">
        <v>168</v>
      </c>
      <c r="H231" s="129">
        <v>2900.6818647162499</v>
      </c>
      <c r="I231" s="129">
        <v>102.09332595228739</v>
      </c>
      <c r="J231" s="129">
        <v>2502</v>
      </c>
      <c r="K231" s="129">
        <v>299</v>
      </c>
      <c r="L231" s="129">
        <v>350</v>
      </c>
      <c r="M231" s="130" t="s">
        <v>412</v>
      </c>
      <c r="N231" s="130" t="s">
        <v>170</v>
      </c>
      <c r="O231" s="130" t="s">
        <v>423</v>
      </c>
      <c r="P231" s="130" t="s">
        <v>366</v>
      </c>
      <c r="Q231" s="130" t="s">
        <v>377</v>
      </c>
      <c r="R231" s="131">
        <v>2.5</v>
      </c>
      <c r="S231" s="131">
        <v>1.5</v>
      </c>
      <c r="T231" s="130">
        <v>1</v>
      </c>
      <c r="U231" s="132" t="s">
        <v>192</v>
      </c>
      <c r="V231" s="133">
        <v>0.1</v>
      </c>
      <c r="W231" s="132" t="s">
        <v>174</v>
      </c>
      <c r="X231" s="133">
        <v>0.1</v>
      </c>
      <c r="Y231" s="133">
        <v>0.05</v>
      </c>
      <c r="Z231" s="133">
        <v>0.01</v>
      </c>
      <c r="AA231" s="133">
        <v>0.15</v>
      </c>
      <c r="AB231" s="133">
        <f>0.02*R231</f>
        <v>0.05</v>
      </c>
      <c r="AC231" s="134">
        <v>0</v>
      </c>
      <c r="AD231" s="134">
        <v>0</v>
      </c>
      <c r="AE231" s="134">
        <v>0.5</v>
      </c>
      <c r="AF231" s="134">
        <v>0</v>
      </c>
      <c r="AG231" s="134">
        <v>0.1</v>
      </c>
      <c r="AH231" s="134">
        <v>0</v>
      </c>
      <c r="AI231" s="134">
        <v>0</v>
      </c>
      <c r="AJ231" s="134">
        <v>0</v>
      </c>
      <c r="AK231" s="134" t="s">
        <v>175</v>
      </c>
      <c r="AL231" s="122" t="s">
        <v>175</v>
      </c>
      <c r="AM231" s="122">
        <v>-1.5</v>
      </c>
      <c r="AN231" s="134" t="s">
        <v>176</v>
      </c>
      <c r="AO231" s="134" t="s">
        <v>177</v>
      </c>
      <c r="AP231" s="135">
        <f t="shared" si="117"/>
        <v>0.53628350711167694</v>
      </c>
      <c r="AQ231" s="135">
        <f t="shared" si="111"/>
        <v>0.53628350711167694</v>
      </c>
      <c r="AR231" s="117">
        <v>-1.711430665</v>
      </c>
      <c r="AS231" s="117">
        <v>0</v>
      </c>
      <c r="AT231" s="117">
        <v>0</v>
      </c>
      <c r="AU231" s="117">
        <v>-1.0098410369999999</v>
      </c>
      <c r="AV231" s="117">
        <v>-0.58523844400000002</v>
      </c>
      <c r="AW231" s="117">
        <v>-2.8690389E-2</v>
      </c>
      <c r="AX231" s="117">
        <v>0.490158963</v>
      </c>
      <c r="AY231" s="117">
        <v>0.99015896299999995</v>
      </c>
      <c r="AZ231" s="117">
        <v>0</v>
      </c>
      <c r="BA231" s="117">
        <v>0</v>
      </c>
      <c r="BB231" s="117">
        <v>1.488569335</v>
      </c>
      <c r="BC231" s="136" t="str">
        <f t="shared" si="113"/>
        <v>-1</v>
      </c>
      <c r="BD231" s="136" t="s">
        <v>178</v>
      </c>
      <c r="BE231" s="136" t="s">
        <v>518</v>
      </c>
      <c r="BF231" s="136" t="s">
        <v>292</v>
      </c>
      <c r="BG231" s="120" t="s">
        <v>678</v>
      </c>
      <c r="BH231" s="136" t="str">
        <f t="shared" si="128"/>
        <v>&lt;MTL</v>
      </c>
      <c r="BI231" s="136">
        <f t="shared" si="129"/>
        <v>-2.8690389E-2</v>
      </c>
      <c r="BJ231" s="136" t="str">
        <f t="shared" si="135"/>
        <v>Nil</v>
      </c>
      <c r="BK231" s="136">
        <f t="shared" si="136"/>
        <v>0.05</v>
      </c>
      <c r="BL231" s="136" t="s">
        <v>736</v>
      </c>
      <c r="BM231" s="136" t="s">
        <v>175</v>
      </c>
      <c r="BN231" s="136" t="s">
        <v>175</v>
      </c>
      <c r="BO231" s="136" t="s">
        <v>736</v>
      </c>
      <c r="BP231" s="137" t="s">
        <v>175</v>
      </c>
      <c r="BQ231" s="137" t="s">
        <v>175</v>
      </c>
      <c r="BR231" s="137" t="s">
        <v>175</v>
      </c>
      <c r="BS231" s="137" t="s">
        <v>175</v>
      </c>
      <c r="BT231" s="138">
        <f t="shared" si="114"/>
        <v>-1.4713096109999999</v>
      </c>
      <c r="BU231" s="138">
        <f t="shared" si="115"/>
        <v>0.53860932037980924</v>
      </c>
      <c r="BV231" s="138">
        <f t="shared" si="116"/>
        <v>0.53860932037980924</v>
      </c>
      <c r="BW231" s="53" t="s">
        <v>175</v>
      </c>
      <c r="BX231" s="53" t="s">
        <v>175</v>
      </c>
      <c r="BY231" s="53" t="s">
        <v>175</v>
      </c>
      <c r="BZ231" s="53" t="s">
        <v>175</v>
      </c>
      <c r="CA231" s="147">
        <v>2</v>
      </c>
      <c r="CB231" s="54">
        <v>0</v>
      </c>
    </row>
    <row r="232" spans="1:82">
      <c r="A232" s="123" t="s">
        <v>445</v>
      </c>
      <c r="B232" s="124" t="s">
        <v>974</v>
      </c>
      <c r="C232" s="148" t="s">
        <v>674</v>
      </c>
      <c r="D232" s="126" t="s">
        <v>741</v>
      </c>
      <c r="E232" s="127">
        <v>22.5</v>
      </c>
      <c r="F232" s="127">
        <v>113</v>
      </c>
      <c r="G232" s="128" t="s">
        <v>168</v>
      </c>
      <c r="H232" s="145">
        <v>3701.2776368064251</v>
      </c>
      <c r="I232" s="162">
        <v>110.42156441637657</v>
      </c>
      <c r="J232" s="129">
        <v>4050</v>
      </c>
      <c r="K232" s="129">
        <v>356</v>
      </c>
      <c r="L232" s="129">
        <v>324</v>
      </c>
      <c r="M232" s="149" t="s">
        <v>517</v>
      </c>
      <c r="N232" s="146" t="s">
        <v>569</v>
      </c>
      <c r="O232" s="130" t="s">
        <v>175</v>
      </c>
      <c r="P232" s="130" t="s">
        <v>175</v>
      </c>
      <c r="Q232" s="130" t="s">
        <v>377</v>
      </c>
      <c r="R232" s="131" t="s">
        <v>175</v>
      </c>
      <c r="S232" s="131" t="s">
        <v>175</v>
      </c>
      <c r="T232" s="130">
        <v>1</v>
      </c>
      <c r="U232" s="132" t="s">
        <v>173</v>
      </c>
      <c r="V232" s="133">
        <v>0.1</v>
      </c>
      <c r="W232" s="132" t="s">
        <v>174</v>
      </c>
      <c r="X232" s="133">
        <v>0.1</v>
      </c>
      <c r="Y232" s="133">
        <v>0.05</v>
      </c>
      <c r="Z232" s="133">
        <v>0.01</v>
      </c>
      <c r="AA232" s="133">
        <v>0.15</v>
      </c>
      <c r="AB232" s="133">
        <v>0.2</v>
      </c>
      <c r="AC232" s="134">
        <v>0</v>
      </c>
      <c r="AD232" s="134">
        <v>0</v>
      </c>
      <c r="AE232" s="134">
        <v>0.5</v>
      </c>
      <c r="AF232" s="134">
        <v>0</v>
      </c>
      <c r="AG232" s="134">
        <v>0.1</v>
      </c>
      <c r="AH232" s="134">
        <v>0</v>
      </c>
      <c r="AI232" s="134">
        <v>0</v>
      </c>
      <c r="AJ232" s="134">
        <v>0</v>
      </c>
      <c r="AK232" s="134" t="s">
        <v>175</v>
      </c>
      <c r="AL232" s="122" t="s">
        <v>175</v>
      </c>
      <c r="AM232" s="122">
        <v>0.1</v>
      </c>
      <c r="AN232" s="134" t="s">
        <v>176</v>
      </c>
      <c r="AO232" s="122" t="s">
        <v>177</v>
      </c>
      <c r="AP232" s="135">
        <f t="shared" si="117"/>
        <v>0.57017541160593732</v>
      </c>
      <c r="AQ232" s="135">
        <f t="shared" si="111"/>
        <v>0.57017541160593732</v>
      </c>
      <c r="AR232" s="117">
        <v>-1.711430665</v>
      </c>
      <c r="AS232" s="117">
        <v>0</v>
      </c>
      <c r="AT232" s="117">
        <v>0</v>
      </c>
      <c r="AU232" s="117">
        <v>-1.0098410369999999</v>
      </c>
      <c r="AV232" s="117">
        <v>-0.58523844400000002</v>
      </c>
      <c r="AW232" s="117">
        <v>-2.8690389E-2</v>
      </c>
      <c r="AX232" s="117">
        <v>0.490158963</v>
      </c>
      <c r="AY232" s="117">
        <v>0.99015896299999995</v>
      </c>
      <c r="AZ232" s="117">
        <v>0</v>
      </c>
      <c r="BA232" s="117">
        <v>0</v>
      </c>
      <c r="BB232" s="117">
        <v>1.6940931880000001</v>
      </c>
      <c r="BC232" s="136" t="str">
        <f t="shared" si="113"/>
        <v>0</v>
      </c>
      <c r="BD232" s="136" t="s">
        <v>178</v>
      </c>
      <c r="BE232" s="136" t="s">
        <v>691</v>
      </c>
      <c r="BF232" s="136" t="s">
        <v>666</v>
      </c>
      <c r="BG232" s="120" t="s">
        <v>663</v>
      </c>
      <c r="BH232" s="136" t="str">
        <f t="shared" si="128"/>
        <v>HAT-MTL</v>
      </c>
      <c r="BI232" s="136">
        <f t="shared" si="129"/>
        <v>0.83270139949999999</v>
      </c>
      <c r="BJ232" s="136">
        <f t="shared" si="135"/>
        <v>0.86139178850000009</v>
      </c>
      <c r="BK232" s="136">
        <f t="shared" si="136"/>
        <v>0.09</v>
      </c>
      <c r="BL232" s="136">
        <v>0.1376738495658747</v>
      </c>
      <c r="BM232" s="136" t="s">
        <v>175</v>
      </c>
      <c r="BN232" s="136" t="s">
        <v>175</v>
      </c>
      <c r="BO232" s="136">
        <v>0.35321123328750348</v>
      </c>
      <c r="BP232" s="137" t="s">
        <v>175</v>
      </c>
      <c r="BQ232" s="137" t="s">
        <v>175</v>
      </c>
      <c r="BR232" s="137" t="s">
        <v>175</v>
      </c>
      <c r="BS232" s="137" t="s">
        <v>175</v>
      </c>
      <c r="BT232" s="138">
        <f t="shared" si="114"/>
        <v>-0.73270139950000002</v>
      </c>
      <c r="BU232" s="138">
        <f t="shared" si="115"/>
        <v>1.1040417009651382</v>
      </c>
      <c r="BV232" s="138">
        <f t="shared" si="116"/>
        <v>1.1040417009651382</v>
      </c>
      <c r="BW232" s="53" t="s">
        <v>175</v>
      </c>
      <c r="BX232" s="53" t="s">
        <v>175</v>
      </c>
      <c r="BY232" s="53" t="s">
        <v>175</v>
      </c>
      <c r="BZ232" s="53" t="s">
        <v>175</v>
      </c>
      <c r="CA232" s="147">
        <v>2</v>
      </c>
      <c r="CB232" s="54">
        <v>0</v>
      </c>
    </row>
    <row r="233" spans="1:82" ht="17" customHeight="1">
      <c r="A233" s="123" t="s">
        <v>628</v>
      </c>
      <c r="B233" s="124" t="s">
        <v>731</v>
      </c>
      <c r="C233" s="125" t="s">
        <v>675</v>
      </c>
      <c r="D233" s="126" t="s">
        <v>741</v>
      </c>
      <c r="E233" s="127">
        <v>22.079379871586902</v>
      </c>
      <c r="F233" s="127">
        <v>112.963495068119</v>
      </c>
      <c r="G233" s="128" t="s">
        <v>168</v>
      </c>
      <c r="H233" s="145">
        <v>8483.5135952695546</v>
      </c>
      <c r="I233" s="145">
        <v>189.81507120418547</v>
      </c>
      <c r="J233" s="129">
        <v>9469</v>
      </c>
      <c r="K233" s="129">
        <v>651</v>
      </c>
      <c r="L233" s="129">
        <v>462</v>
      </c>
      <c r="M233" s="149" t="s">
        <v>728</v>
      </c>
      <c r="N233" s="149" t="s">
        <v>729</v>
      </c>
      <c r="O233" s="130" t="s">
        <v>175</v>
      </c>
      <c r="P233" s="130" t="s">
        <v>175</v>
      </c>
      <c r="Q233" s="130" t="s">
        <v>377</v>
      </c>
      <c r="R233" s="131" t="s">
        <v>175</v>
      </c>
      <c r="S233" s="131" t="s">
        <v>175</v>
      </c>
      <c r="T233" s="130">
        <v>1</v>
      </c>
      <c r="U233" s="132" t="s">
        <v>173</v>
      </c>
      <c r="V233" s="133">
        <v>0.1</v>
      </c>
      <c r="W233" s="132" t="s">
        <v>174</v>
      </c>
      <c r="X233" s="133">
        <v>0.1</v>
      </c>
      <c r="Y233" s="133">
        <v>0.02</v>
      </c>
      <c r="Z233" s="133">
        <v>0.01</v>
      </c>
      <c r="AA233" s="133">
        <v>0.15</v>
      </c>
      <c r="AB233" s="133">
        <v>0.2</v>
      </c>
      <c r="AC233" s="134">
        <v>0</v>
      </c>
      <c r="AD233" s="134">
        <v>0</v>
      </c>
      <c r="AE233" s="134">
        <v>0.5</v>
      </c>
      <c r="AF233" s="134">
        <v>0</v>
      </c>
      <c r="AG233" s="134">
        <v>0.1</v>
      </c>
      <c r="AH233" s="134">
        <v>0</v>
      </c>
      <c r="AI233" s="134">
        <v>0</v>
      </c>
      <c r="AJ233" s="134">
        <v>0</v>
      </c>
      <c r="AK233" s="134" t="s">
        <v>175</v>
      </c>
      <c r="AL233" s="122" t="s">
        <v>175</v>
      </c>
      <c r="AM233" s="122">
        <v>-12.5</v>
      </c>
      <c r="AN233" s="134" t="s">
        <v>176</v>
      </c>
      <c r="AO233" s="122" t="s">
        <v>177</v>
      </c>
      <c r="AP233" s="135">
        <f t="shared" si="117"/>
        <v>0.56833088953531286</v>
      </c>
      <c r="AQ233" s="135">
        <f t="shared" si="111"/>
        <v>0.56833088953531286</v>
      </c>
      <c r="AR233" s="117">
        <v>-2.5535819900000001</v>
      </c>
      <c r="AS233" s="117">
        <v>0</v>
      </c>
      <c r="AT233" s="117">
        <v>0</v>
      </c>
      <c r="AU233" s="117">
        <v>-1.1267909949999999</v>
      </c>
      <c r="AV233" s="117">
        <v>-0.663395497</v>
      </c>
      <c r="AW233" s="117">
        <v>-3.7499999999999999E-2</v>
      </c>
      <c r="AX233" s="117">
        <v>0.51339549699999998</v>
      </c>
      <c r="AY233" s="117">
        <v>1.1267909949999999</v>
      </c>
      <c r="AZ233" s="117">
        <v>0</v>
      </c>
      <c r="BA233" s="117">
        <v>0</v>
      </c>
      <c r="BB233" s="117">
        <v>2.3469479469999999</v>
      </c>
      <c r="BC233" s="136" t="str">
        <f t="shared" si="113"/>
        <v>-1</v>
      </c>
      <c r="BD233" s="136" t="s">
        <v>178</v>
      </c>
      <c r="BE233" s="136" t="s">
        <v>702</v>
      </c>
      <c r="BF233" s="136" t="s">
        <v>703</v>
      </c>
      <c r="BG233" s="120" t="s">
        <v>678</v>
      </c>
      <c r="BH233" s="136" t="str">
        <f t="shared" si="128"/>
        <v>&lt;MTL</v>
      </c>
      <c r="BI233" s="136">
        <f t="shared" si="129"/>
        <v>-3.7499999999999999E-2</v>
      </c>
      <c r="BJ233" s="136" t="str">
        <f t="shared" si="135"/>
        <v>Nil</v>
      </c>
      <c r="BK233" s="136">
        <f t="shared" si="136"/>
        <v>0.05</v>
      </c>
      <c r="BL233" s="136" t="s">
        <v>736</v>
      </c>
      <c r="BM233" s="136" t="s">
        <v>175</v>
      </c>
      <c r="BN233" s="136" t="s">
        <v>175</v>
      </c>
      <c r="BO233" s="136" t="s">
        <v>736</v>
      </c>
      <c r="BP233" s="137" t="s">
        <v>175</v>
      </c>
      <c r="BQ233" s="137" t="s">
        <v>175</v>
      </c>
      <c r="BR233" s="137" t="s">
        <v>175</v>
      </c>
      <c r="BS233" s="137" t="s">
        <v>175</v>
      </c>
      <c r="BT233" s="138">
        <f t="shared" si="114"/>
        <v>-12.4625</v>
      </c>
      <c r="BU233" s="138">
        <f t="shared" si="115"/>
        <v>0.57052607302383651</v>
      </c>
      <c r="BV233" s="138">
        <f t="shared" si="116"/>
        <v>0.57052607302383651</v>
      </c>
      <c r="BW233" s="53" t="s">
        <v>175</v>
      </c>
      <c r="BX233" s="53" t="s">
        <v>175</v>
      </c>
      <c r="BY233" s="53" t="s">
        <v>175</v>
      </c>
      <c r="BZ233" s="53" t="s">
        <v>175</v>
      </c>
      <c r="CA233" s="147">
        <v>2</v>
      </c>
      <c r="CB233" s="54">
        <v>0</v>
      </c>
    </row>
    <row r="234" spans="1:82">
      <c r="A234" s="123" t="s">
        <v>411</v>
      </c>
      <c r="B234" s="124" t="s">
        <v>966</v>
      </c>
      <c r="C234" s="148" t="s">
        <v>674</v>
      </c>
      <c r="D234" s="125" t="s">
        <v>743</v>
      </c>
      <c r="E234" s="127">
        <v>23.116666666666699</v>
      </c>
      <c r="F234" s="127">
        <v>113.26666666666701</v>
      </c>
      <c r="G234" s="128" t="s">
        <v>168</v>
      </c>
      <c r="H234" s="129">
        <v>2710.6818647162486</v>
      </c>
      <c r="I234" s="129">
        <v>97.714109544118543</v>
      </c>
      <c r="J234" s="129">
        <v>2261</v>
      </c>
      <c r="K234" s="129">
        <v>366</v>
      </c>
      <c r="L234" s="129">
        <v>331</v>
      </c>
      <c r="M234" s="130" t="s">
        <v>412</v>
      </c>
      <c r="N234" s="130" t="s">
        <v>339</v>
      </c>
      <c r="O234" s="130" t="s">
        <v>413</v>
      </c>
      <c r="P234" s="130" t="s">
        <v>414</v>
      </c>
      <c r="Q234" s="130" t="s">
        <v>377</v>
      </c>
      <c r="R234" s="131">
        <v>5</v>
      </c>
      <c r="S234" s="131">
        <v>3.5</v>
      </c>
      <c r="T234" s="130">
        <v>1</v>
      </c>
      <c r="U234" s="132" t="s">
        <v>173</v>
      </c>
      <c r="V234" s="133">
        <v>0.1</v>
      </c>
      <c r="W234" s="132" t="s">
        <v>174</v>
      </c>
      <c r="X234" s="133">
        <v>0.1</v>
      </c>
      <c r="Y234" s="133">
        <v>0.02</v>
      </c>
      <c r="Z234" s="133">
        <v>0.01</v>
      </c>
      <c r="AA234" s="133">
        <v>0.15</v>
      </c>
      <c r="AB234" s="133">
        <f>0.02*R234</f>
        <v>0.1</v>
      </c>
      <c r="AC234" s="134">
        <v>0</v>
      </c>
      <c r="AD234" s="134">
        <v>0</v>
      </c>
      <c r="AE234" s="134">
        <v>0.5</v>
      </c>
      <c r="AF234" s="134">
        <v>0</v>
      </c>
      <c r="AG234" s="134">
        <v>0.1</v>
      </c>
      <c r="AH234" s="134">
        <v>0</v>
      </c>
      <c r="AI234" s="134">
        <v>0</v>
      </c>
      <c r="AJ234" s="134">
        <v>0</v>
      </c>
      <c r="AK234" s="134" t="s">
        <v>175</v>
      </c>
      <c r="AL234" s="122" t="s">
        <v>175</v>
      </c>
      <c r="AM234" s="122">
        <v>-5</v>
      </c>
      <c r="AN234" s="134" t="s">
        <v>176</v>
      </c>
      <c r="AO234" s="134" t="s">
        <v>177</v>
      </c>
      <c r="AP234" s="135">
        <f t="shared" si="117"/>
        <v>0.54129474410897438</v>
      </c>
      <c r="AQ234" s="135">
        <f t="shared" si="111"/>
        <v>0.54129474410897438</v>
      </c>
      <c r="AR234" s="117">
        <v>-1.3624963539999999</v>
      </c>
      <c r="AS234" s="117">
        <v>0</v>
      </c>
      <c r="AT234" s="117">
        <v>0</v>
      </c>
      <c r="AU234" s="117">
        <v>-0.77701012999999997</v>
      </c>
      <c r="AV234" s="117">
        <v>-0.55523946499999999</v>
      </c>
      <c r="AW234" s="117">
        <v>-9.5754659999999995E-3</v>
      </c>
      <c r="AX234" s="117">
        <v>0.51290275500000004</v>
      </c>
      <c r="AY234" s="117">
        <v>0.781044976</v>
      </c>
      <c r="AZ234" s="117">
        <v>0</v>
      </c>
      <c r="BA234" s="117">
        <v>0</v>
      </c>
      <c r="BB234" s="117">
        <v>1.488569335</v>
      </c>
      <c r="BC234" s="136" t="str">
        <f t="shared" si="113"/>
        <v xml:space="preserve">-1 </v>
      </c>
      <c r="BD234" s="136" t="s">
        <v>178</v>
      </c>
      <c r="BE234" s="136" t="s">
        <v>689</v>
      </c>
      <c r="BF234" s="136" t="s">
        <v>292</v>
      </c>
      <c r="BG234" s="120" t="s">
        <v>665</v>
      </c>
      <c r="BH234" s="136" t="str">
        <f t="shared" si="128"/>
        <v>&lt;HAT</v>
      </c>
      <c r="BI234" s="136">
        <f t="shared" si="129"/>
        <v>1.488569335</v>
      </c>
      <c r="BJ234" s="136" t="str">
        <f t="shared" si="135"/>
        <v>Nil</v>
      </c>
      <c r="BK234" s="136">
        <f t="shared" si="136"/>
        <v>0.18</v>
      </c>
      <c r="BL234" s="136" t="s">
        <v>736</v>
      </c>
      <c r="BM234" s="136" t="s">
        <v>175</v>
      </c>
      <c r="BN234" s="136" t="s">
        <v>175</v>
      </c>
      <c r="BO234" s="136" t="s">
        <v>736</v>
      </c>
      <c r="BP234" s="137" t="s">
        <v>175</v>
      </c>
      <c r="BQ234" s="137" t="s">
        <v>175</v>
      </c>
      <c r="BR234" s="137" t="s">
        <v>175</v>
      </c>
      <c r="BS234" s="137" t="s">
        <v>175</v>
      </c>
      <c r="BT234" s="138">
        <f t="shared" si="114"/>
        <v>-6.4885693350000002</v>
      </c>
      <c r="BU234" s="138">
        <f t="shared" si="115"/>
        <v>0.57043842787806642</v>
      </c>
      <c r="BV234" s="138">
        <f t="shared" si="116"/>
        <v>0.57043842787806642</v>
      </c>
      <c r="BW234" s="53" t="s">
        <v>175</v>
      </c>
      <c r="BX234" s="53" t="s">
        <v>175</v>
      </c>
      <c r="BY234" s="53" t="s">
        <v>175</v>
      </c>
      <c r="BZ234" s="53" t="s">
        <v>175</v>
      </c>
      <c r="CA234" s="147">
        <v>1</v>
      </c>
      <c r="CB234" s="54">
        <v>0</v>
      </c>
    </row>
    <row r="235" spans="1:82">
      <c r="A235" s="123" t="s">
        <v>401</v>
      </c>
      <c r="B235" s="124" t="s">
        <v>972</v>
      </c>
      <c r="C235" s="148" t="s">
        <v>674</v>
      </c>
      <c r="D235" s="125" t="s">
        <v>743</v>
      </c>
      <c r="E235" s="127">
        <v>23.116666666666667</v>
      </c>
      <c r="F235" s="127">
        <v>113.26666666666667</v>
      </c>
      <c r="G235" s="128" t="s">
        <v>168</v>
      </c>
      <c r="H235" s="129">
        <v>2510.6818647162486</v>
      </c>
      <c r="I235" s="129">
        <v>102.09332595228739</v>
      </c>
      <c r="J235" s="129">
        <v>2013</v>
      </c>
      <c r="K235" s="129">
        <v>326</v>
      </c>
      <c r="L235" s="129">
        <v>326</v>
      </c>
      <c r="M235" s="130" t="s">
        <v>403</v>
      </c>
      <c r="N235" s="130" t="s">
        <v>339</v>
      </c>
      <c r="O235" s="130" t="s">
        <v>175</v>
      </c>
      <c r="P235" s="130" t="s">
        <v>175</v>
      </c>
      <c r="Q235" s="130" t="s">
        <v>377</v>
      </c>
      <c r="R235" s="131">
        <v>2.6</v>
      </c>
      <c r="S235" s="131">
        <v>18</v>
      </c>
      <c r="T235" s="130">
        <v>1</v>
      </c>
      <c r="U235" s="132" t="s">
        <v>173</v>
      </c>
      <c r="V235" s="133">
        <v>0.1</v>
      </c>
      <c r="W235" s="132" t="s">
        <v>174</v>
      </c>
      <c r="X235" s="133">
        <v>0.1</v>
      </c>
      <c r="Y235" s="133">
        <v>0.02</v>
      </c>
      <c r="Z235" s="133">
        <v>0.01</v>
      </c>
      <c r="AA235" s="133">
        <v>0.15</v>
      </c>
      <c r="AB235" s="133">
        <f>0.02*R235</f>
        <v>5.2000000000000005E-2</v>
      </c>
      <c r="AC235" s="134">
        <v>0</v>
      </c>
      <c r="AD235" s="134">
        <v>0</v>
      </c>
      <c r="AE235" s="134">
        <v>0.5</v>
      </c>
      <c r="AF235" s="134">
        <v>0</v>
      </c>
      <c r="AG235" s="134">
        <v>0.1</v>
      </c>
      <c r="AH235" s="134">
        <v>0</v>
      </c>
      <c r="AI235" s="134">
        <v>0</v>
      </c>
      <c r="AJ235" s="134">
        <v>0</v>
      </c>
      <c r="AK235" s="134" t="s">
        <v>175</v>
      </c>
      <c r="AL235" s="122" t="s">
        <v>175</v>
      </c>
      <c r="AM235" s="122">
        <v>0.08</v>
      </c>
      <c r="AN235" s="134" t="s">
        <v>176</v>
      </c>
      <c r="AO235" s="122" t="s">
        <v>177</v>
      </c>
      <c r="AP235" s="135">
        <f t="shared" si="117"/>
        <v>0.53451286233354578</v>
      </c>
      <c r="AQ235" s="135">
        <f t="shared" ref="AQ235:AQ288" si="137">SQRT(SUMSQ(IF(OR(Y235="nd",Y235="nd"),0,Y235),IF(OR(Z235="nd",Z235="nd"),0,Z235),IF(OR(AA235="nd",AA235="nd"),0,AA235),IF(OR(AB235="nd",AB235="nd"),0,AB235),IF(OR(AC235="nd",AC235="nd"),0,AC235),IF(OR(AD235="nd",AD235="nd"),0,AD235),IF(OR(AE235="nd",AE235="nd"),0,AE235),IF(OR(AF235="nd",AF235="nd"),0,AF235),IF(OR(AG235="nd",AG235="nd"),0,AG235),IF(OR(AH235="nd",AH235="nd"),0,AH235),IF(OR(AI235="nd",AI235="nd"),0,AI235),IF(OR(AJ235="nd",AJ235="nd"),0,AJ235)))</f>
        <v>0.53451286233354578</v>
      </c>
      <c r="AR235" s="117">
        <v>-1.3624963539999999</v>
      </c>
      <c r="AS235" s="117">
        <v>0</v>
      </c>
      <c r="AT235" s="117">
        <v>0</v>
      </c>
      <c r="AU235" s="117">
        <v>-0.77701012999999997</v>
      </c>
      <c r="AV235" s="117">
        <v>-0.55523946499999999</v>
      </c>
      <c r="AW235" s="117">
        <v>-9.5754659999999995E-3</v>
      </c>
      <c r="AX235" s="117">
        <v>0.51290275500000004</v>
      </c>
      <c r="AY235" s="117">
        <v>0.781044976</v>
      </c>
      <c r="AZ235" s="117">
        <v>0</v>
      </c>
      <c r="BA235" s="117">
        <v>0</v>
      </c>
      <c r="BB235" s="117">
        <v>1.684779888</v>
      </c>
      <c r="BC235" s="136" t="str">
        <f t="shared" si="113"/>
        <v xml:space="preserve">-1 </v>
      </c>
      <c r="BD235" s="136" t="s">
        <v>178</v>
      </c>
      <c r="BE235" s="136" t="s">
        <v>689</v>
      </c>
      <c r="BF235" s="136" t="s">
        <v>666</v>
      </c>
      <c r="BG235" s="120" t="s">
        <v>665</v>
      </c>
      <c r="BH235" s="136" t="str">
        <f t="shared" si="128"/>
        <v>&lt;HAT</v>
      </c>
      <c r="BI235" s="136">
        <f t="shared" si="129"/>
        <v>1.684779888</v>
      </c>
      <c r="BJ235" s="136" t="str">
        <f t="shared" si="135"/>
        <v>Nil</v>
      </c>
      <c r="BK235" s="136">
        <f t="shared" si="136"/>
        <v>0.18</v>
      </c>
      <c r="BL235" s="136" t="s">
        <v>736</v>
      </c>
      <c r="BM235" s="136" t="s">
        <v>175</v>
      </c>
      <c r="BN235" s="136" t="s">
        <v>175</v>
      </c>
      <c r="BO235" s="136" t="s">
        <v>736</v>
      </c>
      <c r="BP235" s="137" t="s">
        <v>175</v>
      </c>
      <c r="BQ235" s="137" t="s">
        <v>175</v>
      </c>
      <c r="BR235" s="137" t="s">
        <v>175</v>
      </c>
      <c r="BS235" s="137" t="s">
        <v>175</v>
      </c>
      <c r="BT235" s="138">
        <f t="shared" si="114"/>
        <v>-1.6047798879999999</v>
      </c>
      <c r="BU235" s="138">
        <f t="shared" si="115"/>
        <v>0.56400709215399059</v>
      </c>
      <c r="BV235" s="138">
        <f t="shared" si="116"/>
        <v>0.56400709215399059</v>
      </c>
      <c r="BW235" s="53" t="s">
        <v>175</v>
      </c>
      <c r="BX235" s="53" t="s">
        <v>175</v>
      </c>
      <c r="BY235" s="53" t="s">
        <v>175</v>
      </c>
      <c r="BZ235" s="53" t="s">
        <v>175</v>
      </c>
      <c r="CA235" s="147">
        <v>2</v>
      </c>
      <c r="CB235" s="54">
        <v>0</v>
      </c>
      <c r="CD235" s="54" t="s">
        <v>997</v>
      </c>
    </row>
    <row r="236" spans="1:82">
      <c r="A236" s="123" t="s">
        <v>581</v>
      </c>
      <c r="B236" s="124" t="s">
        <v>561</v>
      </c>
      <c r="C236" s="148" t="s">
        <v>674</v>
      </c>
      <c r="D236" s="126" t="s">
        <v>743</v>
      </c>
      <c r="E236" s="127">
        <v>23.100999999999999</v>
      </c>
      <c r="F236" s="127">
        <v>113.2339722</v>
      </c>
      <c r="G236" s="128" t="s">
        <v>168</v>
      </c>
      <c r="H236" s="145">
        <v>2455</v>
      </c>
      <c r="I236" s="145">
        <v>103.84603988597736</v>
      </c>
      <c r="J236" s="129">
        <v>2534</v>
      </c>
      <c r="K236" s="129">
        <v>223</v>
      </c>
      <c r="L236" s="129">
        <v>221</v>
      </c>
      <c r="M236" s="149" t="s">
        <v>582</v>
      </c>
      <c r="N236" s="149" t="s">
        <v>735</v>
      </c>
      <c r="O236" s="149" t="s">
        <v>562</v>
      </c>
      <c r="P236" s="149" t="s">
        <v>583</v>
      </c>
      <c r="Q236" s="130" t="s">
        <v>172</v>
      </c>
      <c r="R236" s="131">
        <v>5</v>
      </c>
      <c r="S236" s="131" t="s">
        <v>175</v>
      </c>
      <c r="T236" s="130">
        <v>1</v>
      </c>
      <c r="U236" s="132" t="s">
        <v>173</v>
      </c>
      <c r="V236" s="133">
        <v>0.05</v>
      </c>
      <c r="W236" s="132" t="s">
        <v>174</v>
      </c>
      <c r="X236" s="133">
        <v>0.05</v>
      </c>
      <c r="Y236" s="133">
        <v>2.5000000000000001E-2</v>
      </c>
      <c r="Z236" s="133">
        <v>0.01</v>
      </c>
      <c r="AA236" s="133">
        <v>0.15</v>
      </c>
      <c r="AB236" s="133">
        <f>0.02*R236</f>
        <v>0.1</v>
      </c>
      <c r="AC236" s="134">
        <v>0</v>
      </c>
      <c r="AD236" s="134">
        <v>0</v>
      </c>
      <c r="AE236" s="134">
        <v>0.5</v>
      </c>
      <c r="AF236" s="134">
        <v>0</v>
      </c>
      <c r="AG236" s="134">
        <v>0.1</v>
      </c>
      <c r="AH236" s="134">
        <v>0</v>
      </c>
      <c r="AI236" s="134">
        <v>0</v>
      </c>
      <c r="AJ236" s="134">
        <v>0</v>
      </c>
      <c r="AK236" s="134" t="s">
        <v>175</v>
      </c>
      <c r="AL236" s="122" t="s">
        <v>175</v>
      </c>
      <c r="AM236" s="122">
        <f>3.5-5</f>
        <v>-1.5</v>
      </c>
      <c r="AN236" s="134" t="s">
        <v>176</v>
      </c>
      <c r="AO236" s="122" t="s">
        <v>177</v>
      </c>
      <c r="AP236" s="135">
        <f t="shared" si="117"/>
        <v>0.5415025392368904</v>
      </c>
      <c r="AQ236" s="135">
        <f t="shared" si="137"/>
        <v>0.5415025392368904</v>
      </c>
      <c r="AR236" s="117">
        <v>-1.349106981</v>
      </c>
      <c r="AS236" s="117">
        <v>0</v>
      </c>
      <c r="AT236" s="117">
        <v>0</v>
      </c>
      <c r="AU236" s="117">
        <v>-0.754982453</v>
      </c>
      <c r="AV236" s="117">
        <v>-0.54616924499999997</v>
      </c>
      <c r="AW236" s="117">
        <v>-5.3642919999999997E-3</v>
      </c>
      <c r="AX236" s="117">
        <v>0.51117509400000005</v>
      </c>
      <c r="AY236" s="117">
        <v>0.768519434</v>
      </c>
      <c r="AZ236" s="117">
        <v>0</v>
      </c>
      <c r="BA236" s="117">
        <v>0</v>
      </c>
      <c r="BB236" s="117">
        <v>2.3426917660000002</v>
      </c>
      <c r="BC236" s="136" t="str">
        <f t="shared" si="113"/>
        <v xml:space="preserve">-1 </v>
      </c>
      <c r="BD236" s="136" t="s">
        <v>178</v>
      </c>
      <c r="BE236" s="136" t="s">
        <v>694</v>
      </c>
      <c r="BF236" s="136" t="s">
        <v>926</v>
      </c>
      <c r="BG236" s="120" t="s">
        <v>665</v>
      </c>
      <c r="BH236" s="136" t="str">
        <f t="shared" si="128"/>
        <v>&lt;HAT</v>
      </c>
      <c r="BI236" s="136">
        <f t="shared" si="129"/>
        <v>2.3426917660000002</v>
      </c>
      <c r="BJ236" s="136" t="str">
        <f t="shared" si="135"/>
        <v>Nil</v>
      </c>
      <c r="BK236" s="136">
        <f t="shared" si="136"/>
        <v>0.18</v>
      </c>
      <c r="BL236" s="136" t="s">
        <v>736</v>
      </c>
      <c r="BM236" s="136" t="s">
        <v>175</v>
      </c>
      <c r="BN236" s="136" t="s">
        <v>175</v>
      </c>
      <c r="BO236" s="136" t="s">
        <v>736</v>
      </c>
      <c r="BP236" s="137" t="s">
        <v>175</v>
      </c>
      <c r="BQ236" s="137" t="s">
        <v>175</v>
      </c>
      <c r="BR236" s="137" t="s">
        <v>175</v>
      </c>
      <c r="BS236" s="137" t="s">
        <v>175</v>
      </c>
      <c r="BT236" s="138">
        <f t="shared" si="114"/>
        <v>-3.8426917660000002</v>
      </c>
      <c r="BU236" s="138">
        <f t="shared" si="115"/>
        <v>0.57063561052566636</v>
      </c>
      <c r="BV236" s="138">
        <f t="shared" si="116"/>
        <v>0.57063561052566636</v>
      </c>
      <c r="BW236" s="53" t="s">
        <v>175</v>
      </c>
      <c r="BX236" s="53" t="s">
        <v>175</v>
      </c>
      <c r="BY236" s="53" t="s">
        <v>175</v>
      </c>
      <c r="BZ236" s="53" t="s">
        <v>175</v>
      </c>
      <c r="CA236" s="147">
        <v>1</v>
      </c>
      <c r="CB236" s="54">
        <v>0</v>
      </c>
    </row>
    <row r="237" spans="1:82">
      <c r="A237" s="123" t="s">
        <v>584</v>
      </c>
      <c r="B237" s="124" t="s">
        <v>561</v>
      </c>
      <c r="C237" s="148" t="s">
        <v>674</v>
      </c>
      <c r="D237" s="126" t="s">
        <v>743</v>
      </c>
      <c r="E237" s="127">
        <v>23.100999999999999</v>
      </c>
      <c r="F237" s="127">
        <v>113.2339722</v>
      </c>
      <c r="G237" s="128" t="s">
        <v>168</v>
      </c>
      <c r="H237" s="145">
        <v>2528</v>
      </c>
      <c r="I237" s="145">
        <v>104.12012293500234</v>
      </c>
      <c r="J237" s="129">
        <v>2583</v>
      </c>
      <c r="K237" s="129">
        <v>258</v>
      </c>
      <c r="L237" s="129">
        <v>236</v>
      </c>
      <c r="M237" s="149" t="s">
        <v>585</v>
      </c>
      <c r="N237" s="149" t="s">
        <v>735</v>
      </c>
      <c r="O237" s="149" t="s">
        <v>562</v>
      </c>
      <c r="P237" s="149" t="s">
        <v>583</v>
      </c>
      <c r="Q237" s="130" t="s">
        <v>172</v>
      </c>
      <c r="R237" s="131">
        <v>7.8</v>
      </c>
      <c r="S237" s="131" t="s">
        <v>175</v>
      </c>
      <c r="T237" s="130">
        <v>1</v>
      </c>
      <c r="U237" s="132" t="s">
        <v>173</v>
      </c>
      <c r="V237" s="133">
        <v>0.05</v>
      </c>
      <c r="W237" s="132" t="s">
        <v>174</v>
      </c>
      <c r="X237" s="133">
        <v>0.05</v>
      </c>
      <c r="Y237" s="133">
        <v>2.5000000000000001E-2</v>
      </c>
      <c r="Z237" s="133">
        <v>0.01</v>
      </c>
      <c r="AA237" s="133">
        <v>0.15</v>
      </c>
      <c r="AB237" s="133">
        <f>0.02*R237</f>
        <v>0.156</v>
      </c>
      <c r="AC237" s="134">
        <v>0</v>
      </c>
      <c r="AD237" s="134">
        <v>0</v>
      </c>
      <c r="AE237" s="134">
        <v>0.5</v>
      </c>
      <c r="AF237" s="134">
        <v>0</v>
      </c>
      <c r="AG237" s="134">
        <v>0.1</v>
      </c>
      <c r="AH237" s="134">
        <v>0</v>
      </c>
      <c r="AI237" s="134">
        <v>0</v>
      </c>
      <c r="AJ237" s="134">
        <v>0</v>
      </c>
      <c r="AK237" s="134" t="s">
        <v>175</v>
      </c>
      <c r="AL237" s="122" t="s">
        <v>175</v>
      </c>
      <c r="AM237" s="122">
        <f>3.5-7.8</f>
        <v>-4.3</v>
      </c>
      <c r="AN237" s="134" t="s">
        <v>176</v>
      </c>
      <c r="AO237" s="122" t="s">
        <v>177</v>
      </c>
      <c r="AP237" s="135">
        <f t="shared" si="117"/>
        <v>0.55458182444072224</v>
      </c>
      <c r="AQ237" s="135">
        <f t="shared" si="137"/>
        <v>0.55458182444072224</v>
      </c>
      <c r="AR237" s="117">
        <v>-1.349106981</v>
      </c>
      <c r="AS237" s="117">
        <v>0</v>
      </c>
      <c r="AT237" s="117">
        <v>0</v>
      </c>
      <c r="AU237" s="117">
        <v>-0.754982453</v>
      </c>
      <c r="AV237" s="117">
        <v>-0.54616924499999997</v>
      </c>
      <c r="AW237" s="117">
        <v>-5.3642919999999997E-3</v>
      </c>
      <c r="AX237" s="117">
        <v>0.51117509400000005</v>
      </c>
      <c r="AY237" s="117">
        <v>0.768519434</v>
      </c>
      <c r="AZ237" s="117">
        <v>0</v>
      </c>
      <c r="BA237" s="117">
        <v>0</v>
      </c>
      <c r="BB237" s="117">
        <v>2.3426917660000002</v>
      </c>
      <c r="BC237" s="136" t="str">
        <f t="shared" si="113"/>
        <v>-1</v>
      </c>
      <c r="BD237" s="136" t="s">
        <v>178</v>
      </c>
      <c r="BE237" s="136" t="s">
        <v>518</v>
      </c>
      <c r="BF237" s="136" t="s">
        <v>925</v>
      </c>
      <c r="BG237" s="120" t="s">
        <v>678</v>
      </c>
      <c r="BH237" s="136" t="str">
        <f t="shared" si="128"/>
        <v>&lt;MTL</v>
      </c>
      <c r="BI237" s="136">
        <f t="shared" si="129"/>
        <v>-5.3642919999999997E-3</v>
      </c>
      <c r="BJ237" s="136" t="str">
        <f t="shared" si="135"/>
        <v>Nil</v>
      </c>
      <c r="BK237" s="136">
        <f t="shared" si="136"/>
        <v>0.05</v>
      </c>
      <c r="BL237" s="136" t="s">
        <v>736</v>
      </c>
      <c r="BM237" s="136" t="s">
        <v>175</v>
      </c>
      <c r="BN237" s="136" t="s">
        <v>175</v>
      </c>
      <c r="BO237" s="136" t="s">
        <v>736</v>
      </c>
      <c r="BP237" s="137" t="s">
        <v>175</v>
      </c>
      <c r="BQ237" s="137" t="s">
        <v>175</v>
      </c>
      <c r="BR237" s="137" t="s">
        <v>175</v>
      </c>
      <c r="BS237" s="137" t="s">
        <v>175</v>
      </c>
      <c r="BT237" s="138">
        <f t="shared" si="114"/>
        <v>-4.2946357079999995</v>
      </c>
      <c r="BU237" s="138">
        <f t="shared" si="115"/>
        <v>0.55683121320558182</v>
      </c>
      <c r="BV237" s="138">
        <f t="shared" si="116"/>
        <v>0.55683121320558182</v>
      </c>
      <c r="BW237" s="53" t="s">
        <v>175</v>
      </c>
      <c r="BX237" s="53" t="s">
        <v>175</v>
      </c>
      <c r="BY237" s="53" t="s">
        <v>175</v>
      </c>
      <c r="BZ237" s="53" t="s">
        <v>175</v>
      </c>
      <c r="CA237" s="147">
        <v>1</v>
      </c>
      <c r="CB237" s="54">
        <v>0</v>
      </c>
    </row>
    <row r="238" spans="1:82">
      <c r="A238" s="123" t="s">
        <v>586</v>
      </c>
      <c r="B238" s="124" t="s">
        <v>561</v>
      </c>
      <c r="C238" s="148" t="s">
        <v>674</v>
      </c>
      <c r="D238" s="126" t="s">
        <v>743</v>
      </c>
      <c r="E238" s="127">
        <v>23.100999999999999</v>
      </c>
      <c r="F238" s="127">
        <v>113.2339722</v>
      </c>
      <c r="G238" s="128" t="s">
        <v>168</v>
      </c>
      <c r="H238" s="145">
        <v>6429</v>
      </c>
      <c r="I238" s="145">
        <v>109.65856099730654</v>
      </c>
      <c r="J238" s="129">
        <v>7339</v>
      </c>
      <c r="K238" s="129">
        <v>229</v>
      </c>
      <c r="L238" s="129">
        <v>305</v>
      </c>
      <c r="M238" s="149" t="s">
        <v>585</v>
      </c>
      <c r="N238" s="149" t="s">
        <v>735</v>
      </c>
      <c r="O238" s="149" t="s">
        <v>570</v>
      </c>
      <c r="P238" s="149" t="s">
        <v>175</v>
      </c>
      <c r="Q238" s="130" t="s">
        <v>172</v>
      </c>
      <c r="R238" s="131">
        <v>12</v>
      </c>
      <c r="S238" s="131" t="s">
        <v>175</v>
      </c>
      <c r="T238" s="130">
        <v>1</v>
      </c>
      <c r="U238" s="132" t="s">
        <v>173</v>
      </c>
      <c r="V238" s="133">
        <v>0.05</v>
      </c>
      <c r="W238" s="132" t="s">
        <v>174</v>
      </c>
      <c r="X238" s="133">
        <v>0.05</v>
      </c>
      <c r="Y238" s="133">
        <v>2.5000000000000001E-2</v>
      </c>
      <c r="Z238" s="133">
        <v>0.01</v>
      </c>
      <c r="AA238" s="133">
        <v>0.15</v>
      </c>
      <c r="AB238" s="133">
        <f>0.02*R238</f>
        <v>0.24</v>
      </c>
      <c r="AC238" s="134">
        <v>0</v>
      </c>
      <c r="AD238" s="134">
        <v>0</v>
      </c>
      <c r="AE238" s="134">
        <v>0.5</v>
      </c>
      <c r="AF238" s="134">
        <v>0</v>
      </c>
      <c r="AG238" s="134">
        <v>0.1</v>
      </c>
      <c r="AH238" s="134">
        <v>0</v>
      </c>
      <c r="AI238" s="134">
        <v>0</v>
      </c>
      <c r="AJ238" s="134">
        <v>0</v>
      </c>
      <c r="AK238" s="134" t="s">
        <v>175</v>
      </c>
      <c r="AL238" s="122" t="s">
        <v>175</v>
      </c>
      <c r="AM238" s="122">
        <f>3.5-12</f>
        <v>-8.5</v>
      </c>
      <c r="AN238" s="134" t="s">
        <v>176</v>
      </c>
      <c r="AO238" s="122" t="s">
        <v>177</v>
      </c>
      <c r="AP238" s="135">
        <f t="shared" si="117"/>
        <v>0.58380219252757182</v>
      </c>
      <c r="AQ238" s="135">
        <f t="shared" si="137"/>
        <v>0.58380219252757182</v>
      </c>
      <c r="AR238" s="117">
        <v>-1.349106981</v>
      </c>
      <c r="AS238" s="117">
        <v>0</v>
      </c>
      <c r="AT238" s="117">
        <v>0</v>
      </c>
      <c r="AU238" s="117">
        <v>-0.754982453</v>
      </c>
      <c r="AV238" s="117">
        <v>-0.54616924499999997</v>
      </c>
      <c r="AW238" s="117">
        <v>-5.3642919999999997E-3</v>
      </c>
      <c r="AX238" s="117">
        <v>0.51117509400000005</v>
      </c>
      <c r="AY238" s="117">
        <v>0.768519434</v>
      </c>
      <c r="AZ238" s="117">
        <v>0</v>
      </c>
      <c r="BA238" s="117">
        <v>0</v>
      </c>
      <c r="BB238" s="117">
        <v>2.3426917660000002</v>
      </c>
      <c r="BC238" s="136" t="str">
        <f t="shared" si="113"/>
        <v>-1</v>
      </c>
      <c r="BD238" s="136" t="s">
        <v>178</v>
      </c>
      <c r="BE238" s="136" t="s">
        <v>518</v>
      </c>
      <c r="BF238" s="136" t="s">
        <v>925</v>
      </c>
      <c r="BG238" s="120" t="s">
        <v>678</v>
      </c>
      <c r="BH238" s="136" t="str">
        <f t="shared" si="128"/>
        <v>&lt;MTL</v>
      </c>
      <c r="BI238" s="136">
        <f t="shared" si="129"/>
        <v>-5.3642919999999997E-3</v>
      </c>
      <c r="BJ238" s="136" t="str">
        <f t="shared" si="135"/>
        <v>Nil</v>
      </c>
      <c r="BK238" s="136">
        <f t="shared" si="136"/>
        <v>0.05</v>
      </c>
      <c r="BL238" s="136" t="s">
        <v>736</v>
      </c>
      <c r="BM238" s="136" t="s">
        <v>175</v>
      </c>
      <c r="BN238" s="136" t="s">
        <v>175</v>
      </c>
      <c r="BO238" s="136" t="s">
        <v>736</v>
      </c>
      <c r="BP238" s="137" t="s">
        <v>175</v>
      </c>
      <c r="BQ238" s="137" t="s">
        <v>175</v>
      </c>
      <c r="BR238" s="137" t="s">
        <v>175</v>
      </c>
      <c r="BS238" s="137" t="s">
        <v>175</v>
      </c>
      <c r="BT238" s="138">
        <f t="shared" si="114"/>
        <v>-8.4946357080000006</v>
      </c>
      <c r="BU238" s="138">
        <f t="shared" si="115"/>
        <v>0.58593941666353189</v>
      </c>
      <c r="BV238" s="138">
        <f t="shared" si="116"/>
        <v>0.58593941666353189</v>
      </c>
      <c r="BW238" s="53" t="s">
        <v>175</v>
      </c>
      <c r="BX238" s="53" t="s">
        <v>175</v>
      </c>
      <c r="BY238" s="53" t="s">
        <v>175</v>
      </c>
      <c r="BZ238" s="53" t="s">
        <v>175</v>
      </c>
      <c r="CA238" s="147">
        <v>1</v>
      </c>
      <c r="CB238" s="54">
        <v>0</v>
      </c>
    </row>
    <row r="239" spans="1:82">
      <c r="A239" s="123" t="s">
        <v>542</v>
      </c>
      <c r="B239" s="124" t="s">
        <v>927</v>
      </c>
      <c r="C239" s="148" t="s">
        <v>674</v>
      </c>
      <c r="D239" s="126" t="s">
        <v>743</v>
      </c>
      <c r="E239" s="127">
        <v>23.0078308777031</v>
      </c>
      <c r="F239" s="127">
        <v>113.09489737480899</v>
      </c>
      <c r="G239" s="128" t="s">
        <v>168</v>
      </c>
      <c r="H239" s="145">
        <v>5265.6818647162499</v>
      </c>
      <c r="I239" s="145">
        <v>111.00922125661452</v>
      </c>
      <c r="J239" s="129">
        <v>5445</v>
      </c>
      <c r="K239" s="129">
        <v>318</v>
      </c>
      <c r="L239" s="129">
        <v>372</v>
      </c>
      <c r="M239" s="130" t="s">
        <v>535</v>
      </c>
      <c r="N239" s="130" t="s">
        <v>339</v>
      </c>
      <c r="O239" s="130" t="s">
        <v>175</v>
      </c>
      <c r="P239" s="130" t="s">
        <v>175</v>
      </c>
      <c r="Q239" s="130" t="s">
        <v>172</v>
      </c>
      <c r="R239" s="131">
        <v>2.5</v>
      </c>
      <c r="S239" s="131" t="s">
        <v>175</v>
      </c>
      <c r="T239" s="130">
        <v>1</v>
      </c>
      <c r="U239" s="132" t="s">
        <v>192</v>
      </c>
      <c r="V239" s="133">
        <v>0.1</v>
      </c>
      <c r="W239" s="132" t="s">
        <v>174</v>
      </c>
      <c r="X239" s="133">
        <v>0.1</v>
      </c>
      <c r="Y239" s="133">
        <v>0.05</v>
      </c>
      <c r="Z239" s="133">
        <v>0.01</v>
      </c>
      <c r="AA239" s="133">
        <v>0.05</v>
      </c>
      <c r="AB239" s="133">
        <v>0</v>
      </c>
      <c r="AC239" s="134">
        <v>0</v>
      </c>
      <c r="AD239" s="134">
        <v>0</v>
      </c>
      <c r="AE239" s="134">
        <v>0.5</v>
      </c>
      <c r="AF239" s="134">
        <v>0</v>
      </c>
      <c r="AG239" s="134">
        <v>0.1</v>
      </c>
      <c r="AH239" s="134">
        <v>0</v>
      </c>
      <c r="AI239" s="134">
        <v>0</v>
      </c>
      <c r="AJ239" s="134">
        <v>3.64</v>
      </c>
      <c r="AK239" s="134" t="s">
        <v>175</v>
      </c>
      <c r="AL239" s="122" t="s">
        <v>175</v>
      </c>
      <c r="AM239" s="122">
        <f>3.63-2.5</f>
        <v>1.1299999999999999</v>
      </c>
      <c r="AN239" s="134" t="s">
        <v>176</v>
      </c>
      <c r="AO239" s="122" t="s">
        <v>177</v>
      </c>
      <c r="AP239" s="135">
        <f t="shared" si="117"/>
        <v>3.6762344865364618</v>
      </c>
      <c r="AQ239" s="135">
        <f t="shared" si="137"/>
        <v>3.6762344865364618</v>
      </c>
      <c r="AR239" s="117">
        <v>-1.3904115029999999</v>
      </c>
      <c r="AS239" s="117">
        <v>0</v>
      </c>
      <c r="AT239" s="117">
        <v>0</v>
      </c>
      <c r="AU239" s="117">
        <v>-0.82293505300000003</v>
      </c>
      <c r="AV239" s="117">
        <v>-0.57414972799999997</v>
      </c>
      <c r="AW239" s="117">
        <v>-1.8355231E-2</v>
      </c>
      <c r="AX239" s="117">
        <v>0.51650470999999998</v>
      </c>
      <c r="AY239" s="117">
        <v>0.80715914799999999</v>
      </c>
      <c r="AZ239" s="117">
        <v>0</v>
      </c>
      <c r="BA239" s="117">
        <v>0</v>
      </c>
      <c r="BB239" s="117">
        <v>1.68785706</v>
      </c>
      <c r="BC239" s="136" t="str">
        <f t="shared" si="113"/>
        <v xml:space="preserve">1 </v>
      </c>
      <c r="BD239" s="136" t="s">
        <v>199</v>
      </c>
      <c r="BE239" s="136" t="s">
        <v>667</v>
      </c>
      <c r="BF239" s="136" t="s">
        <v>710</v>
      </c>
      <c r="BG239" s="120" t="s">
        <v>664</v>
      </c>
      <c r="BH239" s="136" t="str">
        <f t="shared" si="128"/>
        <v>&gt;MHHW</v>
      </c>
      <c r="BI239" s="136">
        <f t="shared" si="129"/>
        <v>0.80715914799999999</v>
      </c>
      <c r="BJ239" s="136" t="str">
        <f t="shared" si="135"/>
        <v>Nil</v>
      </c>
      <c r="BK239" s="136">
        <f t="shared" si="136"/>
        <v>0.44</v>
      </c>
      <c r="BL239" s="136" t="s">
        <v>736</v>
      </c>
      <c r="BM239" s="136" t="s">
        <v>175</v>
      </c>
      <c r="BN239" s="136" t="s">
        <v>175</v>
      </c>
      <c r="BO239" s="136" t="s">
        <v>736</v>
      </c>
      <c r="BP239" s="137" t="s">
        <v>175</v>
      </c>
      <c r="BQ239" s="137" t="s">
        <v>175</v>
      </c>
      <c r="BR239" s="137" t="s">
        <v>175</v>
      </c>
      <c r="BS239" s="137" t="s">
        <v>175</v>
      </c>
      <c r="BT239" s="138">
        <f>AM239-BI239</f>
        <v>0.3228408519999999</v>
      </c>
      <c r="BU239" s="138">
        <f t="shared" si="115"/>
        <v>3.7024721470930748</v>
      </c>
      <c r="BV239" s="138">
        <f t="shared" si="116"/>
        <v>3.7024721470930748</v>
      </c>
      <c r="BW239" s="53" t="s">
        <v>175</v>
      </c>
      <c r="BX239" s="53" t="s">
        <v>175</v>
      </c>
      <c r="BY239" s="53" t="s">
        <v>175</v>
      </c>
      <c r="BZ239" s="53" t="s">
        <v>175</v>
      </c>
      <c r="CA239" s="147">
        <v>2</v>
      </c>
      <c r="CB239" s="54">
        <v>0</v>
      </c>
    </row>
    <row r="240" spans="1:82">
      <c r="A240" s="123" t="s">
        <v>539</v>
      </c>
      <c r="B240" s="124" t="s">
        <v>927</v>
      </c>
      <c r="C240" s="148" t="s">
        <v>674</v>
      </c>
      <c r="D240" s="126" t="s">
        <v>743</v>
      </c>
      <c r="E240" s="127">
        <v>23.0078308777031</v>
      </c>
      <c r="F240" s="127">
        <v>113.09489737480899</v>
      </c>
      <c r="G240" s="128" t="s">
        <v>168</v>
      </c>
      <c r="H240" s="145">
        <v>5155.681864716249</v>
      </c>
      <c r="I240" s="145">
        <v>138.64720409730592</v>
      </c>
      <c r="J240" s="129">
        <v>5316</v>
      </c>
      <c r="K240" s="129">
        <v>353</v>
      </c>
      <c r="L240" s="129">
        <v>432</v>
      </c>
      <c r="M240" s="130" t="s">
        <v>535</v>
      </c>
      <c r="N240" s="130" t="s">
        <v>339</v>
      </c>
      <c r="O240" s="130" t="s">
        <v>175</v>
      </c>
      <c r="P240" s="130" t="s">
        <v>175</v>
      </c>
      <c r="Q240" s="130" t="s">
        <v>172</v>
      </c>
      <c r="R240" s="131">
        <v>2.5</v>
      </c>
      <c r="S240" s="131" t="s">
        <v>175</v>
      </c>
      <c r="T240" s="130">
        <v>1</v>
      </c>
      <c r="U240" s="132" t="s">
        <v>192</v>
      </c>
      <c r="V240" s="133">
        <v>0.1</v>
      </c>
      <c r="W240" s="132" t="s">
        <v>174</v>
      </c>
      <c r="X240" s="133">
        <v>0.1</v>
      </c>
      <c r="Y240" s="133">
        <v>0.05</v>
      </c>
      <c r="Z240" s="133">
        <v>0.01</v>
      </c>
      <c r="AA240" s="133">
        <v>0.05</v>
      </c>
      <c r="AB240" s="133">
        <v>0</v>
      </c>
      <c r="AC240" s="134">
        <v>0</v>
      </c>
      <c r="AD240" s="134">
        <v>0</v>
      </c>
      <c r="AE240" s="134">
        <v>0.5</v>
      </c>
      <c r="AF240" s="134">
        <v>0</v>
      </c>
      <c r="AG240" s="134">
        <v>0.1</v>
      </c>
      <c r="AH240" s="134">
        <v>0</v>
      </c>
      <c r="AI240" s="134">
        <v>0</v>
      </c>
      <c r="AJ240" s="134">
        <v>3.64</v>
      </c>
      <c r="AK240" s="134" t="s">
        <v>175</v>
      </c>
      <c r="AL240" s="122" t="s">
        <v>175</v>
      </c>
      <c r="AM240" s="122">
        <f t="shared" ref="AM240:AM242" si="138">3.63-2.5</f>
        <v>1.1299999999999999</v>
      </c>
      <c r="AN240" s="134" t="s">
        <v>176</v>
      </c>
      <c r="AO240" s="122" t="s">
        <v>177</v>
      </c>
      <c r="AP240" s="135">
        <f t="shared" si="117"/>
        <v>3.6762344865364618</v>
      </c>
      <c r="AQ240" s="135">
        <f t="shared" si="137"/>
        <v>3.6762344865364618</v>
      </c>
      <c r="AR240" s="117">
        <v>-1.3904115029999999</v>
      </c>
      <c r="AS240" s="117">
        <v>0</v>
      </c>
      <c r="AT240" s="117">
        <v>0</v>
      </c>
      <c r="AU240" s="117">
        <v>-0.82293505300000003</v>
      </c>
      <c r="AV240" s="117">
        <v>-0.57414972799999997</v>
      </c>
      <c r="AW240" s="117">
        <v>-1.8355231E-2</v>
      </c>
      <c r="AX240" s="117">
        <v>0.51650470999999998</v>
      </c>
      <c r="AY240" s="117">
        <v>0.80715914799999999</v>
      </c>
      <c r="AZ240" s="117">
        <v>0</v>
      </c>
      <c r="BA240" s="117">
        <v>0</v>
      </c>
      <c r="BB240" s="117">
        <v>1.68785706</v>
      </c>
      <c r="BC240" s="136" t="str">
        <f t="shared" si="113"/>
        <v xml:space="preserve">1 </v>
      </c>
      <c r="BD240" s="136" t="s">
        <v>199</v>
      </c>
      <c r="BE240" s="136" t="s">
        <v>667</v>
      </c>
      <c r="BF240" s="136" t="s">
        <v>710</v>
      </c>
      <c r="BG240" s="120" t="s">
        <v>664</v>
      </c>
      <c r="BH240" s="136" t="str">
        <f t="shared" si="128"/>
        <v>&gt;MHHW</v>
      </c>
      <c r="BI240" s="136">
        <f t="shared" si="129"/>
        <v>0.80715914799999999</v>
      </c>
      <c r="BJ240" s="136" t="str">
        <f t="shared" si="135"/>
        <v>Nil</v>
      </c>
      <c r="BK240" s="136">
        <f t="shared" si="136"/>
        <v>0.44</v>
      </c>
      <c r="BL240" s="136" t="s">
        <v>736</v>
      </c>
      <c r="BM240" s="136" t="s">
        <v>175</v>
      </c>
      <c r="BN240" s="136" t="s">
        <v>175</v>
      </c>
      <c r="BO240" s="136" t="s">
        <v>736</v>
      </c>
      <c r="BP240" s="137" t="s">
        <v>175</v>
      </c>
      <c r="BQ240" s="137" t="s">
        <v>175</v>
      </c>
      <c r="BR240" s="137" t="s">
        <v>175</v>
      </c>
      <c r="BS240" s="137" t="s">
        <v>175</v>
      </c>
      <c r="BT240" s="138">
        <f t="shared" si="114"/>
        <v>0.3228408519999999</v>
      </c>
      <c r="BU240" s="138">
        <f t="shared" si="115"/>
        <v>3.7024721470930748</v>
      </c>
      <c r="BV240" s="138">
        <f t="shared" si="116"/>
        <v>3.7024721470930748</v>
      </c>
      <c r="BW240" s="53" t="s">
        <v>175</v>
      </c>
      <c r="BX240" s="53" t="s">
        <v>175</v>
      </c>
      <c r="BY240" s="53" t="s">
        <v>175</v>
      </c>
      <c r="BZ240" s="53" t="s">
        <v>175</v>
      </c>
      <c r="CA240" s="147">
        <v>2</v>
      </c>
      <c r="CB240" s="54">
        <v>0</v>
      </c>
    </row>
    <row r="241" spans="1:81">
      <c r="A241" s="123" t="s">
        <v>540</v>
      </c>
      <c r="B241" s="124" t="s">
        <v>927</v>
      </c>
      <c r="C241" s="148" t="s">
        <v>674</v>
      </c>
      <c r="D241" s="126" t="s">
        <v>743</v>
      </c>
      <c r="E241" s="127">
        <v>23.0078308777031</v>
      </c>
      <c r="F241" s="127">
        <v>113.09489737480899</v>
      </c>
      <c r="G241" s="128" t="s">
        <v>168</v>
      </c>
      <c r="H241" s="145">
        <v>5160.681864716249</v>
      </c>
      <c r="I241" s="145">
        <v>111.00922125661452</v>
      </c>
      <c r="J241" s="129">
        <v>5327</v>
      </c>
      <c r="K241" s="129">
        <v>314</v>
      </c>
      <c r="L241" s="129">
        <v>372</v>
      </c>
      <c r="M241" s="130" t="s">
        <v>535</v>
      </c>
      <c r="N241" s="130" t="s">
        <v>339</v>
      </c>
      <c r="O241" s="130" t="s">
        <v>175</v>
      </c>
      <c r="P241" s="130" t="s">
        <v>175</v>
      </c>
      <c r="Q241" s="130" t="s">
        <v>172</v>
      </c>
      <c r="R241" s="131">
        <v>2.5</v>
      </c>
      <c r="S241" s="131" t="s">
        <v>175</v>
      </c>
      <c r="T241" s="130">
        <v>1</v>
      </c>
      <c r="U241" s="132" t="s">
        <v>192</v>
      </c>
      <c r="V241" s="133">
        <v>0.1</v>
      </c>
      <c r="W241" s="132" t="s">
        <v>174</v>
      </c>
      <c r="X241" s="133">
        <v>0.1</v>
      </c>
      <c r="Y241" s="133">
        <v>0.05</v>
      </c>
      <c r="Z241" s="133">
        <v>0.01</v>
      </c>
      <c r="AA241" s="133">
        <v>0.05</v>
      </c>
      <c r="AB241" s="133">
        <v>0</v>
      </c>
      <c r="AC241" s="134">
        <v>0</v>
      </c>
      <c r="AD241" s="134">
        <v>0</v>
      </c>
      <c r="AE241" s="134">
        <v>0.5</v>
      </c>
      <c r="AF241" s="134">
        <v>0</v>
      </c>
      <c r="AG241" s="134">
        <v>0.1</v>
      </c>
      <c r="AH241" s="134">
        <v>0</v>
      </c>
      <c r="AI241" s="134">
        <v>0</v>
      </c>
      <c r="AJ241" s="134">
        <v>3.64</v>
      </c>
      <c r="AK241" s="134" t="s">
        <v>175</v>
      </c>
      <c r="AL241" s="122" t="s">
        <v>175</v>
      </c>
      <c r="AM241" s="122">
        <f t="shared" si="138"/>
        <v>1.1299999999999999</v>
      </c>
      <c r="AN241" s="134" t="s">
        <v>176</v>
      </c>
      <c r="AO241" s="122" t="s">
        <v>177</v>
      </c>
      <c r="AP241" s="135">
        <f t="shared" si="117"/>
        <v>3.6762344865364618</v>
      </c>
      <c r="AQ241" s="135">
        <f t="shared" si="137"/>
        <v>3.6762344865364618</v>
      </c>
      <c r="AR241" s="117">
        <v>-1.3904115029999999</v>
      </c>
      <c r="AS241" s="117">
        <v>0</v>
      </c>
      <c r="AT241" s="117">
        <v>0</v>
      </c>
      <c r="AU241" s="117">
        <v>-0.82293505300000003</v>
      </c>
      <c r="AV241" s="117">
        <v>-0.57414972799999997</v>
      </c>
      <c r="AW241" s="117">
        <v>-1.8355231E-2</v>
      </c>
      <c r="AX241" s="117">
        <v>0.51650470999999998</v>
      </c>
      <c r="AY241" s="117">
        <v>0.80715914799999999</v>
      </c>
      <c r="AZ241" s="117">
        <v>0</v>
      </c>
      <c r="BA241" s="117">
        <v>0</v>
      </c>
      <c r="BB241" s="117">
        <v>1.912944449</v>
      </c>
      <c r="BC241" s="136" t="str">
        <f t="shared" si="113"/>
        <v xml:space="preserve">1 </v>
      </c>
      <c r="BD241" s="136" t="s">
        <v>199</v>
      </c>
      <c r="BE241" s="136" t="s">
        <v>667</v>
      </c>
      <c r="BF241" s="136" t="s">
        <v>710</v>
      </c>
      <c r="BG241" s="120" t="s">
        <v>664</v>
      </c>
      <c r="BH241" s="136" t="str">
        <f t="shared" si="128"/>
        <v>&gt;MHHW</v>
      </c>
      <c r="BI241" s="136">
        <f t="shared" si="129"/>
        <v>0.80715914799999999</v>
      </c>
      <c r="BJ241" s="136" t="str">
        <f t="shared" si="135"/>
        <v>Nil</v>
      </c>
      <c r="BK241" s="136">
        <f t="shared" si="136"/>
        <v>0.44</v>
      </c>
      <c r="BL241" s="136" t="s">
        <v>736</v>
      </c>
      <c r="BM241" s="136" t="s">
        <v>175</v>
      </c>
      <c r="BN241" s="136" t="s">
        <v>175</v>
      </c>
      <c r="BO241" s="136" t="s">
        <v>736</v>
      </c>
      <c r="BP241" s="137" t="s">
        <v>175</v>
      </c>
      <c r="BQ241" s="137" t="s">
        <v>175</v>
      </c>
      <c r="BR241" s="137" t="s">
        <v>175</v>
      </c>
      <c r="BS241" s="137" t="s">
        <v>175</v>
      </c>
      <c r="BT241" s="138">
        <f t="shared" si="114"/>
        <v>0.3228408519999999</v>
      </c>
      <c r="BU241" s="138">
        <f t="shared" si="115"/>
        <v>3.7024721470930748</v>
      </c>
      <c r="BV241" s="138">
        <f t="shared" si="116"/>
        <v>3.7024721470930748</v>
      </c>
      <c r="BW241" s="53" t="s">
        <v>175</v>
      </c>
      <c r="BX241" s="53" t="s">
        <v>175</v>
      </c>
      <c r="BY241" s="53" t="s">
        <v>175</v>
      </c>
      <c r="BZ241" s="53" t="s">
        <v>175</v>
      </c>
      <c r="CA241" s="147">
        <v>2</v>
      </c>
      <c r="CB241" s="54">
        <v>0</v>
      </c>
    </row>
    <row r="242" spans="1:81" ht="18" customHeight="1">
      <c r="A242" s="123" t="s">
        <v>541</v>
      </c>
      <c r="B242" s="124" t="s">
        <v>927</v>
      </c>
      <c r="C242" s="148" t="s">
        <v>674</v>
      </c>
      <c r="D242" s="126" t="s">
        <v>743</v>
      </c>
      <c r="E242" s="127">
        <v>23.0078308777031</v>
      </c>
      <c r="F242" s="127">
        <v>113.09489737480899</v>
      </c>
      <c r="G242" s="128" t="s">
        <v>168</v>
      </c>
      <c r="H242" s="145">
        <v>5200.6818647162509</v>
      </c>
      <c r="I242" s="145">
        <v>111.00922125661452</v>
      </c>
      <c r="J242" s="129">
        <v>5373</v>
      </c>
      <c r="K242" s="129">
        <v>321</v>
      </c>
      <c r="L242" s="129">
        <v>368</v>
      </c>
      <c r="M242" s="130" t="s">
        <v>535</v>
      </c>
      <c r="N242" s="130" t="s">
        <v>339</v>
      </c>
      <c r="O242" s="130" t="s">
        <v>175</v>
      </c>
      <c r="P242" s="130" t="s">
        <v>175</v>
      </c>
      <c r="Q242" s="130" t="s">
        <v>172</v>
      </c>
      <c r="R242" s="131">
        <v>2.5</v>
      </c>
      <c r="S242" s="131" t="s">
        <v>175</v>
      </c>
      <c r="T242" s="130">
        <v>1</v>
      </c>
      <c r="U242" s="132" t="s">
        <v>192</v>
      </c>
      <c r="V242" s="133">
        <v>0.1</v>
      </c>
      <c r="W242" s="132" t="s">
        <v>174</v>
      </c>
      <c r="X242" s="133">
        <v>0.1</v>
      </c>
      <c r="Y242" s="133">
        <v>0.05</v>
      </c>
      <c r="Z242" s="133">
        <v>0.01</v>
      </c>
      <c r="AA242" s="133">
        <v>0.05</v>
      </c>
      <c r="AB242" s="133">
        <v>0</v>
      </c>
      <c r="AC242" s="134">
        <v>0</v>
      </c>
      <c r="AD242" s="134">
        <v>0</v>
      </c>
      <c r="AE242" s="134">
        <v>0.5</v>
      </c>
      <c r="AF242" s="134">
        <v>0</v>
      </c>
      <c r="AG242" s="134">
        <v>0.1</v>
      </c>
      <c r="AH242" s="134">
        <v>0</v>
      </c>
      <c r="AI242" s="134">
        <v>0</v>
      </c>
      <c r="AJ242" s="134">
        <v>3.64</v>
      </c>
      <c r="AK242" s="134" t="s">
        <v>175</v>
      </c>
      <c r="AL242" s="122" t="s">
        <v>175</v>
      </c>
      <c r="AM242" s="122">
        <f t="shared" si="138"/>
        <v>1.1299999999999999</v>
      </c>
      <c r="AN242" s="134" t="s">
        <v>176</v>
      </c>
      <c r="AO242" s="122" t="s">
        <v>177</v>
      </c>
      <c r="AP242" s="135">
        <f t="shared" si="117"/>
        <v>3.6762344865364618</v>
      </c>
      <c r="AQ242" s="135">
        <f t="shared" si="137"/>
        <v>3.6762344865364618</v>
      </c>
      <c r="AR242" s="117">
        <v>-1.3904115029999999</v>
      </c>
      <c r="AS242" s="117">
        <v>0</v>
      </c>
      <c r="AT242" s="117">
        <v>0</v>
      </c>
      <c r="AU242" s="117">
        <v>-0.82293505300000003</v>
      </c>
      <c r="AV242" s="117">
        <v>-0.57414972799999997</v>
      </c>
      <c r="AW242" s="117">
        <v>-1.8355231E-2</v>
      </c>
      <c r="AX242" s="117">
        <v>0.51650470999999998</v>
      </c>
      <c r="AY242" s="117">
        <v>0.80715914799999999</v>
      </c>
      <c r="AZ242" s="117">
        <v>0</v>
      </c>
      <c r="BA242" s="117">
        <v>0</v>
      </c>
      <c r="BB242" s="117">
        <v>1.6746355980000001</v>
      </c>
      <c r="BC242" s="136" t="str">
        <f t="shared" si="113"/>
        <v xml:space="preserve">1 </v>
      </c>
      <c r="BD242" s="136" t="s">
        <v>199</v>
      </c>
      <c r="BE242" s="136" t="s">
        <v>667</v>
      </c>
      <c r="BF242" s="136" t="s">
        <v>710</v>
      </c>
      <c r="BG242" s="120" t="s">
        <v>664</v>
      </c>
      <c r="BH242" s="136" t="str">
        <f t="shared" si="128"/>
        <v>&gt;MHHW</v>
      </c>
      <c r="BI242" s="136">
        <f t="shared" si="129"/>
        <v>0.80715914799999999</v>
      </c>
      <c r="BJ242" s="136" t="str">
        <f t="shared" si="135"/>
        <v>Nil</v>
      </c>
      <c r="BK242" s="136">
        <f t="shared" si="136"/>
        <v>0.44</v>
      </c>
      <c r="BL242" s="136" t="s">
        <v>736</v>
      </c>
      <c r="BM242" s="136" t="s">
        <v>175</v>
      </c>
      <c r="BN242" s="136" t="s">
        <v>175</v>
      </c>
      <c r="BO242" s="136" t="s">
        <v>736</v>
      </c>
      <c r="BP242" s="137" t="s">
        <v>175</v>
      </c>
      <c r="BQ242" s="137" t="s">
        <v>175</v>
      </c>
      <c r="BR242" s="137" t="s">
        <v>175</v>
      </c>
      <c r="BS242" s="137" t="s">
        <v>175</v>
      </c>
      <c r="BT242" s="138">
        <f t="shared" si="114"/>
        <v>0.3228408519999999</v>
      </c>
      <c r="BU242" s="138">
        <f t="shared" si="115"/>
        <v>3.7024721470930748</v>
      </c>
      <c r="BV242" s="138">
        <f t="shared" si="116"/>
        <v>3.7024721470930748</v>
      </c>
      <c r="BW242" s="53" t="s">
        <v>175</v>
      </c>
      <c r="BX242" s="53" t="s">
        <v>175</v>
      </c>
      <c r="BY242" s="53" t="s">
        <v>175</v>
      </c>
      <c r="BZ242" s="53" t="s">
        <v>175</v>
      </c>
      <c r="CA242" s="147">
        <v>2</v>
      </c>
      <c r="CB242" s="54">
        <v>0</v>
      </c>
    </row>
    <row r="243" spans="1:81">
      <c r="A243" s="123" t="s">
        <v>537</v>
      </c>
      <c r="B243" s="124" t="s">
        <v>927</v>
      </c>
      <c r="C243" s="148" t="s">
        <v>674</v>
      </c>
      <c r="D243" s="126" t="s">
        <v>743</v>
      </c>
      <c r="E243" s="127">
        <v>23.0078308777031</v>
      </c>
      <c r="F243" s="127">
        <v>113.09489737480899</v>
      </c>
      <c r="G243" s="128" t="s">
        <v>168</v>
      </c>
      <c r="H243" s="145">
        <v>3890.681864716249</v>
      </c>
      <c r="I243" s="145">
        <v>111.00922125661452</v>
      </c>
      <c r="J243" s="129">
        <v>4310</v>
      </c>
      <c r="K243" s="129">
        <v>478</v>
      </c>
      <c r="L243" s="129">
        <v>332</v>
      </c>
      <c r="M243" s="130" t="s">
        <v>535</v>
      </c>
      <c r="N243" s="130" t="s">
        <v>848</v>
      </c>
      <c r="O243" s="130" t="s">
        <v>175</v>
      </c>
      <c r="P243" s="130" t="s">
        <v>175</v>
      </c>
      <c r="Q243" s="130" t="s">
        <v>172</v>
      </c>
      <c r="R243" s="131">
        <v>1.6</v>
      </c>
      <c r="S243" s="131" t="s">
        <v>175</v>
      </c>
      <c r="T243" s="130">
        <v>1</v>
      </c>
      <c r="U243" s="132" t="s">
        <v>192</v>
      </c>
      <c r="V243" s="133">
        <v>0.1</v>
      </c>
      <c r="W243" s="132" t="s">
        <v>174</v>
      </c>
      <c r="X243" s="133">
        <v>0.1</v>
      </c>
      <c r="Y243" s="133">
        <v>0.05</v>
      </c>
      <c r="Z243" s="133">
        <v>0.01</v>
      </c>
      <c r="AA243" s="133">
        <v>0.05</v>
      </c>
      <c r="AB243" s="133">
        <v>0</v>
      </c>
      <c r="AC243" s="134">
        <v>0</v>
      </c>
      <c r="AD243" s="134">
        <v>0</v>
      </c>
      <c r="AE243" s="134">
        <v>0.5</v>
      </c>
      <c r="AF243" s="134">
        <v>0</v>
      </c>
      <c r="AG243" s="134">
        <v>0.1</v>
      </c>
      <c r="AH243" s="134">
        <v>0</v>
      </c>
      <c r="AI243" s="134">
        <v>0</v>
      </c>
      <c r="AJ243" s="134">
        <v>3.64</v>
      </c>
      <c r="AK243" s="134" t="s">
        <v>175</v>
      </c>
      <c r="AL243" s="122" t="s">
        <v>175</v>
      </c>
      <c r="AM243" s="122">
        <f>3.63-1.6</f>
        <v>2.0299999999999998</v>
      </c>
      <c r="AN243" s="134" t="s">
        <v>176</v>
      </c>
      <c r="AO243" s="122" t="s">
        <v>177</v>
      </c>
      <c r="AP243" s="135">
        <f t="shared" si="117"/>
        <v>3.6762344865364618</v>
      </c>
      <c r="AQ243" s="135">
        <f t="shared" si="137"/>
        <v>3.6762344865364618</v>
      </c>
      <c r="AR243" s="117">
        <v>-1.3904115029999999</v>
      </c>
      <c r="AS243" s="117">
        <v>0</v>
      </c>
      <c r="AT243" s="117">
        <v>0</v>
      </c>
      <c r="AU243" s="117">
        <v>-0.82293505300000003</v>
      </c>
      <c r="AV243" s="117">
        <v>-0.57414972799999997</v>
      </c>
      <c r="AW243" s="117">
        <v>-1.8355231E-2</v>
      </c>
      <c r="AX243" s="117">
        <v>0.51650470999999998</v>
      </c>
      <c r="AY243" s="117">
        <v>0.80715914799999999</v>
      </c>
      <c r="AZ243" s="117">
        <v>0</v>
      </c>
      <c r="BA243" s="117">
        <v>0</v>
      </c>
      <c r="BB243" s="117">
        <v>1.6746355980000001</v>
      </c>
      <c r="BC243" s="136" t="str">
        <f t="shared" si="113"/>
        <v xml:space="preserve">1 </v>
      </c>
      <c r="BD243" s="136" t="s">
        <v>199</v>
      </c>
      <c r="BE243" s="136" t="s">
        <v>667</v>
      </c>
      <c r="BF243" s="136" t="s">
        <v>710</v>
      </c>
      <c r="BG243" s="120" t="s">
        <v>664</v>
      </c>
      <c r="BH243" s="136" t="str">
        <f t="shared" si="128"/>
        <v>&gt;MHHW</v>
      </c>
      <c r="BI243" s="136">
        <f t="shared" si="129"/>
        <v>0.80715914799999999</v>
      </c>
      <c r="BJ243" s="136" t="str">
        <f t="shared" si="135"/>
        <v>Nil</v>
      </c>
      <c r="BK243" s="136">
        <f t="shared" si="136"/>
        <v>0.44</v>
      </c>
      <c r="BL243" s="136" t="s">
        <v>736</v>
      </c>
      <c r="BM243" s="136" t="s">
        <v>175</v>
      </c>
      <c r="BN243" s="136" t="s">
        <v>175</v>
      </c>
      <c r="BO243" s="136" t="s">
        <v>736</v>
      </c>
      <c r="BP243" s="137" t="s">
        <v>175</v>
      </c>
      <c r="BQ243" s="137" t="s">
        <v>175</v>
      </c>
      <c r="BR243" s="137" t="s">
        <v>175</v>
      </c>
      <c r="BS243" s="137" t="s">
        <v>175</v>
      </c>
      <c r="BT243" s="138">
        <f t="shared" si="114"/>
        <v>1.2228408519999998</v>
      </c>
      <c r="BU243" s="138">
        <f t="shared" si="115"/>
        <v>3.7024721470930748</v>
      </c>
      <c r="BV243" s="138">
        <f t="shared" si="116"/>
        <v>3.7024721470930748</v>
      </c>
      <c r="BW243" s="53" t="s">
        <v>175</v>
      </c>
      <c r="BX243" s="53" t="s">
        <v>175</v>
      </c>
      <c r="BY243" s="53" t="s">
        <v>175</v>
      </c>
      <c r="BZ243" s="53" t="s">
        <v>175</v>
      </c>
      <c r="CA243" s="147">
        <v>2</v>
      </c>
      <c r="CB243" s="54">
        <v>0</v>
      </c>
    </row>
    <row r="244" spans="1:81">
      <c r="A244" s="123" t="s">
        <v>538</v>
      </c>
      <c r="B244" s="124" t="s">
        <v>927</v>
      </c>
      <c r="C244" s="148" t="s">
        <v>674</v>
      </c>
      <c r="D244" s="126" t="s">
        <v>743</v>
      </c>
      <c r="E244" s="127">
        <v>23.0078308777031</v>
      </c>
      <c r="F244" s="127">
        <v>113.09489737480899</v>
      </c>
      <c r="G244" s="128" t="s">
        <v>168</v>
      </c>
      <c r="H244" s="145">
        <v>4120.6818647162499</v>
      </c>
      <c r="I244" s="145">
        <v>111.00922125661452</v>
      </c>
      <c r="J244" s="129">
        <v>4640</v>
      </c>
      <c r="K244" s="129">
        <v>231</v>
      </c>
      <c r="L244" s="129">
        <v>344</v>
      </c>
      <c r="M244" s="130" t="s">
        <v>535</v>
      </c>
      <c r="N244" s="130" t="s">
        <v>848</v>
      </c>
      <c r="O244" s="130" t="s">
        <v>175</v>
      </c>
      <c r="P244" s="130" t="s">
        <v>175</v>
      </c>
      <c r="Q244" s="130" t="s">
        <v>172</v>
      </c>
      <c r="R244" s="131">
        <v>1.6</v>
      </c>
      <c r="S244" s="131" t="s">
        <v>175</v>
      </c>
      <c r="T244" s="130">
        <v>1</v>
      </c>
      <c r="U244" s="132" t="s">
        <v>192</v>
      </c>
      <c r="V244" s="133">
        <v>0.1</v>
      </c>
      <c r="W244" s="132" t="s">
        <v>174</v>
      </c>
      <c r="X244" s="133">
        <v>0.1</v>
      </c>
      <c r="Y244" s="133">
        <v>0.05</v>
      </c>
      <c r="Z244" s="133">
        <v>0.01</v>
      </c>
      <c r="AA244" s="133">
        <v>0.05</v>
      </c>
      <c r="AB244" s="133">
        <v>0</v>
      </c>
      <c r="AC244" s="134">
        <v>0</v>
      </c>
      <c r="AD244" s="134">
        <v>0</v>
      </c>
      <c r="AE244" s="134">
        <v>0.5</v>
      </c>
      <c r="AF244" s="134">
        <v>0</v>
      </c>
      <c r="AG244" s="134">
        <v>0.1</v>
      </c>
      <c r="AH244" s="134">
        <v>0</v>
      </c>
      <c r="AI244" s="134">
        <v>0</v>
      </c>
      <c r="AJ244" s="134">
        <v>3.64</v>
      </c>
      <c r="AK244" s="134" t="s">
        <v>175</v>
      </c>
      <c r="AL244" s="122" t="s">
        <v>175</v>
      </c>
      <c r="AM244" s="122">
        <f>3.63-1.6</f>
        <v>2.0299999999999998</v>
      </c>
      <c r="AN244" s="134" t="s">
        <v>176</v>
      </c>
      <c r="AO244" s="122" t="s">
        <v>177</v>
      </c>
      <c r="AP244" s="135">
        <f t="shared" si="117"/>
        <v>3.6762344865364618</v>
      </c>
      <c r="AQ244" s="135">
        <f t="shared" si="137"/>
        <v>3.6762344865364618</v>
      </c>
      <c r="AR244" s="117">
        <v>-1.3904115029999999</v>
      </c>
      <c r="AS244" s="117">
        <v>0</v>
      </c>
      <c r="AT244" s="117">
        <v>0</v>
      </c>
      <c r="AU244" s="117">
        <v>-0.82293505300000003</v>
      </c>
      <c r="AV244" s="117">
        <v>-0.57414972799999997</v>
      </c>
      <c r="AW244" s="117">
        <v>-1.8355231E-2</v>
      </c>
      <c r="AX244" s="117">
        <v>0.51650470999999998</v>
      </c>
      <c r="AY244" s="117">
        <v>0.80715914799999999</v>
      </c>
      <c r="AZ244" s="117">
        <v>0</v>
      </c>
      <c r="BA244" s="117">
        <v>0</v>
      </c>
      <c r="BB244" s="117">
        <v>1.6833201799999999</v>
      </c>
      <c r="BC244" s="136" t="str">
        <f t="shared" si="113"/>
        <v xml:space="preserve">1 </v>
      </c>
      <c r="BD244" s="136" t="s">
        <v>199</v>
      </c>
      <c r="BE244" s="136" t="s">
        <v>667</v>
      </c>
      <c r="BF244" s="136" t="s">
        <v>710</v>
      </c>
      <c r="BG244" s="120" t="s">
        <v>664</v>
      </c>
      <c r="BH244" s="136" t="str">
        <f t="shared" si="128"/>
        <v>&gt;MHHW</v>
      </c>
      <c r="BI244" s="136">
        <f t="shared" si="129"/>
        <v>0.80715914799999999</v>
      </c>
      <c r="BJ244" s="136" t="str">
        <f t="shared" si="135"/>
        <v>Nil</v>
      </c>
      <c r="BK244" s="136">
        <f t="shared" si="136"/>
        <v>0.44</v>
      </c>
      <c r="BL244" s="136" t="s">
        <v>736</v>
      </c>
      <c r="BM244" s="136" t="s">
        <v>175</v>
      </c>
      <c r="BN244" s="136" t="s">
        <v>175</v>
      </c>
      <c r="BO244" s="136" t="s">
        <v>736</v>
      </c>
      <c r="BP244" s="137" t="s">
        <v>175</v>
      </c>
      <c r="BQ244" s="137" t="s">
        <v>175</v>
      </c>
      <c r="BR244" s="137" t="s">
        <v>175</v>
      </c>
      <c r="BS244" s="137" t="s">
        <v>175</v>
      </c>
      <c r="BT244" s="138">
        <f t="shared" si="114"/>
        <v>1.2228408519999998</v>
      </c>
      <c r="BU244" s="138">
        <f t="shared" si="115"/>
        <v>3.7024721470930748</v>
      </c>
      <c r="BV244" s="138">
        <f t="shared" si="116"/>
        <v>3.7024721470930748</v>
      </c>
      <c r="BW244" s="53" t="s">
        <v>175</v>
      </c>
      <c r="BX244" s="53" t="s">
        <v>175</v>
      </c>
      <c r="BY244" s="53" t="s">
        <v>175</v>
      </c>
      <c r="BZ244" s="53" t="s">
        <v>175</v>
      </c>
      <c r="CA244" s="147">
        <v>3</v>
      </c>
      <c r="CB244" s="54">
        <v>1</v>
      </c>
      <c r="CC244" s="54" t="s">
        <v>998</v>
      </c>
    </row>
    <row r="245" spans="1:81">
      <c r="A245" s="123" t="s">
        <v>454</v>
      </c>
      <c r="B245" s="124" t="s">
        <v>989</v>
      </c>
      <c r="C245" s="148" t="s">
        <v>674</v>
      </c>
      <c r="D245" s="125" t="s">
        <v>743</v>
      </c>
      <c r="E245" s="127">
        <v>23.152345</v>
      </c>
      <c r="F245" s="127">
        <v>113.094375</v>
      </c>
      <c r="G245" s="128" t="s">
        <v>168</v>
      </c>
      <c r="H245" s="129">
        <v>5030.681864716249</v>
      </c>
      <c r="I245" s="129">
        <v>284.11801633124219</v>
      </c>
      <c r="J245" s="129">
        <v>5150</v>
      </c>
      <c r="K245" s="129">
        <v>694</v>
      </c>
      <c r="L245" s="129">
        <v>723</v>
      </c>
      <c r="M245" s="130" t="s">
        <v>455</v>
      </c>
      <c r="N245" s="130" t="s">
        <v>170</v>
      </c>
      <c r="O245" s="130" t="s">
        <v>175</v>
      </c>
      <c r="P245" s="130" t="s">
        <v>175</v>
      </c>
      <c r="Q245" s="130" t="s">
        <v>456</v>
      </c>
      <c r="R245" s="131" t="s">
        <v>456</v>
      </c>
      <c r="S245" s="131" t="s">
        <v>456</v>
      </c>
      <c r="T245" s="130">
        <v>0</v>
      </c>
      <c r="U245" s="132" t="s">
        <v>192</v>
      </c>
      <c r="V245" s="133">
        <v>0.1</v>
      </c>
      <c r="W245" s="132" t="s">
        <v>174</v>
      </c>
      <c r="X245" s="133">
        <v>0.1</v>
      </c>
      <c r="Y245" s="133">
        <v>0.05</v>
      </c>
      <c r="Z245" s="133">
        <v>0.01</v>
      </c>
      <c r="AA245" s="133">
        <v>0.15</v>
      </c>
      <c r="AB245" s="133">
        <v>0.2</v>
      </c>
      <c r="AC245" s="134">
        <v>0</v>
      </c>
      <c r="AD245" s="134">
        <v>0</v>
      </c>
      <c r="AE245" s="134">
        <v>0.5</v>
      </c>
      <c r="AF245" s="134">
        <v>0</v>
      </c>
      <c r="AG245" s="134">
        <v>0.1</v>
      </c>
      <c r="AH245" s="134">
        <v>0</v>
      </c>
      <c r="AI245" s="134">
        <v>0</v>
      </c>
      <c r="AJ245" s="134">
        <v>0</v>
      </c>
      <c r="AK245" s="134" t="s">
        <v>175</v>
      </c>
      <c r="AL245" s="122" t="s">
        <v>175</v>
      </c>
      <c r="AM245" s="122">
        <v>3.6</v>
      </c>
      <c r="AN245" s="134" t="s">
        <v>176</v>
      </c>
      <c r="AO245" s="134" t="s">
        <v>177</v>
      </c>
      <c r="AP245" s="135">
        <f t="shared" si="117"/>
        <v>0.57017541160593732</v>
      </c>
      <c r="AQ245" s="135">
        <f t="shared" si="137"/>
        <v>0.57017541160593732</v>
      </c>
      <c r="AR245" s="117">
        <v>-1.397579731</v>
      </c>
      <c r="AS245" s="117">
        <v>0</v>
      </c>
      <c r="AT245" s="117">
        <v>0</v>
      </c>
      <c r="AU245" s="117">
        <v>-0.83472794500000003</v>
      </c>
      <c r="AV245" s="117">
        <v>-0.579005624</v>
      </c>
      <c r="AW245" s="117">
        <v>-2.0609754000000001E-2</v>
      </c>
      <c r="AX245" s="117">
        <v>0.51742964300000005</v>
      </c>
      <c r="AY245" s="117">
        <v>0.81386491000000005</v>
      </c>
      <c r="AZ245" s="117">
        <v>0</v>
      </c>
      <c r="BA245" s="117">
        <v>0</v>
      </c>
      <c r="BB245" s="117">
        <v>2.1077504720000002</v>
      </c>
      <c r="BC245" s="136" t="str">
        <f t="shared" si="113"/>
        <v>0</v>
      </c>
      <c r="BD245" s="136" t="s">
        <v>193</v>
      </c>
      <c r="BE245" s="136" t="s">
        <v>711</v>
      </c>
      <c r="BF245" s="136" t="s">
        <v>680</v>
      </c>
      <c r="BG245" s="120" t="s">
        <v>679</v>
      </c>
      <c r="BH245" s="136" t="str">
        <f t="shared" si="128"/>
        <v>MHHW-MLLW</v>
      </c>
      <c r="BI245" s="136">
        <f t="shared" si="129"/>
        <v>-1.0431517499999987E-2</v>
      </c>
      <c r="BJ245" s="136">
        <f t="shared" si="135"/>
        <v>0.82429642749999998</v>
      </c>
      <c r="BK245" s="136">
        <f t="shared" si="136"/>
        <v>0.27</v>
      </c>
      <c r="BL245" s="136">
        <v>0.46498772833333346</v>
      </c>
      <c r="BM245" s="136" t="s">
        <v>175</v>
      </c>
      <c r="BN245" s="136" t="s">
        <v>175</v>
      </c>
      <c r="BO245" s="136">
        <v>0.24825800013433663</v>
      </c>
      <c r="BP245" s="137" t="s">
        <v>175</v>
      </c>
      <c r="BQ245" s="137" t="s">
        <v>175</v>
      </c>
      <c r="BR245" s="137" t="s">
        <v>175</v>
      </c>
      <c r="BS245" s="137" t="s">
        <v>175</v>
      </c>
      <c r="BT245" s="138">
        <f t="shared" si="114"/>
        <v>3.6104315174999999</v>
      </c>
      <c r="BU245" s="138">
        <f t="shared" si="115"/>
        <v>1.1641779170386959</v>
      </c>
      <c r="BV245" s="138">
        <f t="shared" si="116"/>
        <v>1.1641779170386959</v>
      </c>
      <c r="BW245" s="53" t="s">
        <v>175</v>
      </c>
      <c r="BX245" s="53" t="s">
        <v>175</v>
      </c>
      <c r="BY245" s="53" t="s">
        <v>175</v>
      </c>
      <c r="BZ245" s="53" t="s">
        <v>175</v>
      </c>
      <c r="CA245" s="147">
        <v>2</v>
      </c>
      <c r="CB245" s="54">
        <v>0</v>
      </c>
    </row>
    <row r="246" spans="1:81">
      <c r="A246" s="123" t="s">
        <v>492</v>
      </c>
      <c r="B246" s="124" t="s">
        <v>969</v>
      </c>
      <c r="C246" s="148" t="s">
        <v>674</v>
      </c>
      <c r="D246" s="125" t="s">
        <v>743</v>
      </c>
      <c r="E246" s="127">
        <v>23.033333333333335</v>
      </c>
      <c r="F246" s="127">
        <v>113.01666666666667</v>
      </c>
      <c r="G246" s="128" t="s">
        <v>168</v>
      </c>
      <c r="H246" s="129">
        <v>6538.8105623511892</v>
      </c>
      <c r="I246" s="129">
        <v>197.39434918585735</v>
      </c>
      <c r="J246" s="129">
        <v>7421</v>
      </c>
      <c r="K246" s="129">
        <v>366</v>
      </c>
      <c r="L246" s="129">
        <v>432</v>
      </c>
      <c r="M246" s="130" t="s">
        <v>493</v>
      </c>
      <c r="N246" s="149" t="s">
        <v>735</v>
      </c>
      <c r="O246" s="130" t="s">
        <v>494</v>
      </c>
      <c r="P246" s="130" t="s">
        <v>495</v>
      </c>
      <c r="Q246" s="130" t="s">
        <v>172</v>
      </c>
      <c r="R246" s="131">
        <v>3.9</v>
      </c>
      <c r="S246" s="131">
        <v>0</v>
      </c>
      <c r="T246" s="130">
        <v>1</v>
      </c>
      <c r="U246" s="132" t="s">
        <v>173</v>
      </c>
      <c r="V246" s="133">
        <v>0.1</v>
      </c>
      <c r="W246" s="132" t="s">
        <v>174</v>
      </c>
      <c r="X246" s="133">
        <v>0.1</v>
      </c>
      <c r="Y246" s="133">
        <v>0.05</v>
      </c>
      <c r="Z246" s="133">
        <v>0.01</v>
      </c>
      <c r="AA246" s="133">
        <v>0.15</v>
      </c>
      <c r="AB246" s="133">
        <f>0.02*R246</f>
        <v>7.8E-2</v>
      </c>
      <c r="AC246" s="134">
        <v>0</v>
      </c>
      <c r="AD246" s="134">
        <v>0</v>
      </c>
      <c r="AE246" s="134">
        <v>0.5</v>
      </c>
      <c r="AF246" s="134">
        <v>0</v>
      </c>
      <c r="AG246" s="134">
        <v>0.1</v>
      </c>
      <c r="AH246" s="134">
        <v>0</v>
      </c>
      <c r="AI246" s="134">
        <v>0</v>
      </c>
      <c r="AJ246" s="134">
        <v>0</v>
      </c>
      <c r="AK246" s="134" t="s">
        <v>175</v>
      </c>
      <c r="AL246" s="122" t="s">
        <v>175</v>
      </c>
      <c r="AM246" s="122">
        <v>-3.8</v>
      </c>
      <c r="AN246" s="134" t="s">
        <v>176</v>
      </c>
      <c r="AO246" s="134" t="s">
        <v>177</v>
      </c>
      <c r="AP246" s="135">
        <f t="shared" si="117"/>
        <v>0.53961467733930291</v>
      </c>
      <c r="AQ246" s="135">
        <f t="shared" si="137"/>
        <v>0.53961467733930291</v>
      </c>
      <c r="AR246" s="117">
        <v>-1.4061777550000001</v>
      </c>
      <c r="AS246" s="117">
        <v>0</v>
      </c>
      <c r="AT246" s="117">
        <v>0</v>
      </c>
      <c r="AU246" s="117">
        <v>-0.84887307999999995</v>
      </c>
      <c r="AV246" s="117">
        <v>-0.58483009200000002</v>
      </c>
      <c r="AW246" s="117">
        <v>-2.3313970999999999E-2</v>
      </c>
      <c r="AX246" s="117">
        <v>0.51853906500000002</v>
      </c>
      <c r="AY246" s="117">
        <v>0.82190822200000002</v>
      </c>
      <c r="AZ246" s="117">
        <v>0</v>
      </c>
      <c r="BA246" s="117">
        <v>0</v>
      </c>
      <c r="BB246" s="117">
        <v>1.679212897</v>
      </c>
      <c r="BC246" s="136" t="str">
        <f t="shared" si="113"/>
        <v xml:space="preserve">-1 </v>
      </c>
      <c r="BD246" s="136" t="s">
        <v>178</v>
      </c>
      <c r="BE246" s="136" t="s">
        <v>690</v>
      </c>
      <c r="BF246" s="136" t="s">
        <v>289</v>
      </c>
      <c r="BG246" s="120" t="s">
        <v>661</v>
      </c>
      <c r="BH246" s="136" t="str">
        <f t="shared" si="128"/>
        <v>&lt;HAT</v>
      </c>
      <c r="BI246" s="136">
        <f t="shared" si="129"/>
        <v>1.679212897</v>
      </c>
      <c r="BJ246" s="136" t="str">
        <f t="shared" si="135"/>
        <v>Nil</v>
      </c>
      <c r="BK246" s="136">
        <f t="shared" si="136"/>
        <v>0.18</v>
      </c>
      <c r="BL246" s="136" t="s">
        <v>736</v>
      </c>
      <c r="BM246" s="136" t="s">
        <v>175</v>
      </c>
      <c r="BN246" s="136" t="s">
        <v>175</v>
      </c>
      <c r="BO246" s="136" t="s">
        <v>736</v>
      </c>
      <c r="BP246" s="137" t="s">
        <v>175</v>
      </c>
      <c r="BQ246" s="137" t="s">
        <v>175</v>
      </c>
      <c r="BR246" s="137" t="s">
        <v>175</v>
      </c>
      <c r="BS246" s="137" t="s">
        <v>175</v>
      </c>
      <c r="BT246" s="138">
        <f t="shared" si="114"/>
        <v>-5.479212897</v>
      </c>
      <c r="BU246" s="138">
        <f t="shared" si="115"/>
        <v>0.56884444270819767</v>
      </c>
      <c r="BV246" s="138">
        <f t="shared" si="116"/>
        <v>0.56884444270819767</v>
      </c>
      <c r="BW246" s="53" t="s">
        <v>175</v>
      </c>
      <c r="BX246" s="53" t="s">
        <v>175</v>
      </c>
      <c r="BY246" s="53" t="s">
        <v>175</v>
      </c>
      <c r="BZ246" s="53" t="s">
        <v>175</v>
      </c>
      <c r="CA246" s="147">
        <v>2</v>
      </c>
      <c r="CB246" s="54">
        <v>0</v>
      </c>
    </row>
    <row r="247" spans="1:81">
      <c r="A247" s="123" t="s">
        <v>624</v>
      </c>
      <c r="B247" s="124" t="s">
        <v>928</v>
      </c>
      <c r="C247" s="125" t="s">
        <v>674</v>
      </c>
      <c r="D247" s="126" t="s">
        <v>743</v>
      </c>
      <c r="E247" s="127">
        <v>22.827369999999998</v>
      </c>
      <c r="F247" s="127">
        <v>113.00008</v>
      </c>
      <c r="G247" s="128" t="s">
        <v>168</v>
      </c>
      <c r="H247" s="145">
        <v>7375.6818647162481</v>
      </c>
      <c r="I247" s="145">
        <v>152.80067802205591</v>
      </c>
      <c r="J247" s="129">
        <v>7676</v>
      </c>
      <c r="K247" s="129">
        <v>339</v>
      </c>
      <c r="L247" s="129">
        <v>348</v>
      </c>
      <c r="M247" s="146" t="s">
        <v>625</v>
      </c>
      <c r="N247" s="146" t="s">
        <v>619</v>
      </c>
      <c r="O247" s="130" t="s">
        <v>175</v>
      </c>
      <c r="P247" s="130" t="s">
        <v>175</v>
      </c>
      <c r="Q247" s="130" t="s">
        <v>377</v>
      </c>
      <c r="R247" s="131">
        <v>13.9</v>
      </c>
      <c r="S247" s="131" t="s">
        <v>175</v>
      </c>
      <c r="T247" s="130">
        <v>1</v>
      </c>
      <c r="U247" s="132" t="s">
        <v>173</v>
      </c>
      <c r="V247" s="133">
        <v>0.1</v>
      </c>
      <c r="W247" s="132" t="s">
        <v>174</v>
      </c>
      <c r="X247" s="133">
        <v>0.1</v>
      </c>
      <c r="Y247" s="133">
        <v>0.05</v>
      </c>
      <c r="Z247" s="133">
        <v>0.01</v>
      </c>
      <c r="AA247" s="133">
        <v>0.05</v>
      </c>
      <c r="AB247" s="133">
        <v>0</v>
      </c>
      <c r="AC247" s="134">
        <v>0</v>
      </c>
      <c r="AD247" s="134">
        <v>0</v>
      </c>
      <c r="AE247" s="134">
        <v>0.5</v>
      </c>
      <c r="AF247" s="134">
        <v>0</v>
      </c>
      <c r="AG247" s="134">
        <v>0.1</v>
      </c>
      <c r="AH247" s="134">
        <v>0</v>
      </c>
      <c r="AI247" s="134">
        <v>0</v>
      </c>
      <c r="AJ247" s="134">
        <v>0</v>
      </c>
      <c r="AK247" s="134" t="s">
        <v>175</v>
      </c>
      <c r="AL247" s="122" t="s">
        <v>175</v>
      </c>
      <c r="AM247" s="122">
        <v>-0.2</v>
      </c>
      <c r="AN247" s="134" t="s">
        <v>176</v>
      </c>
      <c r="AO247" s="122" t="s">
        <v>177</v>
      </c>
      <c r="AP247" s="135">
        <f t="shared" si="117"/>
        <v>0.5148786264742401</v>
      </c>
      <c r="AQ247" s="135">
        <f t="shared" si="137"/>
        <v>0.5148786264742401</v>
      </c>
      <c r="AR247" s="117">
        <v>-1.434831172</v>
      </c>
      <c r="AS247" s="117">
        <v>0</v>
      </c>
      <c r="AT247" s="117">
        <v>0</v>
      </c>
      <c r="AU247" s="117">
        <v>-0.89601257400000001</v>
      </c>
      <c r="AV247" s="117">
        <v>-0.60424047199999997</v>
      </c>
      <c r="AW247" s="117">
        <v>-3.2325933000000001E-2</v>
      </c>
      <c r="AX247" s="117">
        <v>0.52223628</v>
      </c>
      <c r="AY247" s="117">
        <v>0.84871303200000003</v>
      </c>
      <c r="AZ247" s="117">
        <v>0</v>
      </c>
      <c r="BA247" s="117">
        <v>0</v>
      </c>
      <c r="BB247" s="117">
        <v>1.6875316309999999</v>
      </c>
      <c r="BC247" s="136" t="str">
        <f t="shared" si="113"/>
        <v xml:space="preserve">-1 </v>
      </c>
      <c r="BD247" s="136" t="s">
        <v>178</v>
      </c>
      <c r="BE247" s="136" t="s">
        <v>625</v>
      </c>
      <c r="BF247" s="136" t="s">
        <v>666</v>
      </c>
      <c r="BG247" s="120" t="s">
        <v>677</v>
      </c>
      <c r="BH247" s="136" t="str">
        <f t="shared" si="128"/>
        <v>&lt;MTL</v>
      </c>
      <c r="BI247" s="136">
        <f t="shared" si="129"/>
        <v>-3.2325933000000001E-2</v>
      </c>
      <c r="BJ247" s="136" t="str">
        <f t="shared" si="135"/>
        <v>Nil</v>
      </c>
      <c r="BK247" s="136">
        <f t="shared" si="136"/>
        <v>0.05</v>
      </c>
      <c r="BL247" s="136" t="s">
        <v>736</v>
      </c>
      <c r="BM247" s="136" t="s">
        <v>175</v>
      </c>
      <c r="BN247" s="136" t="s">
        <v>175</v>
      </c>
      <c r="BO247" s="136" t="s">
        <v>736</v>
      </c>
      <c r="BP247" s="137" t="s">
        <v>175</v>
      </c>
      <c r="BQ247" s="137" t="s">
        <v>175</v>
      </c>
      <c r="BR247" s="137" t="s">
        <v>175</v>
      </c>
      <c r="BS247" s="137" t="s">
        <v>175</v>
      </c>
      <c r="BT247" s="138">
        <f t="shared" si="114"/>
        <v>-0.16767406700000001</v>
      </c>
      <c r="BU247" s="138">
        <f t="shared" si="115"/>
        <v>0.51730068625510262</v>
      </c>
      <c r="BV247" s="138">
        <f t="shared" si="116"/>
        <v>0.51730068625510262</v>
      </c>
      <c r="BW247" s="53" t="s">
        <v>175</v>
      </c>
      <c r="BX247" s="53" t="s">
        <v>175</v>
      </c>
      <c r="BY247" s="53" t="s">
        <v>175</v>
      </c>
      <c r="BZ247" s="53" t="s">
        <v>175</v>
      </c>
      <c r="CA247" s="147">
        <v>1</v>
      </c>
      <c r="CB247" s="54">
        <v>0</v>
      </c>
    </row>
    <row r="248" spans="1:81">
      <c r="A248" s="123" t="s">
        <v>533</v>
      </c>
      <c r="B248" s="124" t="s">
        <v>534</v>
      </c>
      <c r="C248" s="148" t="s">
        <v>674</v>
      </c>
      <c r="D248" s="126" t="s">
        <v>743</v>
      </c>
      <c r="E248" s="127">
        <v>22.9548617477449</v>
      </c>
      <c r="F248" s="127">
        <v>112.970379965737</v>
      </c>
      <c r="G248" s="128" t="s">
        <v>168</v>
      </c>
      <c r="H248" s="145">
        <v>5295.6818647162481</v>
      </c>
      <c r="I248" s="145">
        <v>111.00922125661452</v>
      </c>
      <c r="J248" s="129">
        <v>5478</v>
      </c>
      <c r="K248" s="129">
        <v>346</v>
      </c>
      <c r="L248" s="129">
        <v>339</v>
      </c>
      <c r="M248" s="130" t="s">
        <v>535</v>
      </c>
      <c r="N248" s="130" t="s">
        <v>339</v>
      </c>
      <c r="O248" s="130" t="s">
        <v>175</v>
      </c>
      <c r="P248" s="130" t="s">
        <v>175</v>
      </c>
      <c r="Q248" s="130" t="s">
        <v>172</v>
      </c>
      <c r="R248" s="131" t="s">
        <v>175</v>
      </c>
      <c r="S248" s="131" t="s">
        <v>175</v>
      </c>
      <c r="T248" s="130">
        <v>1</v>
      </c>
      <c r="U248" s="132" t="s">
        <v>192</v>
      </c>
      <c r="V248" s="133">
        <v>0.1</v>
      </c>
      <c r="W248" s="132" t="s">
        <v>174</v>
      </c>
      <c r="X248" s="133">
        <v>0.1</v>
      </c>
      <c r="Y248" s="133">
        <v>0.05</v>
      </c>
      <c r="Z248" s="133">
        <v>0.01</v>
      </c>
      <c r="AA248" s="133">
        <v>0.05</v>
      </c>
      <c r="AB248" s="133">
        <v>0</v>
      </c>
      <c r="AC248" s="134">
        <v>0</v>
      </c>
      <c r="AD248" s="134">
        <v>0</v>
      </c>
      <c r="AE248" s="134">
        <v>0.5</v>
      </c>
      <c r="AF248" s="134">
        <v>0</v>
      </c>
      <c r="AG248" s="134">
        <v>0.1</v>
      </c>
      <c r="AH248" s="134">
        <v>0</v>
      </c>
      <c r="AI248" s="134">
        <v>0</v>
      </c>
      <c r="AJ248" s="134">
        <v>3.21</v>
      </c>
      <c r="AK248" s="134" t="s">
        <v>175</v>
      </c>
      <c r="AL248" s="122" t="s">
        <v>175</v>
      </c>
      <c r="AM248" s="122">
        <v>2.75</v>
      </c>
      <c r="AN248" s="134" t="s">
        <v>176</v>
      </c>
      <c r="AO248" s="122" t="s">
        <v>177</v>
      </c>
      <c r="AP248" s="135">
        <f t="shared" si="117"/>
        <v>3.2510306058233289</v>
      </c>
      <c r="AQ248" s="135">
        <f t="shared" si="137"/>
        <v>3.2510306058233289</v>
      </c>
      <c r="AR248" s="117">
        <v>-1.4203250629999999</v>
      </c>
      <c r="AS248" s="117">
        <v>0</v>
      </c>
      <c r="AT248" s="117">
        <v>0</v>
      </c>
      <c r="AU248" s="117">
        <v>-0.87214768499999995</v>
      </c>
      <c r="AV248" s="117">
        <v>-0.59441375200000002</v>
      </c>
      <c r="AW248" s="117">
        <v>-2.7763527999999999E-2</v>
      </c>
      <c r="AX248" s="117">
        <v>0.52036452399999999</v>
      </c>
      <c r="AY248" s="117">
        <v>0.83514280100000005</v>
      </c>
      <c r="AZ248" s="117">
        <v>0</v>
      </c>
      <c r="BA248" s="117">
        <v>0</v>
      </c>
      <c r="BB248" s="117">
        <v>1.6746355980000001</v>
      </c>
      <c r="BC248" s="136" t="str">
        <f t="shared" si="113"/>
        <v xml:space="preserve">1 </v>
      </c>
      <c r="BD248" s="136" t="s">
        <v>199</v>
      </c>
      <c r="BE248" s="136" t="s">
        <v>667</v>
      </c>
      <c r="BF248" s="136" t="s">
        <v>710</v>
      </c>
      <c r="BG248" s="120" t="s">
        <v>664</v>
      </c>
      <c r="BH248" s="136" t="str">
        <f t="shared" si="128"/>
        <v>&gt;MHHW</v>
      </c>
      <c r="BI248" s="136">
        <f t="shared" si="129"/>
        <v>0.83514280100000005</v>
      </c>
      <c r="BJ248" s="136" t="str">
        <f t="shared" si="135"/>
        <v>Nil</v>
      </c>
      <c r="BK248" s="136">
        <f t="shared" si="136"/>
        <v>0.44</v>
      </c>
      <c r="BL248" s="136" t="s">
        <v>736</v>
      </c>
      <c r="BM248" s="136" t="s">
        <v>175</v>
      </c>
      <c r="BN248" s="136" t="s">
        <v>175</v>
      </c>
      <c r="BO248" s="136" t="s">
        <v>736</v>
      </c>
      <c r="BP248" s="137" t="s">
        <v>175</v>
      </c>
      <c r="BQ248" s="137" t="s">
        <v>175</v>
      </c>
      <c r="BR248" s="137" t="s">
        <v>175</v>
      </c>
      <c r="BS248" s="137" t="s">
        <v>175</v>
      </c>
      <c r="BT248" s="138">
        <f t="shared" si="114"/>
        <v>1.9148571990000001</v>
      </c>
      <c r="BU248" s="138">
        <f t="shared" si="115"/>
        <v>3.2806706631419131</v>
      </c>
      <c r="BV248" s="138">
        <f t="shared" si="116"/>
        <v>3.2806706631419131</v>
      </c>
      <c r="BW248" s="53" t="s">
        <v>175</v>
      </c>
      <c r="BX248" s="53" t="s">
        <v>175</v>
      </c>
      <c r="BY248" s="53" t="s">
        <v>175</v>
      </c>
      <c r="BZ248" s="53" t="s">
        <v>175</v>
      </c>
      <c r="CA248" s="147">
        <v>2</v>
      </c>
      <c r="CB248" s="54">
        <v>0</v>
      </c>
    </row>
    <row r="249" spans="1:81">
      <c r="A249" s="123" t="s">
        <v>536</v>
      </c>
      <c r="B249" s="124" t="s">
        <v>534</v>
      </c>
      <c r="C249" s="148" t="s">
        <v>674</v>
      </c>
      <c r="D249" s="126" t="s">
        <v>743</v>
      </c>
      <c r="E249" s="127">
        <v>22.9548617477449</v>
      </c>
      <c r="F249" s="127">
        <v>112.970379965737</v>
      </c>
      <c r="G249" s="128" t="s">
        <v>168</v>
      </c>
      <c r="H249" s="145">
        <v>5700.6818647162499</v>
      </c>
      <c r="I249" s="145">
        <v>111.00922125661452</v>
      </c>
      <c r="J249" s="129">
        <v>5917</v>
      </c>
      <c r="K249" s="129">
        <v>307</v>
      </c>
      <c r="L249" s="129">
        <v>322</v>
      </c>
      <c r="M249" s="130" t="s">
        <v>535</v>
      </c>
      <c r="N249" s="130" t="s">
        <v>339</v>
      </c>
      <c r="O249" s="130" t="s">
        <v>175</v>
      </c>
      <c r="P249" s="130" t="s">
        <v>175</v>
      </c>
      <c r="Q249" s="130" t="s">
        <v>172</v>
      </c>
      <c r="R249" s="131" t="s">
        <v>175</v>
      </c>
      <c r="S249" s="131" t="s">
        <v>175</v>
      </c>
      <c r="T249" s="130">
        <v>1</v>
      </c>
      <c r="U249" s="132" t="s">
        <v>192</v>
      </c>
      <c r="V249" s="133">
        <v>0.1</v>
      </c>
      <c r="W249" s="132" t="s">
        <v>174</v>
      </c>
      <c r="X249" s="133">
        <v>0.1</v>
      </c>
      <c r="Y249" s="133">
        <v>0.05</v>
      </c>
      <c r="Z249" s="133">
        <v>0.01</v>
      </c>
      <c r="AA249" s="133">
        <v>0.05</v>
      </c>
      <c r="AB249" s="133">
        <v>0</v>
      </c>
      <c r="AC249" s="134">
        <v>0</v>
      </c>
      <c r="AD249" s="134">
        <v>0</v>
      </c>
      <c r="AE249" s="134">
        <v>0.5</v>
      </c>
      <c r="AF249" s="134">
        <v>0</v>
      </c>
      <c r="AG249" s="134">
        <v>0.1</v>
      </c>
      <c r="AH249" s="134">
        <v>0</v>
      </c>
      <c r="AI249" s="134">
        <v>0</v>
      </c>
      <c r="AJ249" s="134">
        <v>3.21</v>
      </c>
      <c r="AK249" s="134" t="s">
        <v>175</v>
      </c>
      <c r="AL249" s="122" t="s">
        <v>175</v>
      </c>
      <c r="AM249" s="122">
        <v>2.75</v>
      </c>
      <c r="AN249" s="134" t="s">
        <v>176</v>
      </c>
      <c r="AO249" s="122" t="s">
        <v>177</v>
      </c>
      <c r="AP249" s="135">
        <f t="shared" si="117"/>
        <v>3.2510306058233289</v>
      </c>
      <c r="AQ249" s="135">
        <f t="shared" si="137"/>
        <v>3.2510306058233289</v>
      </c>
      <c r="AR249" s="117">
        <v>-1.4203250629999999</v>
      </c>
      <c r="AS249" s="117">
        <v>0</v>
      </c>
      <c r="AT249" s="117">
        <v>0</v>
      </c>
      <c r="AU249" s="117">
        <v>-0.87214768499999995</v>
      </c>
      <c r="AV249" s="117">
        <v>-0.59441375200000002</v>
      </c>
      <c r="AW249" s="117">
        <v>-2.7763527999999999E-2</v>
      </c>
      <c r="AX249" s="117">
        <v>0.52036452399999999</v>
      </c>
      <c r="AY249" s="117">
        <v>0.83514280100000005</v>
      </c>
      <c r="AZ249" s="117">
        <v>0</v>
      </c>
      <c r="BA249" s="117">
        <v>0</v>
      </c>
      <c r="BB249" s="117">
        <v>1.6746355980000001</v>
      </c>
      <c r="BC249" s="136" t="str">
        <f t="shared" si="113"/>
        <v xml:space="preserve">1 </v>
      </c>
      <c r="BD249" s="136" t="s">
        <v>199</v>
      </c>
      <c r="BE249" s="136" t="s">
        <v>667</v>
      </c>
      <c r="BF249" s="136" t="s">
        <v>710</v>
      </c>
      <c r="BG249" s="120" t="s">
        <v>664</v>
      </c>
      <c r="BH249" s="136" t="str">
        <f t="shared" si="128"/>
        <v>&gt;MHHW</v>
      </c>
      <c r="BI249" s="136">
        <f t="shared" si="129"/>
        <v>0.83514280100000005</v>
      </c>
      <c r="BJ249" s="136" t="str">
        <f t="shared" si="135"/>
        <v>Nil</v>
      </c>
      <c r="BK249" s="136">
        <f t="shared" si="136"/>
        <v>0.44</v>
      </c>
      <c r="BL249" s="136" t="s">
        <v>736</v>
      </c>
      <c r="BM249" s="136" t="s">
        <v>175</v>
      </c>
      <c r="BN249" s="136" t="s">
        <v>175</v>
      </c>
      <c r="BO249" s="136" t="s">
        <v>736</v>
      </c>
      <c r="BP249" s="137" t="s">
        <v>175</v>
      </c>
      <c r="BQ249" s="137" t="s">
        <v>175</v>
      </c>
      <c r="BR249" s="137" t="s">
        <v>175</v>
      </c>
      <c r="BS249" s="137" t="s">
        <v>175</v>
      </c>
      <c r="BT249" s="138">
        <f t="shared" si="114"/>
        <v>1.9148571990000001</v>
      </c>
      <c r="BU249" s="138">
        <f t="shared" si="115"/>
        <v>3.2806706631419131</v>
      </c>
      <c r="BV249" s="138">
        <f t="shared" si="116"/>
        <v>3.2806706631419131</v>
      </c>
      <c r="BW249" s="53" t="s">
        <v>175</v>
      </c>
      <c r="BX249" s="53" t="s">
        <v>175</v>
      </c>
      <c r="BY249" s="53" t="s">
        <v>175</v>
      </c>
      <c r="BZ249" s="53" t="s">
        <v>175</v>
      </c>
      <c r="CA249" s="147">
        <v>2</v>
      </c>
      <c r="CB249" s="54">
        <v>0</v>
      </c>
    </row>
    <row r="250" spans="1:81">
      <c r="A250" s="123" t="s">
        <v>476</v>
      </c>
      <c r="B250" s="124" t="s">
        <v>858</v>
      </c>
      <c r="C250" s="148" t="s">
        <v>674</v>
      </c>
      <c r="D250" s="125" t="s">
        <v>743</v>
      </c>
      <c r="E250" s="127">
        <v>22.92</v>
      </c>
      <c r="F250" s="127">
        <v>112.96</v>
      </c>
      <c r="G250" s="128" t="s">
        <v>168</v>
      </c>
      <c r="H250" s="129">
        <v>6255.681864716249</v>
      </c>
      <c r="I250" s="129">
        <v>106.52721344332629</v>
      </c>
      <c r="J250" s="129">
        <v>6513</v>
      </c>
      <c r="K250" s="129">
        <v>319</v>
      </c>
      <c r="L250" s="129">
        <v>301</v>
      </c>
      <c r="M250" s="130" t="s">
        <v>721</v>
      </c>
      <c r="N250" s="130" t="s">
        <v>339</v>
      </c>
      <c r="O250" s="130" t="s">
        <v>175</v>
      </c>
      <c r="P250" s="130" t="s">
        <v>175</v>
      </c>
      <c r="Q250" s="130" t="s">
        <v>377</v>
      </c>
      <c r="R250" s="131">
        <v>3</v>
      </c>
      <c r="S250" s="131">
        <v>20</v>
      </c>
      <c r="T250" s="130">
        <v>1</v>
      </c>
      <c r="U250" s="132" t="s">
        <v>173</v>
      </c>
      <c r="V250" s="133">
        <v>0.1</v>
      </c>
      <c r="W250" s="132" t="s">
        <v>174</v>
      </c>
      <c r="X250" s="133">
        <v>0.1</v>
      </c>
      <c r="Y250" s="133">
        <v>0.05</v>
      </c>
      <c r="Z250" s="133">
        <v>0.01</v>
      </c>
      <c r="AA250" s="133">
        <v>0.15</v>
      </c>
      <c r="AB250" s="133">
        <f>0.02*R250</f>
        <v>0.06</v>
      </c>
      <c r="AC250" s="134">
        <v>0</v>
      </c>
      <c r="AD250" s="134">
        <v>0</v>
      </c>
      <c r="AE250" s="134">
        <v>0.5</v>
      </c>
      <c r="AF250" s="134">
        <v>0</v>
      </c>
      <c r="AG250" s="134">
        <v>0.1</v>
      </c>
      <c r="AH250" s="134">
        <v>0</v>
      </c>
      <c r="AI250" s="134">
        <v>0</v>
      </c>
      <c r="AJ250" s="134">
        <v>0</v>
      </c>
      <c r="AK250" s="134" t="s">
        <v>175</v>
      </c>
      <c r="AL250" s="122" t="s">
        <v>175</v>
      </c>
      <c r="AM250" s="122">
        <v>-1.4</v>
      </c>
      <c r="AN250" s="134" t="s">
        <v>176</v>
      </c>
      <c r="AO250" s="134" t="s">
        <v>177</v>
      </c>
      <c r="AP250" s="135">
        <f t="shared" si="117"/>
        <v>0.53730810528038753</v>
      </c>
      <c r="AQ250" s="135">
        <f t="shared" si="137"/>
        <v>0.53730810528038753</v>
      </c>
      <c r="AR250" s="117">
        <v>-1.4253529490000001</v>
      </c>
      <c r="AS250" s="117">
        <v>0</v>
      </c>
      <c r="AT250" s="117">
        <v>0</v>
      </c>
      <c r="AU250" s="117">
        <v>-0.88041936799999998</v>
      </c>
      <c r="AV250" s="117">
        <v>-0.59781974000000004</v>
      </c>
      <c r="AW250" s="117">
        <v>-2.9344879000000001E-2</v>
      </c>
      <c r="AX250" s="117">
        <v>0.52101328400000002</v>
      </c>
      <c r="AY250" s="117">
        <v>0.83984630699999996</v>
      </c>
      <c r="AZ250" s="117">
        <v>0</v>
      </c>
      <c r="BA250" s="117">
        <v>0</v>
      </c>
      <c r="BB250" s="117">
        <v>2.2187621709999998</v>
      </c>
      <c r="BC250" s="136" t="str">
        <f t="shared" si="113"/>
        <v>-1</v>
      </c>
      <c r="BD250" s="136" t="s">
        <v>178</v>
      </c>
      <c r="BE250" s="136" t="s">
        <v>518</v>
      </c>
      <c r="BF250" s="136" t="s">
        <v>929</v>
      </c>
      <c r="BG250" s="120" t="s">
        <v>678</v>
      </c>
      <c r="BH250" s="136" t="str">
        <f t="shared" si="128"/>
        <v>&lt;MTL</v>
      </c>
      <c r="BI250" s="136">
        <f t="shared" si="129"/>
        <v>-2.9344879000000001E-2</v>
      </c>
      <c r="BJ250" s="136" t="str">
        <f t="shared" si="135"/>
        <v>Nil</v>
      </c>
      <c r="BK250" s="136">
        <f t="shared" si="136"/>
        <v>0.05</v>
      </c>
      <c r="BL250" s="136" t="s">
        <v>736</v>
      </c>
      <c r="BM250" s="136" t="s">
        <v>175</v>
      </c>
      <c r="BN250" s="136" t="s">
        <v>175</v>
      </c>
      <c r="BO250" s="136" t="s">
        <v>736</v>
      </c>
      <c r="BP250" s="137" t="s">
        <v>175</v>
      </c>
      <c r="BQ250" s="137" t="s">
        <v>175</v>
      </c>
      <c r="BR250" s="137" t="s">
        <v>175</v>
      </c>
      <c r="BS250" s="137" t="s">
        <v>175</v>
      </c>
      <c r="BT250" s="138">
        <f t="shared" si="114"/>
        <v>-1.370655121</v>
      </c>
      <c r="BU250" s="138">
        <f t="shared" si="115"/>
        <v>0.53962950252928166</v>
      </c>
      <c r="BV250" s="138">
        <f t="shared" si="116"/>
        <v>0.53962950252928166</v>
      </c>
      <c r="BW250" s="53" t="s">
        <v>175</v>
      </c>
      <c r="BX250" s="53" t="s">
        <v>175</v>
      </c>
      <c r="BY250" s="53" t="s">
        <v>175</v>
      </c>
      <c r="BZ250" s="53" t="s">
        <v>175</v>
      </c>
      <c r="CA250" s="147">
        <v>3</v>
      </c>
      <c r="CB250" s="54">
        <v>1</v>
      </c>
      <c r="CC250" s="54" t="s">
        <v>999</v>
      </c>
    </row>
    <row r="251" spans="1:81">
      <c r="A251" s="123" t="s">
        <v>567</v>
      </c>
      <c r="B251" s="124" t="s">
        <v>561</v>
      </c>
      <c r="C251" s="148" t="s">
        <v>674</v>
      </c>
      <c r="D251" s="126" t="s">
        <v>743</v>
      </c>
      <c r="E251" s="127">
        <v>23.087499999999999</v>
      </c>
      <c r="F251" s="127">
        <v>112.9342</v>
      </c>
      <c r="G251" s="128" t="s">
        <v>168</v>
      </c>
      <c r="H251" s="145">
        <v>2090</v>
      </c>
      <c r="I251" s="145">
        <v>20</v>
      </c>
      <c r="J251" s="129">
        <v>2048</v>
      </c>
      <c r="K251" s="129">
        <v>66</v>
      </c>
      <c r="L251" s="129">
        <v>52</v>
      </c>
      <c r="M251" s="149" t="s">
        <v>568</v>
      </c>
      <c r="N251" s="146" t="s">
        <v>569</v>
      </c>
      <c r="O251" s="149" t="s">
        <v>570</v>
      </c>
      <c r="P251" s="149" t="s">
        <v>571</v>
      </c>
      <c r="Q251" s="130" t="s">
        <v>172</v>
      </c>
      <c r="R251" s="131">
        <v>1.82</v>
      </c>
      <c r="S251" s="131" t="s">
        <v>175</v>
      </c>
      <c r="T251" s="130">
        <v>1</v>
      </c>
      <c r="U251" s="132" t="s">
        <v>173</v>
      </c>
      <c r="V251" s="133">
        <v>0.05</v>
      </c>
      <c r="W251" s="132" t="s">
        <v>174</v>
      </c>
      <c r="X251" s="133">
        <v>0.05</v>
      </c>
      <c r="Y251" s="133">
        <v>2.5000000000000001E-2</v>
      </c>
      <c r="Z251" s="133">
        <v>0.01</v>
      </c>
      <c r="AA251" s="133">
        <v>0.15</v>
      </c>
      <c r="AB251" s="133">
        <f>0.02*R251</f>
        <v>3.6400000000000002E-2</v>
      </c>
      <c r="AC251" s="134">
        <v>0</v>
      </c>
      <c r="AD251" s="134">
        <v>0</v>
      </c>
      <c r="AE251" s="134">
        <v>0.5</v>
      </c>
      <c r="AF251" s="134">
        <v>0</v>
      </c>
      <c r="AG251" s="134">
        <v>0.1</v>
      </c>
      <c r="AH251" s="134">
        <v>0</v>
      </c>
      <c r="AI251" s="134">
        <v>0</v>
      </c>
      <c r="AJ251" s="134">
        <v>0</v>
      </c>
      <c r="AK251" s="134" t="s">
        <v>175</v>
      </c>
      <c r="AL251" s="122" t="s">
        <v>175</v>
      </c>
      <c r="AM251" s="122">
        <f>4.4-1.82</f>
        <v>2.58</v>
      </c>
      <c r="AN251" s="134" t="s">
        <v>176</v>
      </c>
      <c r="AO251" s="122" t="s">
        <v>177</v>
      </c>
      <c r="AP251" s="135">
        <f t="shared" si="117"/>
        <v>0.53343224499461972</v>
      </c>
      <c r="AQ251" s="135">
        <f t="shared" si="137"/>
        <v>0.53343224499461972</v>
      </c>
      <c r="AR251" s="117">
        <v>-1.4209779549999999</v>
      </c>
      <c r="AS251" s="117">
        <v>0</v>
      </c>
      <c r="AT251" s="117">
        <v>0</v>
      </c>
      <c r="AU251" s="117">
        <v>-0.87322179600000005</v>
      </c>
      <c r="AV251" s="117">
        <v>-0.59485603399999998</v>
      </c>
      <c r="AW251" s="117">
        <v>-2.7968873000000002E-2</v>
      </c>
      <c r="AX251" s="117">
        <v>0.52044876799999995</v>
      </c>
      <c r="AY251" s="117">
        <v>0.83575356999999995</v>
      </c>
      <c r="AZ251" s="117">
        <v>0</v>
      </c>
      <c r="BA251" s="117">
        <v>0</v>
      </c>
      <c r="BB251" s="117">
        <v>1.662643962</v>
      </c>
      <c r="BC251" s="136" t="str">
        <f t="shared" si="113"/>
        <v>1</v>
      </c>
      <c r="BD251" s="136" t="s">
        <v>178</v>
      </c>
      <c r="BE251" s="136" t="s">
        <v>716</v>
      </c>
      <c r="BF251" s="136" t="s">
        <v>932</v>
      </c>
      <c r="BG251" s="120" t="s">
        <v>660</v>
      </c>
      <c r="BH251" s="136" t="str">
        <f t="shared" si="128"/>
        <v>&gt;MTL</v>
      </c>
      <c r="BI251" s="136">
        <f t="shared" si="129"/>
        <v>-2.7968873000000002E-2</v>
      </c>
      <c r="BJ251" s="136" t="str">
        <f t="shared" si="135"/>
        <v>Nil</v>
      </c>
      <c r="BK251" s="136">
        <f t="shared" si="136"/>
        <v>0.05</v>
      </c>
      <c r="BL251" s="136" t="s">
        <v>736</v>
      </c>
      <c r="BM251" s="136" t="s">
        <v>175</v>
      </c>
      <c r="BN251" s="136" t="s">
        <v>175</v>
      </c>
      <c r="BO251" s="136" t="s">
        <v>736</v>
      </c>
      <c r="BP251" s="137" t="s">
        <v>175</v>
      </c>
      <c r="BQ251" s="137" t="s">
        <v>175</v>
      </c>
      <c r="BR251" s="137" t="s">
        <v>175</v>
      </c>
      <c r="BS251" s="137" t="s">
        <v>175</v>
      </c>
      <c r="BT251" s="138">
        <f t="shared" si="114"/>
        <v>2.6079688729999999</v>
      </c>
      <c r="BU251" s="138">
        <f t="shared" si="115"/>
        <v>0.53577043591448759</v>
      </c>
      <c r="BV251" s="138">
        <f t="shared" si="116"/>
        <v>0.53577043591448759</v>
      </c>
      <c r="BW251" s="53" t="s">
        <v>175</v>
      </c>
      <c r="BX251" s="53" t="s">
        <v>175</v>
      </c>
      <c r="BY251" s="53" t="s">
        <v>175</v>
      </c>
      <c r="BZ251" s="53" t="s">
        <v>175</v>
      </c>
      <c r="CA251" s="147">
        <v>1</v>
      </c>
      <c r="CB251" s="54">
        <v>0</v>
      </c>
    </row>
    <row r="252" spans="1:81">
      <c r="A252" s="123" t="s">
        <v>572</v>
      </c>
      <c r="B252" s="124" t="s">
        <v>561</v>
      </c>
      <c r="C252" s="148" t="s">
        <v>674</v>
      </c>
      <c r="D252" s="126" t="s">
        <v>743</v>
      </c>
      <c r="E252" s="127">
        <v>23.087499999999999</v>
      </c>
      <c r="F252" s="127">
        <v>112.9342</v>
      </c>
      <c r="G252" s="128" t="s">
        <v>168</v>
      </c>
      <c r="H252" s="145">
        <v>2210</v>
      </c>
      <c r="I252" s="145">
        <v>25</v>
      </c>
      <c r="J252" s="129">
        <v>2230</v>
      </c>
      <c r="K252" s="129">
        <v>90</v>
      </c>
      <c r="L252" s="129">
        <v>102</v>
      </c>
      <c r="M252" s="149" t="s">
        <v>573</v>
      </c>
      <c r="N252" s="146" t="s">
        <v>528</v>
      </c>
      <c r="O252" s="149" t="s">
        <v>571</v>
      </c>
      <c r="P252" s="149" t="s">
        <v>574</v>
      </c>
      <c r="Q252" s="130" t="s">
        <v>172</v>
      </c>
      <c r="R252" s="131">
        <v>3.54</v>
      </c>
      <c r="S252" s="131" t="s">
        <v>175</v>
      </c>
      <c r="T252" s="130">
        <v>1</v>
      </c>
      <c r="U252" s="132" t="s">
        <v>173</v>
      </c>
      <c r="V252" s="133">
        <v>0.01</v>
      </c>
      <c r="W252" s="132" t="s">
        <v>174</v>
      </c>
      <c r="X252" s="133">
        <v>0.01</v>
      </c>
      <c r="Y252" s="133">
        <v>5.0000000000000001E-3</v>
      </c>
      <c r="Z252" s="133">
        <v>0.01</v>
      </c>
      <c r="AA252" s="133">
        <v>0.15</v>
      </c>
      <c r="AB252" s="133">
        <f>0.02*R252</f>
        <v>7.0800000000000002E-2</v>
      </c>
      <c r="AC252" s="134">
        <v>0</v>
      </c>
      <c r="AD252" s="134">
        <v>0</v>
      </c>
      <c r="AE252" s="134">
        <v>0.5</v>
      </c>
      <c r="AF252" s="134">
        <v>0</v>
      </c>
      <c r="AG252" s="134">
        <v>0.1</v>
      </c>
      <c r="AH252" s="134">
        <v>0</v>
      </c>
      <c r="AI252" s="134">
        <v>0</v>
      </c>
      <c r="AJ252" s="134">
        <v>0</v>
      </c>
      <c r="AK252" s="134" t="s">
        <v>175</v>
      </c>
      <c r="AL252" s="122" t="s">
        <v>175</v>
      </c>
      <c r="AM252" s="122">
        <f>4.4-3.54</f>
        <v>0.86000000000000032</v>
      </c>
      <c r="AN252" s="134" t="s">
        <v>176</v>
      </c>
      <c r="AO252" s="122" t="s">
        <v>177</v>
      </c>
      <c r="AP252" s="135">
        <f t="shared" si="117"/>
        <v>0.53631859934184645</v>
      </c>
      <c r="AQ252" s="135">
        <f t="shared" si="137"/>
        <v>0.53631859934184645</v>
      </c>
      <c r="AR252" s="117">
        <v>-1.4209779549999999</v>
      </c>
      <c r="AS252" s="117">
        <v>0</v>
      </c>
      <c r="AT252" s="117">
        <v>0</v>
      </c>
      <c r="AU252" s="117">
        <v>-0.87322179600000005</v>
      </c>
      <c r="AV252" s="117">
        <v>-0.59485603399999998</v>
      </c>
      <c r="AW252" s="117">
        <v>-2.7968873000000002E-2</v>
      </c>
      <c r="AX252" s="117">
        <v>0.52044876799999995</v>
      </c>
      <c r="AY252" s="117">
        <v>0.83575356999999995</v>
      </c>
      <c r="AZ252" s="117">
        <v>0</v>
      </c>
      <c r="BA252" s="117">
        <v>0</v>
      </c>
      <c r="BB252" s="117">
        <v>1.662643962</v>
      </c>
      <c r="BC252" s="136" t="str">
        <f t="shared" si="113"/>
        <v>1</v>
      </c>
      <c r="BD252" s="136" t="s">
        <v>178</v>
      </c>
      <c r="BE252" s="136" t="s">
        <v>697</v>
      </c>
      <c r="BF252" s="136" t="s">
        <v>698</v>
      </c>
      <c r="BG252" s="120" t="s">
        <v>660</v>
      </c>
      <c r="BH252" s="136" t="str">
        <f t="shared" si="128"/>
        <v>&gt;MTL</v>
      </c>
      <c r="BI252" s="136">
        <f t="shared" si="129"/>
        <v>-2.7968873000000002E-2</v>
      </c>
      <c r="BJ252" s="136" t="str">
        <f t="shared" si="135"/>
        <v>Nil</v>
      </c>
      <c r="BK252" s="136">
        <f t="shared" si="136"/>
        <v>0.05</v>
      </c>
      <c r="BL252" s="136" t="s">
        <v>736</v>
      </c>
      <c r="BM252" s="136" t="s">
        <v>175</v>
      </c>
      <c r="BN252" s="136" t="s">
        <v>175</v>
      </c>
      <c r="BO252" s="136" t="s">
        <v>736</v>
      </c>
      <c r="BP252" s="137" t="s">
        <v>175</v>
      </c>
      <c r="BQ252" s="137" t="s">
        <v>175</v>
      </c>
      <c r="BR252" s="137" t="s">
        <v>175</v>
      </c>
      <c r="BS252" s="137" t="s">
        <v>175</v>
      </c>
      <c r="BT252" s="138">
        <f t="shared" si="114"/>
        <v>0.88796887300000027</v>
      </c>
      <c r="BU252" s="138">
        <f t="shared" si="115"/>
        <v>0.53864426108518049</v>
      </c>
      <c r="BV252" s="138">
        <f t="shared" si="116"/>
        <v>0.53864426108518049</v>
      </c>
      <c r="BW252" s="53" t="s">
        <v>175</v>
      </c>
      <c r="BX252" s="53" t="s">
        <v>175</v>
      </c>
      <c r="BY252" s="53" t="s">
        <v>175</v>
      </c>
      <c r="BZ252" s="53" t="s">
        <v>175</v>
      </c>
      <c r="CA252" s="147">
        <v>1</v>
      </c>
      <c r="CB252" s="54">
        <v>0</v>
      </c>
    </row>
    <row r="253" spans="1:81">
      <c r="A253" s="123" t="s">
        <v>410</v>
      </c>
      <c r="B253" s="124" t="s">
        <v>970</v>
      </c>
      <c r="C253" s="148" t="s">
        <v>674</v>
      </c>
      <c r="D253" s="125" t="s">
        <v>743</v>
      </c>
      <c r="E253" s="127">
        <v>23.44</v>
      </c>
      <c r="F253" s="127">
        <v>112.93</v>
      </c>
      <c r="G253" s="128" t="s">
        <v>168</v>
      </c>
      <c r="H253" s="145">
        <v>2301.2776368064237</v>
      </c>
      <c r="I253" s="162">
        <v>110.42156441637657</v>
      </c>
      <c r="J253" s="129">
        <v>2323</v>
      </c>
      <c r="K253" s="129">
        <v>382</v>
      </c>
      <c r="L253" s="129">
        <v>316</v>
      </c>
      <c r="M253" s="149" t="s">
        <v>515</v>
      </c>
      <c r="N253" s="130" t="s">
        <v>516</v>
      </c>
      <c r="O253" s="130" t="s">
        <v>175</v>
      </c>
      <c r="P253" s="130" t="s">
        <v>175</v>
      </c>
      <c r="Q253" s="130" t="s">
        <v>377</v>
      </c>
      <c r="R253" s="131" t="s">
        <v>175</v>
      </c>
      <c r="S253" s="131" t="s">
        <v>175</v>
      </c>
      <c r="T253" s="130">
        <v>1</v>
      </c>
      <c r="U253" s="132" t="s">
        <v>173</v>
      </c>
      <c r="V253" s="133">
        <v>0.1</v>
      </c>
      <c r="W253" s="132" t="s">
        <v>174</v>
      </c>
      <c r="X253" s="133">
        <v>0.1</v>
      </c>
      <c r="Y253" s="133">
        <v>0.05</v>
      </c>
      <c r="Z253" s="133">
        <v>0.01</v>
      </c>
      <c r="AA253" s="133">
        <v>0.05</v>
      </c>
      <c r="AB253" s="133">
        <v>0</v>
      </c>
      <c r="AC253" s="134">
        <v>0</v>
      </c>
      <c r="AD253" s="134">
        <v>0</v>
      </c>
      <c r="AE253" s="134">
        <v>0.5</v>
      </c>
      <c r="AF253" s="134">
        <v>0</v>
      </c>
      <c r="AG253" s="134">
        <v>0.1</v>
      </c>
      <c r="AH253" s="134">
        <v>0</v>
      </c>
      <c r="AI253" s="134">
        <v>0</v>
      </c>
      <c r="AJ253" s="134">
        <v>0</v>
      </c>
      <c r="AK253" s="134" t="s">
        <v>175</v>
      </c>
      <c r="AL253" s="122" t="s">
        <v>175</v>
      </c>
      <c r="AM253" s="122">
        <v>0.3</v>
      </c>
      <c r="AN253" s="134" t="s">
        <v>176</v>
      </c>
      <c r="AO253" s="122" t="s">
        <v>177</v>
      </c>
      <c r="AP253" s="135">
        <f t="shared" si="117"/>
        <v>0.5148786264742401</v>
      </c>
      <c r="AQ253" s="135">
        <f t="shared" si="137"/>
        <v>0.5148786264742401</v>
      </c>
      <c r="AR253" s="117">
        <v>-1.4574320919999999</v>
      </c>
      <c r="AS253" s="117">
        <v>0</v>
      </c>
      <c r="AT253" s="117">
        <v>0</v>
      </c>
      <c r="AU253" s="117">
        <v>-0.93319473100000006</v>
      </c>
      <c r="AV253" s="117">
        <v>-0.61955077199999997</v>
      </c>
      <c r="AW253" s="117">
        <v>-3.9434286999999998E-2</v>
      </c>
      <c r="AX253" s="117">
        <v>0.52515252800000001</v>
      </c>
      <c r="AY253" s="117">
        <v>0.86985582800000005</v>
      </c>
      <c r="AZ253" s="117">
        <v>0</v>
      </c>
      <c r="BA253" s="117">
        <v>0</v>
      </c>
      <c r="BB253" s="117">
        <v>1.690230082</v>
      </c>
      <c r="BC253" s="136" t="str">
        <f t="shared" si="113"/>
        <v>1</v>
      </c>
      <c r="BD253" s="136" t="s">
        <v>178</v>
      </c>
      <c r="BE253" s="136" t="s">
        <v>697</v>
      </c>
      <c r="BF253" s="136" t="s">
        <v>930</v>
      </c>
      <c r="BG253" s="120" t="s">
        <v>660</v>
      </c>
      <c r="BH253" s="136" t="str">
        <f t="shared" si="128"/>
        <v>&gt;MTL</v>
      </c>
      <c r="BI253" s="136">
        <f t="shared" si="129"/>
        <v>-3.9434286999999998E-2</v>
      </c>
      <c r="BJ253" s="136" t="str">
        <f t="shared" si="135"/>
        <v>Nil</v>
      </c>
      <c r="BK253" s="136">
        <f t="shared" si="136"/>
        <v>0.05</v>
      </c>
      <c r="BL253" s="136" t="s">
        <v>736</v>
      </c>
      <c r="BM253" s="136" t="s">
        <v>175</v>
      </c>
      <c r="BN253" s="136" t="s">
        <v>175</v>
      </c>
      <c r="BO253" s="136" t="s">
        <v>736</v>
      </c>
      <c r="BP253" s="137" t="s">
        <v>175</v>
      </c>
      <c r="BQ253" s="137" t="s">
        <v>175</v>
      </c>
      <c r="BR253" s="137" t="s">
        <v>175</v>
      </c>
      <c r="BS253" s="137" t="s">
        <v>175</v>
      </c>
      <c r="BT253" s="138">
        <f t="shared" si="114"/>
        <v>0.339434287</v>
      </c>
      <c r="BU253" s="138">
        <f t="shared" si="115"/>
        <v>0.51730068625510262</v>
      </c>
      <c r="BV253" s="138">
        <f t="shared" si="116"/>
        <v>0.51730068625510262</v>
      </c>
      <c r="BW253" s="53" t="s">
        <v>175</v>
      </c>
      <c r="BX253" s="53" t="s">
        <v>175</v>
      </c>
      <c r="BY253" s="53" t="s">
        <v>175</v>
      </c>
      <c r="BZ253" s="53" t="s">
        <v>175</v>
      </c>
      <c r="CA253" s="147">
        <v>1</v>
      </c>
      <c r="CB253" s="54">
        <v>0</v>
      </c>
    </row>
    <row r="254" spans="1:81">
      <c r="A254" s="123" t="s">
        <v>923</v>
      </c>
      <c r="B254" s="124" t="s">
        <v>561</v>
      </c>
      <c r="C254" s="148" t="s">
        <v>674</v>
      </c>
      <c r="D254" s="126" t="s">
        <v>743</v>
      </c>
      <c r="E254" s="127">
        <v>23.168099999999999</v>
      </c>
      <c r="F254" s="127">
        <v>112.8417</v>
      </c>
      <c r="G254" s="128" t="s">
        <v>168</v>
      </c>
      <c r="H254" s="145">
        <v>7690</v>
      </c>
      <c r="I254" s="145">
        <v>107.70329614269008</v>
      </c>
      <c r="J254" s="129">
        <v>8489</v>
      </c>
      <c r="K254" s="129">
        <v>282</v>
      </c>
      <c r="L254" s="129">
        <v>282</v>
      </c>
      <c r="M254" s="149" t="s">
        <v>564</v>
      </c>
      <c r="N254" s="149" t="s">
        <v>735</v>
      </c>
      <c r="O254" s="149" t="s">
        <v>565</v>
      </c>
      <c r="P254" s="130"/>
      <c r="Q254" s="130" t="s">
        <v>172</v>
      </c>
      <c r="R254" s="131">
        <v>7.3</v>
      </c>
      <c r="S254" s="131" t="s">
        <v>175</v>
      </c>
      <c r="T254" s="130">
        <v>1</v>
      </c>
      <c r="U254" s="132" t="s">
        <v>173</v>
      </c>
      <c r="V254" s="133">
        <v>0.05</v>
      </c>
      <c r="W254" s="132" t="s">
        <v>174</v>
      </c>
      <c r="X254" s="133">
        <v>0.05</v>
      </c>
      <c r="Y254" s="133">
        <v>2.5000000000000001E-2</v>
      </c>
      <c r="Z254" s="133">
        <v>0.01</v>
      </c>
      <c r="AA254" s="133">
        <v>0.15</v>
      </c>
      <c r="AB254" s="133">
        <f t="shared" ref="AB254:AB286" si="139">0.02*R254</f>
        <v>0.14599999999999999</v>
      </c>
      <c r="AC254" s="134">
        <v>0</v>
      </c>
      <c r="AD254" s="134">
        <v>0</v>
      </c>
      <c r="AE254" s="134">
        <v>0.5</v>
      </c>
      <c r="AF254" s="134">
        <v>0</v>
      </c>
      <c r="AG254" s="134">
        <v>0.1</v>
      </c>
      <c r="AH254" s="134">
        <v>0</v>
      </c>
      <c r="AI254" s="134">
        <v>0</v>
      </c>
      <c r="AJ254" s="134">
        <v>0</v>
      </c>
      <c r="AK254" s="134" t="s">
        <v>175</v>
      </c>
      <c r="AL254" s="122" t="s">
        <v>175</v>
      </c>
      <c r="AM254" s="122">
        <f>4.8-7.3</f>
        <v>-2.5</v>
      </c>
      <c r="AN254" s="134" t="s">
        <v>176</v>
      </c>
      <c r="AO254" s="122" t="s">
        <v>177</v>
      </c>
      <c r="AP254" s="135">
        <f t="shared" si="117"/>
        <v>0.55185233532168732</v>
      </c>
      <c r="AQ254" s="135">
        <f t="shared" si="137"/>
        <v>0.55185233532168732</v>
      </c>
      <c r="AR254" s="117">
        <v>-1.4359514069999999</v>
      </c>
      <c r="AS254" s="117">
        <v>0</v>
      </c>
      <c r="AT254" s="117">
        <v>0</v>
      </c>
      <c r="AU254" s="117">
        <v>-0.89785554000000001</v>
      </c>
      <c r="AV254" s="117">
        <v>-0.60499934</v>
      </c>
      <c r="AW254" s="117">
        <v>-3.2678264999999998E-2</v>
      </c>
      <c r="AX254" s="117">
        <v>0.52238082699999999</v>
      </c>
      <c r="AY254" s="117">
        <v>0.84976099299999996</v>
      </c>
      <c r="AZ254" s="117">
        <v>0</v>
      </c>
      <c r="BA254" s="117">
        <v>0</v>
      </c>
      <c r="BB254" s="117">
        <v>1.6870630950000001</v>
      </c>
      <c r="BC254" s="136" t="str">
        <f t="shared" si="113"/>
        <v>0</v>
      </c>
      <c r="BD254" s="136" t="s">
        <v>178</v>
      </c>
      <c r="BE254" s="136" t="s">
        <v>689</v>
      </c>
      <c r="BF254" s="136" t="s">
        <v>672</v>
      </c>
      <c r="BG254" s="120" t="s">
        <v>657</v>
      </c>
      <c r="BH254" s="136" t="str">
        <f t="shared" si="128"/>
        <v>HAT-LAT</v>
      </c>
      <c r="BI254" s="136">
        <f t="shared" si="129"/>
        <v>0.12555584400000008</v>
      </c>
      <c r="BJ254" s="136">
        <f t="shared" si="135"/>
        <v>1.5615072510000001</v>
      </c>
      <c r="BK254" s="136">
        <f t="shared" si="136"/>
        <v>0.27</v>
      </c>
      <c r="BL254" s="136">
        <v>0.17255175337936857</v>
      </c>
      <c r="BM254" s="136" t="s">
        <v>175</v>
      </c>
      <c r="BN254" s="136" t="s">
        <v>175</v>
      </c>
      <c r="BO254" s="136">
        <v>0.45105277783917552</v>
      </c>
      <c r="BP254" s="137" t="s">
        <v>175</v>
      </c>
      <c r="BQ254" s="137" t="s">
        <v>175</v>
      </c>
      <c r="BR254" s="137" t="s">
        <v>175</v>
      </c>
      <c r="BS254" s="137" t="s">
        <v>175</v>
      </c>
      <c r="BT254" s="138">
        <f t="shared" si="114"/>
        <v>-2.625555844</v>
      </c>
      <c r="BU254" s="138">
        <f t="shared" si="115"/>
        <v>1.74612960885391</v>
      </c>
      <c r="BV254" s="138">
        <f t="shared" si="116"/>
        <v>1.74612960885391</v>
      </c>
      <c r="BW254" s="53" t="s">
        <v>175</v>
      </c>
      <c r="BX254" s="53" t="s">
        <v>175</v>
      </c>
      <c r="BY254" s="53" t="s">
        <v>175</v>
      </c>
      <c r="BZ254" s="53" t="s">
        <v>175</v>
      </c>
      <c r="CA254" s="147">
        <v>1</v>
      </c>
      <c r="CB254" s="54">
        <v>0</v>
      </c>
    </row>
    <row r="255" spans="1:81" ht="17" customHeight="1">
      <c r="A255" s="123" t="s">
        <v>343</v>
      </c>
      <c r="B255" s="124" t="s">
        <v>931</v>
      </c>
      <c r="C255" s="148" t="s">
        <v>674</v>
      </c>
      <c r="D255" s="125" t="s">
        <v>743</v>
      </c>
      <c r="E255" s="150">
        <v>23.168056</v>
      </c>
      <c r="F255" s="150">
        <v>112.841667</v>
      </c>
      <c r="G255" s="128" t="s">
        <v>168</v>
      </c>
      <c r="H255" s="129">
        <v>4800</v>
      </c>
      <c r="I255" s="129">
        <v>107.70329614269008</v>
      </c>
      <c r="J255" s="129">
        <v>5517</v>
      </c>
      <c r="K255" s="129">
        <v>336</v>
      </c>
      <c r="L255" s="129">
        <v>214</v>
      </c>
      <c r="M255" s="130" t="s">
        <v>344</v>
      </c>
      <c r="N255" s="149" t="s">
        <v>735</v>
      </c>
      <c r="O255" s="130" t="s">
        <v>345</v>
      </c>
      <c r="P255" s="130" t="s">
        <v>346</v>
      </c>
      <c r="Q255" s="130" t="s">
        <v>172</v>
      </c>
      <c r="R255" s="131">
        <v>2.96</v>
      </c>
      <c r="S255" s="131">
        <v>13.02</v>
      </c>
      <c r="T255" s="130">
        <v>1</v>
      </c>
      <c r="U255" s="132" t="s">
        <v>173</v>
      </c>
      <c r="V255" s="133">
        <v>0.05</v>
      </c>
      <c r="W255" s="132" t="s">
        <v>174</v>
      </c>
      <c r="X255" s="133">
        <v>0.05</v>
      </c>
      <c r="Y255" s="133">
        <v>2.5000000000000001E-2</v>
      </c>
      <c r="Z255" s="133">
        <v>0.01</v>
      </c>
      <c r="AA255" s="133">
        <v>0.15</v>
      </c>
      <c r="AB255" s="133">
        <f t="shared" si="139"/>
        <v>5.9200000000000003E-2</v>
      </c>
      <c r="AC255" s="134">
        <v>0</v>
      </c>
      <c r="AD255" s="134">
        <v>0</v>
      </c>
      <c r="AE255" s="134">
        <v>0.5</v>
      </c>
      <c r="AF255" s="134">
        <v>0</v>
      </c>
      <c r="AG255" s="134">
        <v>0.1</v>
      </c>
      <c r="AH255" s="134">
        <v>0</v>
      </c>
      <c r="AI255" s="134">
        <v>0</v>
      </c>
      <c r="AJ255" s="134">
        <v>0</v>
      </c>
      <c r="AK255" s="134" t="s">
        <v>175</v>
      </c>
      <c r="AL255" s="122" t="s">
        <v>175</v>
      </c>
      <c r="AM255" s="122">
        <v>1.84</v>
      </c>
      <c r="AN255" s="134" t="s">
        <v>176</v>
      </c>
      <c r="AO255" s="122" t="s">
        <v>177</v>
      </c>
      <c r="AP255" s="135">
        <f t="shared" si="117"/>
        <v>0.53547141847161184</v>
      </c>
      <c r="AQ255" s="135">
        <f t="shared" si="137"/>
        <v>0.53547141847161184</v>
      </c>
      <c r="AR255" s="117">
        <v>-1.435952095</v>
      </c>
      <c r="AS255" s="117">
        <v>0</v>
      </c>
      <c r="AT255" s="117">
        <v>0</v>
      </c>
      <c r="AU255" s="117">
        <v>-0.89785667300000005</v>
      </c>
      <c r="AV255" s="117">
        <v>-0.604999807</v>
      </c>
      <c r="AW255" s="117">
        <v>-3.2678482000000002E-2</v>
      </c>
      <c r="AX255" s="117">
        <v>0.52238091600000003</v>
      </c>
      <c r="AY255" s="117">
        <v>0.84976163800000004</v>
      </c>
      <c r="AZ255" s="117">
        <v>0</v>
      </c>
      <c r="BA255" s="117">
        <v>0</v>
      </c>
      <c r="BB255" s="117">
        <v>1.4838214810000001</v>
      </c>
      <c r="BC255" s="136" t="str">
        <f t="shared" si="113"/>
        <v xml:space="preserve">-1 </v>
      </c>
      <c r="BD255" s="136" t="s">
        <v>178</v>
      </c>
      <c r="BE255" s="136" t="s">
        <v>690</v>
      </c>
      <c r="BF255" s="136" t="s">
        <v>226</v>
      </c>
      <c r="BG255" s="120" t="s">
        <v>661</v>
      </c>
      <c r="BH255" s="136" t="str">
        <f t="shared" si="128"/>
        <v>&lt;HAT</v>
      </c>
      <c r="BI255" s="136">
        <f t="shared" si="129"/>
        <v>1.4838214810000001</v>
      </c>
      <c r="BJ255" s="136" t="str">
        <f t="shared" si="135"/>
        <v>Nil</v>
      </c>
      <c r="BK255" s="136">
        <f t="shared" si="136"/>
        <v>0.18</v>
      </c>
      <c r="BL255" s="136" t="s">
        <v>736</v>
      </c>
      <c r="BM255" s="136" t="s">
        <v>175</v>
      </c>
      <c r="BN255" s="136" t="s">
        <v>175</v>
      </c>
      <c r="BO255" s="136" t="s">
        <v>736</v>
      </c>
      <c r="BP255" s="137" t="s">
        <v>175</v>
      </c>
      <c r="BQ255" s="137" t="s">
        <v>175</v>
      </c>
      <c r="BR255" s="137" t="s">
        <v>175</v>
      </c>
      <c r="BS255" s="137" t="s">
        <v>175</v>
      </c>
      <c r="BT255" s="138">
        <f t="shared" si="114"/>
        <v>0.35617851899999997</v>
      </c>
      <c r="BU255" s="138">
        <f t="shared" si="115"/>
        <v>0.56491560431625543</v>
      </c>
      <c r="BV255" s="138">
        <f t="shared" si="116"/>
        <v>0.56491560431625543</v>
      </c>
      <c r="BW255" s="53" t="s">
        <v>175</v>
      </c>
      <c r="BX255" s="53" t="s">
        <v>175</v>
      </c>
      <c r="BY255" s="53" t="s">
        <v>175</v>
      </c>
      <c r="BZ255" s="53" t="s">
        <v>175</v>
      </c>
      <c r="CA255" s="147">
        <v>1</v>
      </c>
      <c r="CB255" s="54">
        <v>0</v>
      </c>
    </row>
    <row r="256" spans="1:81">
      <c r="A256" s="123" t="s">
        <v>350</v>
      </c>
      <c r="B256" s="124" t="s">
        <v>314</v>
      </c>
      <c r="C256" s="148" t="s">
        <v>674</v>
      </c>
      <c r="D256" s="125" t="s">
        <v>743</v>
      </c>
      <c r="E256" s="150">
        <v>23.168056</v>
      </c>
      <c r="F256" s="150">
        <v>112.841667</v>
      </c>
      <c r="G256" s="128" t="s">
        <v>168</v>
      </c>
      <c r="H256" s="129">
        <v>7480</v>
      </c>
      <c r="I256" s="129">
        <v>107.70329614269008</v>
      </c>
      <c r="J256" s="129">
        <v>8276</v>
      </c>
      <c r="K256" s="129">
        <v>175</v>
      </c>
      <c r="L256" s="129">
        <v>249</v>
      </c>
      <c r="M256" s="130" t="s">
        <v>346</v>
      </c>
      <c r="N256" s="146" t="s">
        <v>528</v>
      </c>
      <c r="O256" s="130" t="s">
        <v>344</v>
      </c>
      <c r="P256" s="130" t="s">
        <v>348</v>
      </c>
      <c r="Q256" s="130" t="s">
        <v>172</v>
      </c>
      <c r="R256" s="131">
        <v>9.83</v>
      </c>
      <c r="S256" s="131">
        <v>6.1499999999999995</v>
      </c>
      <c r="T256" s="130">
        <v>1</v>
      </c>
      <c r="U256" s="132" t="s">
        <v>173</v>
      </c>
      <c r="V256" s="133">
        <v>0.01</v>
      </c>
      <c r="W256" s="132" t="s">
        <v>174</v>
      </c>
      <c r="X256" s="133">
        <v>0.01</v>
      </c>
      <c r="Y256" s="133">
        <v>5.0000000000000001E-3</v>
      </c>
      <c r="Z256" s="133">
        <v>0.01</v>
      </c>
      <c r="AA256" s="133">
        <v>0.15</v>
      </c>
      <c r="AB256" s="133">
        <f t="shared" si="139"/>
        <v>0.1966</v>
      </c>
      <c r="AC256" s="134">
        <v>0</v>
      </c>
      <c r="AD256" s="134">
        <v>0</v>
      </c>
      <c r="AE256" s="134">
        <v>0.5</v>
      </c>
      <c r="AF256" s="134">
        <v>0</v>
      </c>
      <c r="AG256" s="134">
        <v>0.1</v>
      </c>
      <c r="AH256" s="134">
        <v>0</v>
      </c>
      <c r="AI256" s="134">
        <v>0</v>
      </c>
      <c r="AJ256" s="134">
        <v>0</v>
      </c>
      <c r="AK256" s="134" t="s">
        <v>175</v>
      </c>
      <c r="AL256" s="122" t="s">
        <v>175</v>
      </c>
      <c r="AM256" s="122">
        <v>-5.03</v>
      </c>
      <c r="AN256" s="134" t="s">
        <v>176</v>
      </c>
      <c r="AO256" s="122" t="s">
        <v>177</v>
      </c>
      <c r="AP256" s="135">
        <f t="shared" si="117"/>
        <v>0.56681263218104094</v>
      </c>
      <c r="AQ256" s="135">
        <f t="shared" si="137"/>
        <v>0.56681263218104094</v>
      </c>
      <c r="AR256" s="117">
        <v>-1.435952095</v>
      </c>
      <c r="AS256" s="117">
        <v>0</v>
      </c>
      <c r="AT256" s="117">
        <v>0</v>
      </c>
      <c r="AU256" s="117">
        <v>-0.89785667300000005</v>
      </c>
      <c r="AV256" s="117">
        <v>-0.604999807</v>
      </c>
      <c r="AW256" s="117">
        <v>-3.2678482000000002E-2</v>
      </c>
      <c r="AX256" s="117">
        <v>0.52238091600000003</v>
      </c>
      <c r="AY256" s="117">
        <v>0.84976163800000004</v>
      </c>
      <c r="AZ256" s="117">
        <v>0</v>
      </c>
      <c r="BA256" s="117">
        <v>0</v>
      </c>
      <c r="BB256" s="117">
        <v>1.4838214810000001</v>
      </c>
      <c r="BC256" s="136" t="str">
        <f t="shared" ref="BC256:BC295" si="140">IF(BG256="1","1 ",
IF(BG256="2a","0",
IF(BG256="2b","1 ",
IF(BG256="3a","-1 ",
IF(BG256="3b","0 ",
IF(BG256="3c","0",
IF(BG256="3d","-1 ",
IF(BG256="3e","1 ",
IF(BG256="4","1 ",
IF(BG256="5","1",
IF(BG256="6","-1 ",
IF(BG256="7","-1 ",
IF(BG256="8","0",
IF(BG256="9","-1",
IF(BG256="10a","-1 ",
IF(BG256="10b","0",
IF(BG256="11","1 ",
IF(BG256="12a","0",
IF(BG256="12b","-1 ","")))))))))))))))))))</f>
        <v>0</v>
      </c>
      <c r="BD256" s="136" t="s">
        <v>178</v>
      </c>
      <c r="BE256" s="136" t="s">
        <v>689</v>
      </c>
      <c r="BF256" s="136" t="s">
        <v>226</v>
      </c>
      <c r="BG256" s="120" t="s">
        <v>657</v>
      </c>
      <c r="BH256" s="136" t="str">
        <f t="shared" si="128"/>
        <v>HAT-LAT</v>
      </c>
      <c r="BI256" s="136">
        <f t="shared" si="129"/>
        <v>2.3934693000000062E-2</v>
      </c>
      <c r="BJ256" s="136">
        <f t="shared" si="135"/>
        <v>1.4598867879999999</v>
      </c>
      <c r="BK256" s="136">
        <f t="shared" si="136"/>
        <v>0.27</v>
      </c>
      <c r="BL256" s="136">
        <v>0.17255175337936857</v>
      </c>
      <c r="BM256" s="136" t="s">
        <v>175</v>
      </c>
      <c r="BN256" s="136" t="s">
        <v>175</v>
      </c>
      <c r="BO256" s="136">
        <v>0.45105277783917552</v>
      </c>
      <c r="BP256" s="137" t="s">
        <v>175</v>
      </c>
      <c r="BQ256" s="137" t="s">
        <v>175</v>
      </c>
      <c r="BR256" s="137" t="s">
        <v>175</v>
      </c>
      <c r="BS256" s="137" t="s">
        <v>175</v>
      </c>
      <c r="BT256" s="138">
        <f t="shared" ref="BT256:BT295" si="141">AM256-BI256</f>
        <v>-5.0539346930000004</v>
      </c>
      <c r="BU256" s="138">
        <f t="shared" ref="BU256:BU295" si="142">SQRT(SUMSQ(AP256,BJ256,IF(OR(BK256="nd",BK256="nd"),0,BK256),IF(OR(BL256="nd",BL256="nd"),0,BL256),IF(OR(BO256="nd",BO256="nd"),0,BO256)))</f>
        <v>1.6609240529800535</v>
      </c>
      <c r="BV256" s="138">
        <f t="shared" ref="BV256:BV295" si="143">SQRT(SUMSQ(AP256,BJ256,IF(OR(BK256="nd",BK256="nd"),0,BK256),IF(OR(BL256="nd",BL256="nd"),0,BL256),IF(OR(BO256="nd",BO256="nd"),0,BO256)))</f>
        <v>1.6609240529800535</v>
      </c>
      <c r="BW256" s="53" t="s">
        <v>175</v>
      </c>
      <c r="BX256" s="53" t="s">
        <v>175</v>
      </c>
      <c r="BY256" s="53" t="s">
        <v>175</v>
      </c>
      <c r="BZ256" s="53" t="s">
        <v>175</v>
      </c>
      <c r="CA256" s="147">
        <v>1</v>
      </c>
      <c r="CB256" s="54">
        <v>0</v>
      </c>
    </row>
    <row r="257" spans="1:80">
      <c r="A257" s="123" t="s">
        <v>349</v>
      </c>
      <c r="B257" s="124" t="s">
        <v>931</v>
      </c>
      <c r="C257" s="148" t="s">
        <v>674</v>
      </c>
      <c r="D257" s="125" t="s">
        <v>743</v>
      </c>
      <c r="E257" s="150">
        <v>23.168056</v>
      </c>
      <c r="F257" s="150">
        <v>112.841667</v>
      </c>
      <c r="G257" s="128" t="s">
        <v>168</v>
      </c>
      <c r="H257" s="129">
        <v>6580</v>
      </c>
      <c r="I257" s="129">
        <v>40</v>
      </c>
      <c r="J257" s="129">
        <v>7479</v>
      </c>
      <c r="K257" s="129">
        <v>87</v>
      </c>
      <c r="L257" s="129">
        <v>53</v>
      </c>
      <c r="M257" s="130" t="s">
        <v>346</v>
      </c>
      <c r="N257" s="146" t="s">
        <v>528</v>
      </c>
      <c r="O257" s="130" t="s">
        <v>344</v>
      </c>
      <c r="P257" s="130" t="s">
        <v>348</v>
      </c>
      <c r="Q257" s="130" t="s">
        <v>172</v>
      </c>
      <c r="R257" s="131">
        <v>6.32</v>
      </c>
      <c r="S257" s="131">
        <v>9.66</v>
      </c>
      <c r="T257" s="130">
        <v>1</v>
      </c>
      <c r="U257" s="132" t="s">
        <v>173</v>
      </c>
      <c r="V257" s="133">
        <v>0.01</v>
      </c>
      <c r="W257" s="132" t="s">
        <v>174</v>
      </c>
      <c r="X257" s="133">
        <v>0.01</v>
      </c>
      <c r="Y257" s="133">
        <v>5.0000000000000001E-3</v>
      </c>
      <c r="Z257" s="133">
        <v>0.01</v>
      </c>
      <c r="AA257" s="133">
        <v>0.15</v>
      </c>
      <c r="AB257" s="133">
        <f t="shared" si="139"/>
        <v>0.12640000000000001</v>
      </c>
      <c r="AC257" s="134">
        <v>0</v>
      </c>
      <c r="AD257" s="134">
        <v>0</v>
      </c>
      <c r="AE257" s="134">
        <v>0.5</v>
      </c>
      <c r="AF257" s="134">
        <v>0</v>
      </c>
      <c r="AG257" s="134">
        <v>0.1</v>
      </c>
      <c r="AH257" s="134">
        <v>0</v>
      </c>
      <c r="AI257" s="134">
        <v>0</v>
      </c>
      <c r="AJ257" s="134">
        <v>0</v>
      </c>
      <c r="AK257" s="134" t="s">
        <v>175</v>
      </c>
      <c r="AL257" s="122" t="s">
        <v>175</v>
      </c>
      <c r="AM257" s="122">
        <v>-1.52</v>
      </c>
      <c r="AN257" s="134" t="s">
        <v>176</v>
      </c>
      <c r="AO257" s="122" t="s">
        <v>177</v>
      </c>
      <c r="AP257" s="135">
        <f t="shared" ref="AP257:AP295" si="144">SQRT(SUMSQ(IF(OR(Y257="nd",Y257="nd"),0,Y257),IF(OR(Z257="nd",Z257="nd"),0,Z257),IF(OR(AA257="nd",AA257="nd"),0,AA257),IF(OR(AB257="nd",AB257="nd"),0,AB257),IF(OR(AC257="nd",AC257="nd"),0,AC257),IF(OR(AD257="nd",AD257="nd"),0,AD257),IF(OR(AE257="nd",AE257="nd"),0,AE257),IF(OR(AF257="nd",AF257="nd"),0,AF257),IF(OR(AG257="nd",AG257="nd"),0,AG257),IF(OR(AH257="nd",AH257="nd"),0,AH257),IF(OR(AI257="nd",AI257="nd"),0,AI257),IF(OR(AJ257="nd",AJ257="nd"),0,AJ257)))</f>
        <v>0.54644483710618041</v>
      </c>
      <c r="AQ257" s="135">
        <f t="shared" si="137"/>
        <v>0.54644483710618041</v>
      </c>
      <c r="AR257" s="117">
        <v>-1.435952095</v>
      </c>
      <c r="AS257" s="117">
        <v>0</v>
      </c>
      <c r="AT257" s="117">
        <v>0</v>
      </c>
      <c r="AU257" s="117">
        <v>-0.89785667300000005</v>
      </c>
      <c r="AV257" s="117">
        <v>-0.604999807</v>
      </c>
      <c r="AW257" s="117">
        <v>-3.2678482000000002E-2</v>
      </c>
      <c r="AX257" s="117">
        <v>0.52238091600000003</v>
      </c>
      <c r="AY257" s="117">
        <v>0.84976163800000004</v>
      </c>
      <c r="AZ257" s="117">
        <v>0</v>
      </c>
      <c r="BA257" s="117">
        <v>0</v>
      </c>
      <c r="BB257" s="117">
        <v>1.4838214810000001</v>
      </c>
      <c r="BC257" s="136" t="str">
        <f t="shared" si="140"/>
        <v>0</v>
      </c>
      <c r="BD257" s="136" t="s">
        <v>178</v>
      </c>
      <c r="BE257" s="136" t="s">
        <v>689</v>
      </c>
      <c r="BF257" s="136" t="s">
        <v>226</v>
      </c>
      <c r="BG257" s="120" t="s">
        <v>657</v>
      </c>
      <c r="BH257" s="136" t="str">
        <f t="shared" si="128"/>
        <v>HAT-LAT</v>
      </c>
      <c r="BI257" s="136">
        <f t="shared" si="129"/>
        <v>2.3934693000000062E-2</v>
      </c>
      <c r="BJ257" s="136">
        <f t="shared" si="135"/>
        <v>1.4598867879999999</v>
      </c>
      <c r="BK257" s="136">
        <f t="shared" si="136"/>
        <v>0.27</v>
      </c>
      <c r="BL257" s="136">
        <v>0.17255175337936857</v>
      </c>
      <c r="BM257" s="136" t="s">
        <v>175</v>
      </c>
      <c r="BN257" s="136" t="s">
        <v>175</v>
      </c>
      <c r="BO257" s="136">
        <v>0.39740757335849297</v>
      </c>
      <c r="BP257" s="137" t="s">
        <v>175</v>
      </c>
      <c r="BQ257" s="137" t="s">
        <v>175</v>
      </c>
      <c r="BR257" s="137" t="s">
        <v>175</v>
      </c>
      <c r="BS257" s="137" t="s">
        <v>175</v>
      </c>
      <c r="BT257" s="138">
        <f t="shared" si="141"/>
        <v>-1.5439346930000002</v>
      </c>
      <c r="BU257" s="138">
        <f t="shared" si="142"/>
        <v>1.6402677466602633</v>
      </c>
      <c r="BV257" s="138">
        <f t="shared" si="143"/>
        <v>1.6402677466602633</v>
      </c>
      <c r="BW257" s="53" t="s">
        <v>175</v>
      </c>
      <c r="BX257" s="53" t="s">
        <v>175</v>
      </c>
      <c r="BY257" s="53" t="s">
        <v>175</v>
      </c>
      <c r="BZ257" s="53" t="s">
        <v>175</v>
      </c>
      <c r="CA257" s="147">
        <v>1</v>
      </c>
      <c r="CB257" s="54">
        <v>0</v>
      </c>
    </row>
    <row r="258" spans="1:80">
      <c r="A258" s="123" t="s">
        <v>347</v>
      </c>
      <c r="B258" s="124" t="s">
        <v>931</v>
      </c>
      <c r="C258" s="148" t="s">
        <v>674</v>
      </c>
      <c r="D258" s="125" t="s">
        <v>743</v>
      </c>
      <c r="E258" s="150">
        <v>23.168056</v>
      </c>
      <c r="F258" s="150">
        <v>112.841667</v>
      </c>
      <c r="G258" s="128" t="s">
        <v>168</v>
      </c>
      <c r="H258" s="129">
        <v>6460</v>
      </c>
      <c r="I258" s="129">
        <v>50</v>
      </c>
      <c r="J258" s="129">
        <v>7367</v>
      </c>
      <c r="K258" s="129">
        <v>97</v>
      </c>
      <c r="L258" s="129">
        <v>100</v>
      </c>
      <c r="M258" s="130" t="s">
        <v>346</v>
      </c>
      <c r="N258" s="146" t="s">
        <v>528</v>
      </c>
      <c r="O258" s="130" t="s">
        <v>344</v>
      </c>
      <c r="P258" s="130" t="s">
        <v>348</v>
      </c>
      <c r="Q258" s="130" t="s">
        <v>172</v>
      </c>
      <c r="R258" s="131">
        <v>6</v>
      </c>
      <c r="S258" s="131">
        <v>9.98</v>
      </c>
      <c r="T258" s="130">
        <v>1</v>
      </c>
      <c r="U258" s="132" t="s">
        <v>173</v>
      </c>
      <c r="V258" s="133">
        <v>0.01</v>
      </c>
      <c r="W258" s="132" t="s">
        <v>174</v>
      </c>
      <c r="X258" s="133">
        <v>0.01</v>
      </c>
      <c r="Y258" s="133">
        <v>5.0000000000000001E-3</v>
      </c>
      <c r="Z258" s="133">
        <v>0.01</v>
      </c>
      <c r="AA258" s="133">
        <v>0.15</v>
      </c>
      <c r="AB258" s="133">
        <f t="shared" si="139"/>
        <v>0.12</v>
      </c>
      <c r="AC258" s="134">
        <v>0</v>
      </c>
      <c r="AD258" s="134">
        <v>0</v>
      </c>
      <c r="AE258" s="134">
        <v>0.5</v>
      </c>
      <c r="AF258" s="134">
        <v>0</v>
      </c>
      <c r="AG258" s="134">
        <v>0.1</v>
      </c>
      <c r="AH258" s="134">
        <v>0</v>
      </c>
      <c r="AI258" s="134">
        <v>0</v>
      </c>
      <c r="AJ258" s="134">
        <v>0</v>
      </c>
      <c r="AK258" s="134" t="s">
        <v>175</v>
      </c>
      <c r="AL258" s="122" t="s">
        <v>175</v>
      </c>
      <c r="AM258" s="122">
        <v>-1.2</v>
      </c>
      <c r="AN258" s="134" t="s">
        <v>176</v>
      </c>
      <c r="AO258" s="122" t="s">
        <v>177</v>
      </c>
      <c r="AP258" s="135">
        <f t="shared" si="144"/>
        <v>0.54500000000000004</v>
      </c>
      <c r="AQ258" s="135">
        <f t="shared" si="137"/>
        <v>0.54500000000000004</v>
      </c>
      <c r="AR258" s="117">
        <v>-1.435952095</v>
      </c>
      <c r="AS258" s="117">
        <v>0</v>
      </c>
      <c r="AT258" s="117">
        <v>0</v>
      </c>
      <c r="AU258" s="117">
        <v>-0.89785667300000005</v>
      </c>
      <c r="AV258" s="117">
        <v>-0.604999807</v>
      </c>
      <c r="AW258" s="117">
        <v>-3.2678482000000002E-2</v>
      </c>
      <c r="AX258" s="117">
        <v>0.52238091600000003</v>
      </c>
      <c r="AY258" s="117">
        <v>0.84976163800000004</v>
      </c>
      <c r="AZ258" s="117">
        <v>0</v>
      </c>
      <c r="BA258" s="117">
        <v>0</v>
      </c>
      <c r="BB258" s="117">
        <v>1.68785706</v>
      </c>
      <c r="BC258" s="136" t="str">
        <f t="shared" si="140"/>
        <v>0</v>
      </c>
      <c r="BD258" s="136" t="s">
        <v>178</v>
      </c>
      <c r="BE258" s="136" t="s">
        <v>689</v>
      </c>
      <c r="BF258" s="136" t="s">
        <v>226</v>
      </c>
      <c r="BG258" s="120" t="s">
        <v>657</v>
      </c>
      <c r="BH258" s="136" t="str">
        <f t="shared" si="128"/>
        <v>HAT-LAT</v>
      </c>
      <c r="BI258" s="136">
        <f t="shared" si="129"/>
        <v>0.12595248250000002</v>
      </c>
      <c r="BJ258" s="136">
        <f t="shared" si="135"/>
        <v>1.5619045775</v>
      </c>
      <c r="BK258" s="136">
        <f t="shared" si="136"/>
        <v>0.27</v>
      </c>
      <c r="BL258" s="136">
        <v>0.18460977637047238</v>
      </c>
      <c r="BM258" s="136" t="s">
        <v>175</v>
      </c>
      <c r="BN258" s="136" t="s">
        <v>175</v>
      </c>
      <c r="BO258" s="136">
        <v>0.42517865978645819</v>
      </c>
      <c r="BP258" s="137" t="s">
        <v>175</v>
      </c>
      <c r="BQ258" s="137" t="s">
        <v>175</v>
      </c>
      <c r="BR258" s="137" t="s">
        <v>175</v>
      </c>
      <c r="BS258" s="137" t="s">
        <v>175</v>
      </c>
      <c r="BT258" s="138">
        <f t="shared" si="141"/>
        <v>-1.3259524825</v>
      </c>
      <c r="BU258" s="138">
        <f t="shared" si="142"/>
        <v>1.7390596802539062</v>
      </c>
      <c r="BV258" s="138">
        <f t="shared" si="143"/>
        <v>1.7390596802539062</v>
      </c>
      <c r="BW258" s="53" t="s">
        <v>175</v>
      </c>
      <c r="BX258" s="53" t="s">
        <v>175</v>
      </c>
      <c r="BY258" s="53" t="s">
        <v>175</v>
      </c>
      <c r="BZ258" s="53" t="s">
        <v>175</v>
      </c>
      <c r="CA258" s="147">
        <v>1</v>
      </c>
      <c r="CB258" s="54">
        <v>0</v>
      </c>
    </row>
    <row r="259" spans="1:80">
      <c r="A259" s="123" t="s">
        <v>351</v>
      </c>
      <c r="B259" s="124" t="s">
        <v>314</v>
      </c>
      <c r="C259" s="148" t="s">
        <v>674</v>
      </c>
      <c r="D259" s="125" t="s">
        <v>743</v>
      </c>
      <c r="E259" s="150">
        <v>23.168056</v>
      </c>
      <c r="F259" s="150">
        <v>112.841667</v>
      </c>
      <c r="G259" s="128" t="s">
        <v>168</v>
      </c>
      <c r="H259" s="129">
        <v>7677</v>
      </c>
      <c r="I259" s="129">
        <v>36</v>
      </c>
      <c r="J259" s="129">
        <v>8460</v>
      </c>
      <c r="K259" s="129">
        <v>82</v>
      </c>
      <c r="L259" s="129">
        <v>62</v>
      </c>
      <c r="M259" s="130" t="s">
        <v>346</v>
      </c>
      <c r="N259" s="146" t="s">
        <v>528</v>
      </c>
      <c r="O259" s="130" t="s">
        <v>344</v>
      </c>
      <c r="P259" s="130" t="s">
        <v>348</v>
      </c>
      <c r="Q259" s="130" t="s">
        <v>172</v>
      </c>
      <c r="R259" s="131">
        <v>12.26</v>
      </c>
      <c r="S259" s="131">
        <v>3.7199999999999998</v>
      </c>
      <c r="T259" s="130">
        <v>1</v>
      </c>
      <c r="U259" s="132" t="s">
        <v>173</v>
      </c>
      <c r="V259" s="133">
        <v>0.01</v>
      </c>
      <c r="W259" s="132" t="s">
        <v>174</v>
      </c>
      <c r="X259" s="133">
        <v>0.01</v>
      </c>
      <c r="Y259" s="133">
        <v>5.0000000000000001E-3</v>
      </c>
      <c r="Z259" s="133">
        <v>0.01</v>
      </c>
      <c r="AA259" s="133">
        <v>0.15</v>
      </c>
      <c r="AB259" s="133">
        <f t="shared" si="139"/>
        <v>0.2452</v>
      </c>
      <c r="AC259" s="134">
        <v>0</v>
      </c>
      <c r="AD259" s="134">
        <v>0</v>
      </c>
      <c r="AE259" s="134">
        <v>0.5</v>
      </c>
      <c r="AF259" s="134">
        <v>0</v>
      </c>
      <c r="AG259" s="134">
        <v>0.1</v>
      </c>
      <c r="AH259" s="134">
        <v>0</v>
      </c>
      <c r="AI259" s="134">
        <v>0</v>
      </c>
      <c r="AJ259" s="134">
        <v>0</v>
      </c>
      <c r="AK259" s="134" t="s">
        <v>175</v>
      </c>
      <c r="AL259" s="122" t="s">
        <v>175</v>
      </c>
      <c r="AM259" s="122">
        <v>-7.46</v>
      </c>
      <c r="AN259" s="134" t="s">
        <v>176</v>
      </c>
      <c r="AO259" s="122" t="s">
        <v>177</v>
      </c>
      <c r="AP259" s="135">
        <f t="shared" si="144"/>
        <v>0.58544687205586809</v>
      </c>
      <c r="AQ259" s="135">
        <f t="shared" si="137"/>
        <v>0.58544687205586809</v>
      </c>
      <c r="AR259" s="117">
        <v>-1.435952095</v>
      </c>
      <c r="AS259" s="117">
        <v>0</v>
      </c>
      <c r="AT259" s="117">
        <v>0</v>
      </c>
      <c r="AU259" s="117">
        <v>-0.89785667300000005</v>
      </c>
      <c r="AV259" s="117">
        <v>-0.604999807</v>
      </c>
      <c r="AW259" s="117">
        <v>-3.2678482000000002E-2</v>
      </c>
      <c r="AX259" s="117">
        <v>0.52238091600000003</v>
      </c>
      <c r="AY259" s="117">
        <v>0.84976163800000004</v>
      </c>
      <c r="AZ259" s="117">
        <v>0</v>
      </c>
      <c r="BA259" s="117">
        <v>0</v>
      </c>
      <c r="BB259" s="117">
        <v>1.6904850600000001</v>
      </c>
      <c r="BC259" s="136" t="str">
        <f t="shared" si="140"/>
        <v>0</v>
      </c>
      <c r="BD259" s="136" t="s">
        <v>178</v>
      </c>
      <c r="BE259" s="136" t="s">
        <v>689</v>
      </c>
      <c r="BF259" s="136" t="s">
        <v>226</v>
      </c>
      <c r="BG259" s="120" t="s">
        <v>657</v>
      </c>
      <c r="BH259" s="136" t="str">
        <f t="shared" si="128"/>
        <v>HAT-LAT</v>
      </c>
      <c r="BI259" s="136">
        <f t="shared" si="129"/>
        <v>0.12726648250000006</v>
      </c>
      <c r="BJ259" s="136">
        <f t="shared" si="135"/>
        <v>1.5632185775</v>
      </c>
      <c r="BK259" s="136">
        <f t="shared" si="136"/>
        <v>0.27</v>
      </c>
      <c r="BL259" s="136">
        <v>0.18476508499152722</v>
      </c>
      <c r="BM259" s="136" t="s">
        <v>175</v>
      </c>
      <c r="BN259" s="136" t="s">
        <v>175</v>
      </c>
      <c r="BO259" s="136">
        <v>0.48297860323617026</v>
      </c>
      <c r="BP259" s="137" t="s">
        <v>175</v>
      </c>
      <c r="BQ259" s="137" t="s">
        <v>175</v>
      </c>
      <c r="BR259" s="137" t="s">
        <v>175</v>
      </c>
      <c r="BS259" s="137" t="s">
        <v>175</v>
      </c>
      <c r="BT259" s="138">
        <f t="shared" si="141"/>
        <v>-7.5872664825000005</v>
      </c>
      <c r="BU259" s="138">
        <f t="shared" si="142"/>
        <v>1.7682496511683559</v>
      </c>
      <c r="BV259" s="138">
        <f t="shared" si="143"/>
        <v>1.7682496511683559</v>
      </c>
      <c r="BW259" s="53" t="s">
        <v>175</v>
      </c>
      <c r="BX259" s="53" t="s">
        <v>175</v>
      </c>
      <c r="BY259" s="53" t="s">
        <v>175</v>
      </c>
      <c r="BZ259" s="53" t="s">
        <v>175</v>
      </c>
      <c r="CA259" s="147">
        <v>1</v>
      </c>
      <c r="CB259" s="54">
        <v>0</v>
      </c>
    </row>
    <row r="260" spans="1:80">
      <c r="A260" s="123" t="s">
        <v>352</v>
      </c>
      <c r="B260" s="124" t="s">
        <v>314</v>
      </c>
      <c r="C260" s="148" t="s">
        <v>674</v>
      </c>
      <c r="D260" s="125" t="s">
        <v>743</v>
      </c>
      <c r="E260" s="150">
        <v>23.168056</v>
      </c>
      <c r="F260" s="150">
        <v>112.841667</v>
      </c>
      <c r="G260" s="128" t="s">
        <v>168</v>
      </c>
      <c r="H260" s="129">
        <v>7961</v>
      </c>
      <c r="I260" s="129">
        <v>35</v>
      </c>
      <c r="J260" s="129">
        <v>8836</v>
      </c>
      <c r="K260" s="129">
        <v>153</v>
      </c>
      <c r="L260" s="129">
        <v>189</v>
      </c>
      <c r="M260" s="130" t="s">
        <v>346</v>
      </c>
      <c r="N260" s="146" t="s">
        <v>528</v>
      </c>
      <c r="O260" s="130" t="s">
        <v>344</v>
      </c>
      <c r="P260" s="130" t="s">
        <v>348</v>
      </c>
      <c r="Q260" s="130" t="s">
        <v>172</v>
      </c>
      <c r="R260" s="131">
        <v>13.41</v>
      </c>
      <c r="S260" s="131">
        <v>2.5700000000000003</v>
      </c>
      <c r="T260" s="130">
        <v>1</v>
      </c>
      <c r="U260" s="132" t="s">
        <v>173</v>
      </c>
      <c r="V260" s="133">
        <v>0.01</v>
      </c>
      <c r="W260" s="132" t="s">
        <v>174</v>
      </c>
      <c r="X260" s="133">
        <v>0.01</v>
      </c>
      <c r="Y260" s="133">
        <v>5.0000000000000001E-3</v>
      </c>
      <c r="Z260" s="133">
        <v>0.01</v>
      </c>
      <c r="AA260" s="133">
        <v>0.15</v>
      </c>
      <c r="AB260" s="133">
        <f t="shared" si="139"/>
        <v>0.26819999999999999</v>
      </c>
      <c r="AC260" s="134">
        <v>0</v>
      </c>
      <c r="AD260" s="134">
        <v>0</v>
      </c>
      <c r="AE260" s="134">
        <v>0.5</v>
      </c>
      <c r="AF260" s="134">
        <v>0</v>
      </c>
      <c r="AG260" s="134">
        <v>0.1</v>
      </c>
      <c r="AH260" s="134">
        <v>0</v>
      </c>
      <c r="AI260" s="134">
        <v>0</v>
      </c>
      <c r="AJ260" s="134">
        <v>0</v>
      </c>
      <c r="AK260" s="134" t="s">
        <v>175</v>
      </c>
      <c r="AL260" s="122" t="s">
        <v>175</v>
      </c>
      <c r="AM260" s="122">
        <v>-8.61</v>
      </c>
      <c r="AN260" s="134" t="s">
        <v>176</v>
      </c>
      <c r="AO260" s="122" t="s">
        <v>177</v>
      </c>
      <c r="AP260" s="135">
        <f t="shared" si="144"/>
        <v>0.59544625282220054</v>
      </c>
      <c r="AQ260" s="135">
        <f t="shared" si="137"/>
        <v>0.59544625282220054</v>
      </c>
      <c r="AR260" s="117">
        <v>-1.435952095</v>
      </c>
      <c r="AS260" s="117">
        <v>0</v>
      </c>
      <c r="AT260" s="117">
        <v>0</v>
      </c>
      <c r="AU260" s="117">
        <v>-0.89785667300000005</v>
      </c>
      <c r="AV260" s="117">
        <v>-0.604999807</v>
      </c>
      <c r="AW260" s="117">
        <v>-3.2678482000000002E-2</v>
      </c>
      <c r="AX260" s="117">
        <v>0.52238091600000003</v>
      </c>
      <c r="AY260" s="117">
        <v>0.84976163800000004</v>
      </c>
      <c r="AZ260" s="117">
        <v>0</v>
      </c>
      <c r="BA260" s="117">
        <v>0</v>
      </c>
      <c r="BB260" s="117">
        <v>1.6904850600000001</v>
      </c>
      <c r="BC260" s="136" t="str">
        <f t="shared" si="140"/>
        <v>0</v>
      </c>
      <c r="BD260" s="136" t="s">
        <v>178</v>
      </c>
      <c r="BE260" s="136" t="s">
        <v>689</v>
      </c>
      <c r="BF260" s="136" t="s">
        <v>226</v>
      </c>
      <c r="BG260" s="120" t="s">
        <v>657</v>
      </c>
      <c r="BH260" s="136" t="str">
        <f t="shared" si="128"/>
        <v>HAT-LAT</v>
      </c>
      <c r="BI260" s="136">
        <f t="shared" si="129"/>
        <v>0.12726648250000006</v>
      </c>
      <c r="BJ260" s="136">
        <f t="shared" si="135"/>
        <v>1.5632185775</v>
      </c>
      <c r="BK260" s="136">
        <f t="shared" si="136"/>
        <v>0.27</v>
      </c>
      <c r="BL260" s="136">
        <v>0.18476508499152722</v>
      </c>
      <c r="BM260" s="136" t="s">
        <v>175</v>
      </c>
      <c r="BN260" s="136" t="s">
        <v>175</v>
      </c>
      <c r="BO260" s="136">
        <v>0.50594673281868174</v>
      </c>
      <c r="BP260" s="137" t="s">
        <v>175</v>
      </c>
      <c r="BQ260" s="137" t="s">
        <v>175</v>
      </c>
      <c r="BR260" s="137" t="s">
        <v>175</v>
      </c>
      <c r="BS260" s="137" t="s">
        <v>175</v>
      </c>
      <c r="BT260" s="138">
        <f t="shared" si="141"/>
        <v>-8.737266482499999</v>
      </c>
      <c r="BU260" s="138">
        <f t="shared" si="142"/>
        <v>1.7779844752198903</v>
      </c>
      <c r="BV260" s="138">
        <f t="shared" si="143"/>
        <v>1.7779844752198903</v>
      </c>
      <c r="BW260" s="53" t="s">
        <v>175</v>
      </c>
      <c r="BX260" s="53" t="s">
        <v>175</v>
      </c>
      <c r="BY260" s="53" t="s">
        <v>175</v>
      </c>
      <c r="BZ260" s="53" t="s">
        <v>175</v>
      </c>
      <c r="CA260" s="147">
        <v>1</v>
      </c>
      <c r="CB260" s="54">
        <v>0</v>
      </c>
    </row>
    <row r="261" spans="1:80">
      <c r="A261" s="123" t="s">
        <v>353</v>
      </c>
      <c r="B261" s="124" t="s">
        <v>314</v>
      </c>
      <c r="C261" s="148" t="s">
        <v>674</v>
      </c>
      <c r="D261" s="125" t="s">
        <v>743</v>
      </c>
      <c r="E261" s="150">
        <v>23.168056</v>
      </c>
      <c r="F261" s="150">
        <v>112.841667</v>
      </c>
      <c r="G261" s="128" t="s">
        <v>168</v>
      </c>
      <c r="H261" s="129">
        <v>8037</v>
      </c>
      <c r="I261" s="129">
        <v>36</v>
      </c>
      <c r="J261" s="129">
        <v>8900</v>
      </c>
      <c r="K261" s="129">
        <v>122</v>
      </c>
      <c r="L261" s="129">
        <v>172</v>
      </c>
      <c r="M261" s="130" t="s">
        <v>346</v>
      </c>
      <c r="N261" s="146" t="s">
        <v>528</v>
      </c>
      <c r="O261" s="130" t="s">
        <v>344</v>
      </c>
      <c r="P261" s="130" t="s">
        <v>348</v>
      </c>
      <c r="Q261" s="130" t="s">
        <v>172</v>
      </c>
      <c r="R261" s="131">
        <v>14.669999999999998</v>
      </c>
      <c r="S261" s="131">
        <v>1.3100000000000005</v>
      </c>
      <c r="T261" s="130">
        <v>1</v>
      </c>
      <c r="U261" s="132" t="s">
        <v>173</v>
      </c>
      <c r="V261" s="133">
        <v>0.01</v>
      </c>
      <c r="W261" s="132" t="s">
        <v>174</v>
      </c>
      <c r="X261" s="133">
        <v>0.01</v>
      </c>
      <c r="Y261" s="133">
        <v>5.0000000000000001E-3</v>
      </c>
      <c r="Z261" s="133">
        <v>0.01</v>
      </c>
      <c r="AA261" s="133">
        <v>0.15</v>
      </c>
      <c r="AB261" s="133">
        <f t="shared" si="139"/>
        <v>0.29339999999999999</v>
      </c>
      <c r="AC261" s="134">
        <v>0</v>
      </c>
      <c r="AD261" s="134">
        <v>0</v>
      </c>
      <c r="AE261" s="134">
        <v>0.5</v>
      </c>
      <c r="AF261" s="134">
        <v>0</v>
      </c>
      <c r="AG261" s="134">
        <v>0.1</v>
      </c>
      <c r="AH261" s="134">
        <v>0</v>
      </c>
      <c r="AI261" s="134">
        <v>0</v>
      </c>
      <c r="AJ261" s="134">
        <v>0</v>
      </c>
      <c r="AK261" s="134" t="s">
        <v>175</v>
      </c>
      <c r="AL261" s="122" t="s">
        <v>175</v>
      </c>
      <c r="AM261" s="122">
        <v>-9.8699999999999992</v>
      </c>
      <c r="AN261" s="134" t="s">
        <v>176</v>
      </c>
      <c r="AO261" s="122" t="s">
        <v>177</v>
      </c>
      <c r="AP261" s="135">
        <f t="shared" si="144"/>
        <v>0.60721376795985116</v>
      </c>
      <c r="AQ261" s="135">
        <f t="shared" si="137"/>
        <v>0.60721376795985116</v>
      </c>
      <c r="AR261" s="117">
        <v>-1.435952095</v>
      </c>
      <c r="AS261" s="117">
        <v>0</v>
      </c>
      <c r="AT261" s="117">
        <v>0</v>
      </c>
      <c r="AU261" s="117">
        <v>-0.89785667300000005</v>
      </c>
      <c r="AV261" s="117">
        <v>-0.604999807</v>
      </c>
      <c r="AW261" s="117">
        <v>-3.2678482000000002E-2</v>
      </c>
      <c r="AX261" s="117">
        <v>0.52238091600000003</v>
      </c>
      <c r="AY261" s="117">
        <v>0.84976163800000004</v>
      </c>
      <c r="AZ261" s="117">
        <v>0</v>
      </c>
      <c r="BA261" s="117">
        <v>0</v>
      </c>
      <c r="BB261" s="117">
        <v>1.690975251</v>
      </c>
      <c r="BC261" s="136" t="str">
        <f t="shared" si="140"/>
        <v>0</v>
      </c>
      <c r="BD261" s="136" t="s">
        <v>178</v>
      </c>
      <c r="BE261" s="136" t="s">
        <v>689</v>
      </c>
      <c r="BF261" s="136" t="s">
        <v>226</v>
      </c>
      <c r="BG261" s="120" t="s">
        <v>657</v>
      </c>
      <c r="BH261" s="136" t="str">
        <f t="shared" si="128"/>
        <v>HAT-LAT</v>
      </c>
      <c r="BI261" s="136">
        <f t="shared" si="129"/>
        <v>0.12751157800000001</v>
      </c>
      <c r="BJ261" s="136">
        <f t="shared" si="135"/>
        <v>1.563463673</v>
      </c>
      <c r="BK261" s="136">
        <f t="shared" si="136"/>
        <v>0.27</v>
      </c>
      <c r="BL261" s="136">
        <v>0.18479405412709138</v>
      </c>
      <c r="BM261" s="136" t="s">
        <v>175</v>
      </c>
      <c r="BN261" s="136" t="s">
        <v>175</v>
      </c>
      <c r="BO261" s="136">
        <v>0.50602605970824022</v>
      </c>
      <c r="BP261" s="137" t="s">
        <v>175</v>
      </c>
      <c r="BQ261" s="137" t="s">
        <v>175</v>
      </c>
      <c r="BR261" s="137" t="s">
        <v>175</v>
      </c>
      <c r="BS261" s="137" t="s">
        <v>175</v>
      </c>
      <c r="BT261" s="138">
        <f t="shared" si="141"/>
        <v>-9.9975115779999992</v>
      </c>
      <c r="BU261" s="138">
        <f t="shared" si="142"/>
        <v>1.7822004467329777</v>
      </c>
      <c r="BV261" s="138">
        <f t="shared" si="143"/>
        <v>1.7822004467329777</v>
      </c>
      <c r="BW261" s="53" t="s">
        <v>175</v>
      </c>
      <c r="BX261" s="53" t="s">
        <v>175</v>
      </c>
      <c r="BY261" s="53" t="s">
        <v>175</v>
      </c>
      <c r="BZ261" s="53" t="s">
        <v>175</v>
      </c>
      <c r="CA261" s="147">
        <v>1</v>
      </c>
      <c r="CB261" s="54">
        <v>0</v>
      </c>
    </row>
    <row r="262" spans="1:80">
      <c r="A262" s="123" t="s">
        <v>482</v>
      </c>
      <c r="B262" s="124" t="s">
        <v>933</v>
      </c>
      <c r="C262" s="148" t="s">
        <v>674</v>
      </c>
      <c r="D262" s="125" t="s">
        <v>743</v>
      </c>
      <c r="E262" s="127">
        <v>23.183333333333334</v>
      </c>
      <c r="F262" s="127">
        <v>112.8</v>
      </c>
      <c r="G262" s="128" t="s">
        <v>168</v>
      </c>
      <c r="H262" s="129">
        <v>6265.358988581469</v>
      </c>
      <c r="I262" s="129">
        <v>331.12830786394568</v>
      </c>
      <c r="J262" s="129">
        <v>7111</v>
      </c>
      <c r="K262" s="129">
        <v>629</v>
      </c>
      <c r="L262" s="129">
        <v>714</v>
      </c>
      <c r="M262" s="130" t="s">
        <v>483</v>
      </c>
      <c r="N262" s="146" t="s">
        <v>934</v>
      </c>
      <c r="O262" s="130" t="s">
        <v>484</v>
      </c>
      <c r="P262" s="130" t="s">
        <v>485</v>
      </c>
      <c r="Q262" s="130" t="s">
        <v>172</v>
      </c>
      <c r="R262" s="131">
        <v>7</v>
      </c>
      <c r="S262" s="131">
        <v>0.8</v>
      </c>
      <c r="T262" s="130">
        <v>1</v>
      </c>
      <c r="U262" s="132" t="s">
        <v>173</v>
      </c>
      <c r="V262" s="133">
        <v>0.1</v>
      </c>
      <c r="W262" s="132" t="s">
        <v>174</v>
      </c>
      <c r="X262" s="133">
        <v>0.1</v>
      </c>
      <c r="Y262" s="133">
        <v>0.05</v>
      </c>
      <c r="Z262" s="133">
        <v>0.01</v>
      </c>
      <c r="AA262" s="133">
        <v>0.15</v>
      </c>
      <c r="AB262" s="133">
        <f t="shared" si="139"/>
        <v>0.14000000000000001</v>
      </c>
      <c r="AC262" s="134">
        <v>0</v>
      </c>
      <c r="AD262" s="134">
        <v>0</v>
      </c>
      <c r="AE262" s="134">
        <v>0.5</v>
      </c>
      <c r="AF262" s="134">
        <v>0</v>
      </c>
      <c r="AG262" s="134">
        <v>0.1</v>
      </c>
      <c r="AH262" s="134">
        <v>0</v>
      </c>
      <c r="AI262" s="134">
        <v>0</v>
      </c>
      <c r="AJ262" s="134">
        <v>0</v>
      </c>
      <c r="AK262" s="134" t="s">
        <v>175</v>
      </c>
      <c r="AL262" s="122" t="s">
        <v>175</v>
      </c>
      <c r="AM262" s="122">
        <v>-5.3</v>
      </c>
      <c r="AN262" s="134" t="s">
        <v>176</v>
      </c>
      <c r="AO262" s="134" t="s">
        <v>177</v>
      </c>
      <c r="AP262" s="135">
        <f t="shared" si="144"/>
        <v>0.55199637679970326</v>
      </c>
      <c r="AQ262" s="135">
        <f t="shared" si="137"/>
        <v>0.55199637679970326</v>
      </c>
      <c r="AR262" s="117">
        <v>-1.440419906</v>
      </c>
      <c r="AS262" s="117">
        <v>0</v>
      </c>
      <c r="AT262" s="117">
        <v>0</v>
      </c>
      <c r="AU262" s="117">
        <v>-0.90520694199999996</v>
      </c>
      <c r="AV262" s="117">
        <v>-0.60802638799999997</v>
      </c>
      <c r="AW262" s="117">
        <v>-3.4083679999999998E-2</v>
      </c>
      <c r="AX262" s="117">
        <v>0.52295740700000004</v>
      </c>
      <c r="AY262" s="117">
        <v>0.85394120200000001</v>
      </c>
      <c r="AZ262" s="117">
        <v>0</v>
      </c>
      <c r="BA262" s="117">
        <v>0</v>
      </c>
      <c r="BB262" s="117">
        <v>1.689154166</v>
      </c>
      <c r="BC262" s="136" t="str">
        <f t="shared" si="140"/>
        <v xml:space="preserve">-1 </v>
      </c>
      <c r="BD262" s="136" t="s">
        <v>178</v>
      </c>
      <c r="BE262" s="136" t="s">
        <v>935</v>
      </c>
      <c r="BF262" s="136" t="s">
        <v>936</v>
      </c>
      <c r="BG262" s="120" t="s">
        <v>665</v>
      </c>
      <c r="BH262" s="136" t="str">
        <f t="shared" si="128"/>
        <v>&lt;HAT</v>
      </c>
      <c r="BI262" s="136">
        <f t="shared" si="129"/>
        <v>1.689154166</v>
      </c>
      <c r="BJ262" s="136" t="str">
        <f t="shared" si="135"/>
        <v>Nil</v>
      </c>
      <c r="BK262" s="136">
        <f t="shared" si="136"/>
        <v>0.18</v>
      </c>
      <c r="BL262" s="136">
        <v>0.18495046941071802</v>
      </c>
      <c r="BM262" s="136" t="s">
        <v>175</v>
      </c>
      <c r="BN262" s="136" t="s">
        <v>175</v>
      </c>
      <c r="BO262" s="136">
        <v>0.74282494571733504</v>
      </c>
      <c r="BP262" s="137" t="s">
        <v>175</v>
      </c>
      <c r="BQ262" s="137" t="s">
        <v>175</v>
      </c>
      <c r="BR262" s="137" t="s">
        <v>175</v>
      </c>
      <c r="BS262" s="137" t="s">
        <v>175</v>
      </c>
      <c r="BT262" s="138">
        <f t="shared" si="141"/>
        <v>-6.9891541659999996</v>
      </c>
      <c r="BU262" s="138">
        <f t="shared" si="142"/>
        <v>0.96077863013037845</v>
      </c>
      <c r="BV262" s="138">
        <f t="shared" si="143"/>
        <v>0.96077863013037845</v>
      </c>
      <c r="BW262" s="53" t="s">
        <v>175</v>
      </c>
      <c r="BX262" s="53" t="s">
        <v>175</v>
      </c>
      <c r="BY262" s="53" t="s">
        <v>175</v>
      </c>
      <c r="BZ262" s="53" t="s">
        <v>175</v>
      </c>
      <c r="CA262" s="147">
        <v>1</v>
      </c>
      <c r="CB262" s="54">
        <v>0</v>
      </c>
    </row>
    <row r="263" spans="1:80">
      <c r="A263" s="123" t="s">
        <v>924</v>
      </c>
      <c r="B263" s="124" t="s">
        <v>522</v>
      </c>
      <c r="C263" s="148" t="s">
        <v>674</v>
      </c>
      <c r="D263" s="126" t="s">
        <v>743</v>
      </c>
      <c r="E263" s="127">
        <v>23.2050278</v>
      </c>
      <c r="F263" s="127">
        <v>112.7421667</v>
      </c>
      <c r="G263" s="128" t="s">
        <v>168</v>
      </c>
      <c r="H263" s="145">
        <v>8280</v>
      </c>
      <c r="I263" s="145">
        <v>30</v>
      </c>
      <c r="J263" s="129">
        <v>9285</v>
      </c>
      <c r="K263" s="129">
        <v>132</v>
      </c>
      <c r="L263" s="129">
        <v>151</v>
      </c>
      <c r="M263" s="149" t="s">
        <v>525</v>
      </c>
      <c r="N263" s="146" t="s">
        <v>528</v>
      </c>
      <c r="O263" s="149" t="s">
        <v>529</v>
      </c>
      <c r="P263" s="149" t="s">
        <v>530</v>
      </c>
      <c r="Q263" s="130" t="s">
        <v>377</v>
      </c>
      <c r="R263" s="131">
        <v>18.18</v>
      </c>
      <c r="S263" s="131">
        <f>27.5-18.18</f>
        <v>9.32</v>
      </c>
      <c r="T263" s="130">
        <v>1</v>
      </c>
      <c r="U263" s="132" t="s">
        <v>173</v>
      </c>
      <c r="V263" s="133">
        <v>0.01</v>
      </c>
      <c r="W263" s="132" t="s">
        <v>174</v>
      </c>
      <c r="X263" s="133">
        <v>0.01</v>
      </c>
      <c r="Y263" s="133">
        <v>5.0000000000000001E-3</v>
      </c>
      <c r="Z263" s="133">
        <v>0.01</v>
      </c>
      <c r="AA263" s="133">
        <v>0.05</v>
      </c>
      <c r="AB263" s="133">
        <f t="shared" si="139"/>
        <v>0.36359999999999998</v>
      </c>
      <c r="AC263" s="134">
        <v>0</v>
      </c>
      <c r="AD263" s="134">
        <v>0</v>
      </c>
      <c r="AE263" s="134">
        <v>0.5</v>
      </c>
      <c r="AF263" s="134">
        <v>0</v>
      </c>
      <c r="AG263" s="134">
        <v>0.1</v>
      </c>
      <c r="AH263" s="134">
        <v>0</v>
      </c>
      <c r="AI263" s="134">
        <v>0</v>
      </c>
      <c r="AJ263" s="134">
        <v>0</v>
      </c>
      <c r="AK263" s="134" t="s">
        <v>175</v>
      </c>
      <c r="AL263" s="122" t="s">
        <v>175</v>
      </c>
      <c r="AM263" s="122">
        <v>-14.44</v>
      </c>
      <c r="AN263" s="134" t="s">
        <v>176</v>
      </c>
      <c r="AO263" s="122" t="s">
        <v>177</v>
      </c>
      <c r="AP263" s="135">
        <f t="shared" si="144"/>
        <v>0.62835496337659336</v>
      </c>
      <c r="AQ263" s="135">
        <f t="shared" si="137"/>
        <v>0.62835496337659336</v>
      </c>
      <c r="AR263" s="117">
        <v>-1.4456839909999999</v>
      </c>
      <c r="AS263" s="117">
        <v>0</v>
      </c>
      <c r="AT263" s="117">
        <v>0</v>
      </c>
      <c r="AU263" s="117">
        <v>-0.91386721199999998</v>
      </c>
      <c r="AV263" s="117">
        <v>-0.61159238100000002</v>
      </c>
      <c r="AW263" s="117">
        <v>-3.5739319999999998E-2</v>
      </c>
      <c r="AX263" s="117">
        <v>0.52363664399999998</v>
      </c>
      <c r="AY263" s="117">
        <v>0.85886566900000005</v>
      </c>
      <c r="AZ263" s="117">
        <v>0</v>
      </c>
      <c r="BA263" s="117">
        <v>0</v>
      </c>
      <c r="BB263" s="117">
        <v>1.6906824490000001</v>
      </c>
      <c r="BC263" s="136" t="str">
        <f t="shared" si="140"/>
        <v>0</v>
      </c>
      <c r="BD263" s="136" t="s">
        <v>178</v>
      </c>
      <c r="BE263" s="136" t="s">
        <v>689</v>
      </c>
      <c r="BF263" s="136" t="s">
        <v>937</v>
      </c>
      <c r="BG263" s="120" t="s">
        <v>657</v>
      </c>
      <c r="BH263" s="136" t="str">
        <f t="shared" si="128"/>
        <v>HAT-LAT</v>
      </c>
      <c r="BI263" s="136">
        <f t="shared" si="129"/>
        <v>0.1224992290000001</v>
      </c>
      <c r="BJ263" s="136">
        <f t="shared" si="135"/>
        <v>1.5681832199999999</v>
      </c>
      <c r="BK263" s="136">
        <f t="shared" si="136"/>
        <v>0.27</v>
      </c>
      <c r="BL263" s="136">
        <v>0.1853518823893241</v>
      </c>
      <c r="BM263" s="136" t="s">
        <v>175</v>
      </c>
      <c r="BN263" s="136" t="s">
        <v>175</v>
      </c>
      <c r="BO263" s="136">
        <v>0.40482009337449454</v>
      </c>
      <c r="BP263" s="137" t="s">
        <v>175</v>
      </c>
      <c r="BQ263" s="137" t="s">
        <v>175</v>
      </c>
      <c r="BR263" s="137" t="s">
        <v>175</v>
      </c>
      <c r="BS263" s="137" t="s">
        <v>175</v>
      </c>
      <c r="BT263" s="138">
        <f t="shared" si="141"/>
        <v>-14.562499229</v>
      </c>
      <c r="BU263" s="138">
        <f t="shared" si="142"/>
        <v>1.767813112236293</v>
      </c>
      <c r="BV263" s="138">
        <f t="shared" si="143"/>
        <v>1.767813112236293</v>
      </c>
      <c r="BW263" s="53" t="s">
        <v>175</v>
      </c>
      <c r="BX263" s="53" t="s">
        <v>175</v>
      </c>
      <c r="BY263" s="53" t="s">
        <v>175</v>
      </c>
      <c r="BZ263" s="53" t="s">
        <v>175</v>
      </c>
      <c r="CA263" s="147">
        <v>1</v>
      </c>
      <c r="CB263" s="54">
        <v>0</v>
      </c>
    </row>
    <row r="264" spans="1:80">
      <c r="A264" s="123" t="s">
        <v>359</v>
      </c>
      <c r="B264" s="124" t="s">
        <v>938</v>
      </c>
      <c r="C264" s="148" t="s">
        <v>674</v>
      </c>
      <c r="D264" s="125" t="s">
        <v>743</v>
      </c>
      <c r="E264" s="127">
        <v>23.189022000000001</v>
      </c>
      <c r="F264" s="127">
        <v>112.742158</v>
      </c>
      <c r="G264" s="128" t="s">
        <v>168</v>
      </c>
      <c r="H264" s="129">
        <v>8180</v>
      </c>
      <c r="I264" s="129">
        <v>107.70329614269008</v>
      </c>
      <c r="J264" s="129">
        <v>9147</v>
      </c>
      <c r="K264" s="129">
        <v>308</v>
      </c>
      <c r="L264" s="129">
        <v>370</v>
      </c>
      <c r="M264" s="130" t="s">
        <v>355</v>
      </c>
      <c r="N264" s="149" t="s">
        <v>735</v>
      </c>
      <c r="O264" s="130" t="s">
        <v>175</v>
      </c>
      <c r="P264" s="130" t="s">
        <v>358</v>
      </c>
      <c r="Q264" s="130" t="s">
        <v>172</v>
      </c>
      <c r="R264" s="131">
        <v>19.25</v>
      </c>
      <c r="S264" s="131">
        <v>10.56</v>
      </c>
      <c r="T264" s="130">
        <v>1</v>
      </c>
      <c r="U264" s="132" t="s">
        <v>173</v>
      </c>
      <c r="V264" s="133">
        <v>0.05</v>
      </c>
      <c r="W264" s="132" t="s">
        <v>174</v>
      </c>
      <c r="X264" s="133">
        <v>0.05</v>
      </c>
      <c r="Y264" s="133">
        <v>2.5000000000000001E-2</v>
      </c>
      <c r="Z264" s="133">
        <v>0.01</v>
      </c>
      <c r="AA264" s="133">
        <v>0.15</v>
      </c>
      <c r="AB264" s="133">
        <f t="shared" si="139"/>
        <v>0.38500000000000001</v>
      </c>
      <c r="AC264" s="134">
        <v>0</v>
      </c>
      <c r="AD264" s="134">
        <v>0</v>
      </c>
      <c r="AE264" s="134">
        <v>0.5</v>
      </c>
      <c r="AF264" s="134">
        <v>0</v>
      </c>
      <c r="AG264" s="134">
        <v>0.1</v>
      </c>
      <c r="AH264" s="134">
        <v>0</v>
      </c>
      <c r="AI264" s="134">
        <v>0</v>
      </c>
      <c r="AJ264" s="134">
        <v>0</v>
      </c>
      <c r="AK264" s="134" t="s">
        <v>175</v>
      </c>
      <c r="AL264" s="122" t="s">
        <v>175</v>
      </c>
      <c r="AM264" s="122">
        <v>-15.65</v>
      </c>
      <c r="AN264" s="134" t="s">
        <v>176</v>
      </c>
      <c r="AO264" s="122" t="s">
        <v>177</v>
      </c>
      <c r="AP264" s="135">
        <f t="shared" si="144"/>
        <v>0.65684853657445263</v>
      </c>
      <c r="AQ264" s="135">
        <f t="shared" si="137"/>
        <v>0.65684853657445263</v>
      </c>
      <c r="AR264" s="117">
        <v>-1.445004095</v>
      </c>
      <c r="AS264" s="117">
        <v>0</v>
      </c>
      <c r="AT264" s="117">
        <v>0</v>
      </c>
      <c r="AU264" s="117">
        <v>-0.91274867299999995</v>
      </c>
      <c r="AV264" s="117">
        <v>-0.61113180700000003</v>
      </c>
      <c r="AW264" s="117">
        <v>-3.5525481999999997E-2</v>
      </c>
      <c r="AX264" s="117">
        <v>0.52354891599999998</v>
      </c>
      <c r="AY264" s="117">
        <v>0.85822963799999996</v>
      </c>
      <c r="AZ264" s="117">
        <v>0</v>
      </c>
      <c r="BA264" s="117">
        <v>0</v>
      </c>
      <c r="BB264" s="117">
        <v>1.690975251</v>
      </c>
      <c r="BC264" s="136" t="str">
        <f t="shared" si="140"/>
        <v>0</v>
      </c>
      <c r="BD264" s="136" t="s">
        <v>178</v>
      </c>
      <c r="BE264" s="136" t="s">
        <v>689</v>
      </c>
      <c r="BF264" s="136" t="s">
        <v>939</v>
      </c>
      <c r="BG264" s="120" t="s">
        <v>657</v>
      </c>
      <c r="BH264" s="136" t="str">
        <f t="shared" si="128"/>
        <v>HAT-LAT</v>
      </c>
      <c r="BI264" s="136">
        <f t="shared" si="129"/>
        <v>0.12298557799999998</v>
      </c>
      <c r="BJ264" s="136">
        <f t="shared" si="135"/>
        <v>1.567989673</v>
      </c>
      <c r="BK264" s="136">
        <f t="shared" si="136"/>
        <v>0.27</v>
      </c>
      <c r="BL264" s="136">
        <v>0.18532900604405844</v>
      </c>
      <c r="BM264" s="136" t="s">
        <v>175</v>
      </c>
      <c r="BN264" s="136" t="s">
        <v>175</v>
      </c>
      <c r="BO264" s="136">
        <v>5.2196634962852873E-2</v>
      </c>
      <c r="BP264" s="137" t="s">
        <v>175</v>
      </c>
      <c r="BQ264" s="137" t="s">
        <v>175</v>
      </c>
      <c r="BR264" s="137" t="s">
        <v>175</v>
      </c>
      <c r="BS264" s="137" t="s">
        <v>175</v>
      </c>
      <c r="BT264" s="138">
        <f t="shared" si="141"/>
        <v>-15.772985578</v>
      </c>
      <c r="BU264" s="138">
        <f t="shared" si="142"/>
        <v>1.7320545441230686</v>
      </c>
      <c r="BV264" s="138">
        <f t="shared" si="143"/>
        <v>1.7320545441230686</v>
      </c>
      <c r="BW264" s="53" t="s">
        <v>175</v>
      </c>
      <c r="BX264" s="53" t="s">
        <v>175</v>
      </c>
      <c r="BY264" s="53" t="s">
        <v>175</v>
      </c>
      <c r="BZ264" s="53" t="s">
        <v>175</v>
      </c>
      <c r="CA264" s="147">
        <v>1</v>
      </c>
      <c r="CB264" s="54">
        <v>0</v>
      </c>
    </row>
    <row r="265" spans="1:80">
      <c r="A265" s="123" t="s">
        <v>360</v>
      </c>
      <c r="B265" s="124" t="s">
        <v>938</v>
      </c>
      <c r="C265" s="148" t="s">
        <v>674</v>
      </c>
      <c r="D265" s="125" t="s">
        <v>743</v>
      </c>
      <c r="E265" s="127">
        <v>23.189022000000001</v>
      </c>
      <c r="F265" s="127">
        <v>112.742158</v>
      </c>
      <c r="G265" s="128" t="s">
        <v>168</v>
      </c>
      <c r="H265" s="129">
        <v>10200</v>
      </c>
      <c r="I265" s="129">
        <v>30</v>
      </c>
      <c r="J265" s="129">
        <v>11871</v>
      </c>
      <c r="K265" s="129">
        <v>75</v>
      </c>
      <c r="L265" s="129">
        <v>120</v>
      </c>
      <c r="M265" s="130" t="s">
        <v>358</v>
      </c>
      <c r="N265" s="146" t="s">
        <v>528</v>
      </c>
      <c r="O265" s="130" t="s">
        <v>355</v>
      </c>
      <c r="P265" s="130" t="s">
        <v>361</v>
      </c>
      <c r="Q265" s="130" t="s">
        <v>172</v>
      </c>
      <c r="R265" s="131">
        <v>23.71</v>
      </c>
      <c r="S265" s="131">
        <v>5.5</v>
      </c>
      <c r="T265" s="130">
        <v>1</v>
      </c>
      <c r="U265" s="132" t="s">
        <v>173</v>
      </c>
      <c r="V265" s="133">
        <v>0.01</v>
      </c>
      <c r="W265" s="132" t="s">
        <v>174</v>
      </c>
      <c r="X265" s="133">
        <v>0.01</v>
      </c>
      <c r="Y265" s="133">
        <v>5.0000000000000001E-3</v>
      </c>
      <c r="Z265" s="133">
        <v>0.01</v>
      </c>
      <c r="AA265" s="133">
        <v>0.15</v>
      </c>
      <c r="AB265" s="133">
        <f t="shared" si="139"/>
        <v>0.47420000000000001</v>
      </c>
      <c r="AC265" s="134">
        <v>0</v>
      </c>
      <c r="AD265" s="134">
        <v>0</v>
      </c>
      <c r="AE265" s="134">
        <v>0.5</v>
      </c>
      <c r="AF265" s="134">
        <v>0</v>
      </c>
      <c r="AG265" s="134">
        <v>0.1</v>
      </c>
      <c r="AH265" s="134">
        <v>0</v>
      </c>
      <c r="AI265" s="134">
        <v>0</v>
      </c>
      <c r="AJ265" s="134">
        <v>0</v>
      </c>
      <c r="AK265" s="134" t="s">
        <v>175</v>
      </c>
      <c r="AL265" s="122" t="s">
        <v>175</v>
      </c>
      <c r="AM265" s="122">
        <v>-20.72</v>
      </c>
      <c r="AN265" s="134" t="s">
        <v>176</v>
      </c>
      <c r="AO265" s="122" t="s">
        <v>177</v>
      </c>
      <c r="AP265" s="135">
        <f t="shared" si="144"/>
        <v>0.71238377297633615</v>
      </c>
      <c r="AQ265" s="135">
        <f t="shared" si="137"/>
        <v>0.71238377297633615</v>
      </c>
      <c r="AR265" s="117">
        <v>-1.445004095</v>
      </c>
      <c r="AS265" s="117">
        <v>0</v>
      </c>
      <c r="AT265" s="117">
        <v>0</v>
      </c>
      <c r="AU265" s="117">
        <v>-0.91274867299999995</v>
      </c>
      <c r="AV265" s="117">
        <v>-0.61113180700000003</v>
      </c>
      <c r="AW265" s="117">
        <v>-3.5525481999999997E-2</v>
      </c>
      <c r="AX265" s="117">
        <v>0.52354891599999998</v>
      </c>
      <c r="AY265" s="117">
        <v>0.85822963799999996</v>
      </c>
      <c r="AZ265" s="117">
        <v>0</v>
      </c>
      <c r="BA265" s="117">
        <v>0</v>
      </c>
      <c r="BB265" s="117">
        <v>1.690975251</v>
      </c>
      <c r="BC265" s="136" t="str">
        <f t="shared" si="140"/>
        <v xml:space="preserve">1 </v>
      </c>
      <c r="BD265" s="136" t="s">
        <v>178</v>
      </c>
      <c r="BE265" s="136" t="s">
        <v>713</v>
      </c>
      <c r="BF265" s="136" t="s">
        <v>940</v>
      </c>
      <c r="BG265" s="120" t="s">
        <v>658</v>
      </c>
      <c r="BH265" s="136" t="str">
        <f t="shared" si="128"/>
        <v>&gt;MTL</v>
      </c>
      <c r="BI265" s="136">
        <f t="shared" si="129"/>
        <v>-3.5525481999999997E-2</v>
      </c>
      <c r="BJ265" s="136" t="str">
        <f t="shared" si="135"/>
        <v>Nil</v>
      </c>
      <c r="BK265" s="136">
        <f t="shared" si="136"/>
        <v>0.05</v>
      </c>
      <c r="BL265" s="136" t="s">
        <v>736</v>
      </c>
      <c r="BM265" s="136" t="s">
        <v>175</v>
      </c>
      <c r="BN265" s="136" t="s">
        <v>175</v>
      </c>
      <c r="BO265" s="136" t="s">
        <v>736</v>
      </c>
      <c r="BP265" s="137" t="s">
        <v>175</v>
      </c>
      <c r="BQ265" s="137" t="s">
        <v>175</v>
      </c>
      <c r="BR265" s="137" t="s">
        <v>175</v>
      </c>
      <c r="BS265" s="137" t="s">
        <v>175</v>
      </c>
      <c r="BT265" s="138">
        <f t="shared" si="141"/>
        <v>-20.684474517999998</v>
      </c>
      <c r="BU265" s="138">
        <f t="shared" si="142"/>
        <v>0.71413628951342334</v>
      </c>
      <c r="BV265" s="138">
        <f t="shared" si="143"/>
        <v>0.71413628951342334</v>
      </c>
      <c r="BW265" s="53" t="s">
        <v>175</v>
      </c>
      <c r="BX265" s="53" t="s">
        <v>175</v>
      </c>
      <c r="BY265" s="53" t="s">
        <v>175</v>
      </c>
      <c r="BZ265" s="53" t="s">
        <v>175</v>
      </c>
      <c r="CA265" s="147">
        <v>1</v>
      </c>
      <c r="CB265" s="54">
        <v>0</v>
      </c>
    </row>
    <row r="266" spans="1:80">
      <c r="A266" s="123" t="s">
        <v>354</v>
      </c>
      <c r="B266" s="124" t="s">
        <v>938</v>
      </c>
      <c r="C266" s="148" t="s">
        <v>674</v>
      </c>
      <c r="D266" s="125" t="s">
        <v>743</v>
      </c>
      <c r="E266" s="150">
        <v>23.224511</v>
      </c>
      <c r="F266" s="150">
        <v>112.740475</v>
      </c>
      <c r="G266" s="128" t="s">
        <v>168</v>
      </c>
      <c r="H266" s="129">
        <v>8450</v>
      </c>
      <c r="I266" s="129">
        <v>30</v>
      </c>
      <c r="J266" s="129">
        <v>9483</v>
      </c>
      <c r="K266" s="129">
        <v>47</v>
      </c>
      <c r="L266" s="129">
        <v>49</v>
      </c>
      <c r="M266" s="130" t="s">
        <v>355</v>
      </c>
      <c r="N266" s="146" t="s">
        <v>528</v>
      </c>
      <c r="O266" s="130" t="s">
        <v>175</v>
      </c>
      <c r="P266" s="130" t="s">
        <v>356</v>
      </c>
      <c r="Q266" s="130" t="s">
        <v>172</v>
      </c>
      <c r="R266" s="131">
        <v>23.47</v>
      </c>
      <c r="S266" s="131">
        <v>2.13</v>
      </c>
      <c r="T266" s="130">
        <v>1</v>
      </c>
      <c r="U266" s="132" t="s">
        <v>173</v>
      </c>
      <c r="V266" s="133">
        <v>0.01</v>
      </c>
      <c r="W266" s="132" t="s">
        <v>174</v>
      </c>
      <c r="X266" s="133">
        <v>0.01</v>
      </c>
      <c r="Y266" s="133">
        <v>5.0000000000000001E-3</v>
      </c>
      <c r="Z266" s="133">
        <v>0.01</v>
      </c>
      <c r="AA266" s="133">
        <v>0.15</v>
      </c>
      <c r="AB266" s="133">
        <f t="shared" si="139"/>
        <v>0.46939999999999998</v>
      </c>
      <c r="AC266" s="134">
        <v>0</v>
      </c>
      <c r="AD266" s="134">
        <v>0</v>
      </c>
      <c r="AE266" s="134">
        <v>0.5</v>
      </c>
      <c r="AF266" s="134">
        <v>0</v>
      </c>
      <c r="AG266" s="134">
        <v>0.1</v>
      </c>
      <c r="AH266" s="134">
        <v>0</v>
      </c>
      <c r="AI266" s="134">
        <v>0</v>
      </c>
      <c r="AJ266" s="134">
        <v>0</v>
      </c>
      <c r="AK266" s="134" t="s">
        <v>175</v>
      </c>
      <c r="AL266" s="122" t="s">
        <v>175</v>
      </c>
      <c r="AM266" s="122">
        <v>-19.05</v>
      </c>
      <c r="AN266" s="134" t="s">
        <v>176</v>
      </c>
      <c r="AO266" s="122" t="s">
        <v>177</v>
      </c>
      <c r="AP266" s="135">
        <f t="shared" si="144"/>
        <v>0.70919768753148094</v>
      </c>
      <c r="AQ266" s="135">
        <f t="shared" si="137"/>
        <v>0.70919768753148094</v>
      </c>
      <c r="AR266" s="117">
        <v>-1.446692533</v>
      </c>
      <c r="AS266" s="117">
        <v>0</v>
      </c>
      <c r="AT266" s="117">
        <v>0</v>
      </c>
      <c r="AU266" s="117">
        <v>-0.91552642500000003</v>
      </c>
      <c r="AV266" s="117">
        <v>-0.61227558699999995</v>
      </c>
      <c r="AW266" s="117">
        <v>-3.6056522000000001E-2</v>
      </c>
      <c r="AX266" s="117">
        <v>0.52376677800000004</v>
      </c>
      <c r="AY266" s="117">
        <v>0.859809143</v>
      </c>
      <c r="AZ266" s="117">
        <v>0</v>
      </c>
      <c r="BA266" s="117">
        <v>0</v>
      </c>
      <c r="BB266" s="117">
        <v>1.68785706</v>
      </c>
      <c r="BC266" s="136" t="str">
        <f t="shared" si="140"/>
        <v>0</v>
      </c>
      <c r="BD266" s="136" t="s">
        <v>178</v>
      </c>
      <c r="BE266" s="136" t="s">
        <v>689</v>
      </c>
      <c r="BF266" s="136" t="s">
        <v>941</v>
      </c>
      <c r="BG266" s="120" t="s">
        <v>657</v>
      </c>
      <c r="BH266" s="136" t="str">
        <f t="shared" si="128"/>
        <v>HAT-LAT</v>
      </c>
      <c r="BI266" s="136">
        <f t="shared" si="129"/>
        <v>0.12058226350000001</v>
      </c>
      <c r="BJ266" s="136">
        <f t="shared" si="135"/>
        <v>1.5672747965</v>
      </c>
      <c r="BK266" s="136">
        <f t="shared" si="136"/>
        <v>0.27</v>
      </c>
      <c r="BL266" s="136">
        <v>0.1852445110033889</v>
      </c>
      <c r="BM266" s="136" t="s">
        <v>175</v>
      </c>
      <c r="BN266" s="136" t="s">
        <v>175</v>
      </c>
      <c r="BO266" s="136">
        <v>0.40458558755820762</v>
      </c>
      <c r="BP266" s="137" t="s">
        <v>175</v>
      </c>
      <c r="BQ266" s="137" t="s">
        <v>175</v>
      </c>
      <c r="BR266" s="137" t="s">
        <v>175</v>
      </c>
      <c r="BS266" s="137" t="s">
        <v>175</v>
      </c>
      <c r="BT266" s="138">
        <f t="shared" si="141"/>
        <v>-19.170582263500002</v>
      </c>
      <c r="BU266" s="138">
        <f t="shared" si="142"/>
        <v>1.7972803549421057</v>
      </c>
      <c r="BV266" s="138">
        <f t="shared" si="143"/>
        <v>1.7972803549421057</v>
      </c>
      <c r="BW266" s="53" t="s">
        <v>175</v>
      </c>
      <c r="BX266" s="53" t="s">
        <v>175</v>
      </c>
      <c r="BY266" s="53" t="s">
        <v>175</v>
      </c>
      <c r="BZ266" s="53" t="s">
        <v>175</v>
      </c>
      <c r="CA266" s="147">
        <v>1</v>
      </c>
      <c r="CB266" s="54">
        <v>0</v>
      </c>
    </row>
    <row r="267" spans="1:80">
      <c r="A267" s="123" t="s">
        <v>638</v>
      </c>
      <c r="B267" s="124" t="s">
        <v>938</v>
      </c>
      <c r="C267" s="148" t="s">
        <v>674</v>
      </c>
      <c r="D267" s="125" t="s">
        <v>743</v>
      </c>
      <c r="E267" s="150">
        <v>23.224511</v>
      </c>
      <c r="F267" s="150">
        <v>112.740475</v>
      </c>
      <c r="G267" s="128" t="s">
        <v>168</v>
      </c>
      <c r="H267" s="129">
        <v>13030</v>
      </c>
      <c r="I267" s="129">
        <v>116.61903789690601</v>
      </c>
      <c r="J267" s="129">
        <v>15601</v>
      </c>
      <c r="K267" s="129">
        <v>347</v>
      </c>
      <c r="L267" s="129">
        <v>343</v>
      </c>
      <c r="M267" s="130" t="s">
        <v>683</v>
      </c>
      <c r="N267" s="149" t="s">
        <v>735</v>
      </c>
      <c r="O267" s="130" t="s">
        <v>681</v>
      </c>
      <c r="P267" s="130" t="s">
        <v>682</v>
      </c>
      <c r="Q267" s="130" t="s">
        <v>172</v>
      </c>
      <c r="R267" s="131">
        <v>25.38</v>
      </c>
      <c r="S267" s="131">
        <v>0.43</v>
      </c>
      <c r="T267" s="130">
        <v>1</v>
      </c>
      <c r="U267" s="132" t="s">
        <v>173</v>
      </c>
      <c r="V267" s="133">
        <v>0.05</v>
      </c>
      <c r="W267" s="132" t="s">
        <v>174</v>
      </c>
      <c r="X267" s="133">
        <v>0.05</v>
      </c>
      <c r="Y267" s="133">
        <v>2.5000000000000001E-2</v>
      </c>
      <c r="Z267" s="133">
        <v>0.01</v>
      </c>
      <c r="AA267" s="133">
        <v>0.15</v>
      </c>
      <c r="AB267" s="133">
        <f t="shared" si="139"/>
        <v>0.50759999999999994</v>
      </c>
      <c r="AC267" s="134">
        <v>0</v>
      </c>
      <c r="AD267" s="134">
        <v>0</v>
      </c>
      <c r="AE267" s="134">
        <v>0.5</v>
      </c>
      <c r="AF267" s="134">
        <v>0</v>
      </c>
      <c r="AG267" s="134">
        <v>0.1</v>
      </c>
      <c r="AH267" s="134">
        <v>0</v>
      </c>
      <c r="AI267" s="134">
        <v>0</v>
      </c>
      <c r="AJ267" s="134">
        <v>0</v>
      </c>
      <c r="AK267" s="134" t="s">
        <v>175</v>
      </c>
      <c r="AL267" s="122" t="s">
        <v>175</v>
      </c>
      <c r="AM267" s="122">
        <v>-20.96</v>
      </c>
      <c r="AN267" s="134" t="s">
        <v>176</v>
      </c>
      <c r="AO267" s="122" t="s">
        <v>177</v>
      </c>
      <c r="AP267" s="135">
        <f t="shared" si="144"/>
        <v>0.73544731966334609</v>
      </c>
      <c r="AQ267" s="135">
        <f t="shared" si="137"/>
        <v>0.73544731966334609</v>
      </c>
      <c r="AR267" s="117">
        <v>-1.446692533</v>
      </c>
      <c r="AS267" s="117">
        <v>0</v>
      </c>
      <c r="AT267" s="117">
        <v>0</v>
      </c>
      <c r="AU267" s="117">
        <v>-0.91552642500000003</v>
      </c>
      <c r="AV267" s="117">
        <v>-0.61227558699999995</v>
      </c>
      <c r="AW267" s="117">
        <v>-3.6056522000000001E-2</v>
      </c>
      <c r="AX267" s="117">
        <v>0.52376677800000004</v>
      </c>
      <c r="AY267" s="117">
        <v>0.859809143</v>
      </c>
      <c r="AZ267" s="117">
        <v>0</v>
      </c>
      <c r="BA267" s="117">
        <v>0</v>
      </c>
      <c r="BB267" s="117">
        <v>1.690996414</v>
      </c>
      <c r="BC267" s="136" t="str">
        <f t="shared" si="140"/>
        <v xml:space="preserve">1 </v>
      </c>
      <c r="BD267" s="136" t="s">
        <v>178</v>
      </c>
      <c r="BE267" s="136" t="s">
        <v>713</v>
      </c>
      <c r="BF267" s="136" t="s">
        <v>940</v>
      </c>
      <c r="BG267" s="120" t="s">
        <v>658</v>
      </c>
      <c r="BH267" s="136" t="str">
        <f t="shared" ref="BH267:BH295" si="145">IF(BG267="1","&gt;MTL",
IF(BG267="2a","HAT-LAT",
IF(BG267="2b","&gt;MLLW",
IF(BG267="3a","&lt;HAT",
IF(BG267="3b","MLLW-LAT",
IF(BG267="3c","(MLLW)-(MLLW-8)",
IF(BG267="3d","&lt;HAT",
IF(BG267="3e","&gt;MLLW",
IF(BG267="4","&gt;MTL",
IF(BG267="5","&gt;MTL",
IF(BG267="6","&lt;HAT",
IF(BG267="7","&lt;HAT",
IF(BG267="8","HAT-MTL",
IF(BG267="9","&lt;MTL",
IF(BG267="10a","&lt;MTL",
IF(BG267="10b","MHHW-MLLW",
IF(BG267="11","&gt;MHHW",
IF(BG267="12a","HAT-LAT",
IF(BG267="12b","&lt;HAT","")))))))))))))))))))</f>
        <v>&gt;MTL</v>
      </c>
      <c r="BI267" s="136">
        <f t="shared" ref="BI267:BI295" si="146">IF(BG267="1",AW267,
IF(BG267="2a",(AR267+BB267)/2,
IF(BG267="2b",AU267,
IF(BG267="3a",BB267,
IF(BG267="3b",(AU267+AR267)/2,
IF(BG267="3c",(AU267+(AU267-8))/2,
IF(BG267="3d",BB267,
IF(BG267="3e",AU267,
IF(BG267="4",AW267,
IF(BG267="5",AW267,
IF(BG267="6",BB267,
IF(BG267="7",BB267,
IF(BG267="8",(AW267+BB267)/2,
IF(BG267="9",AW267,
IF(BG267="10a",AW267,
IF(BG267="10b",(AU267+AY267)/2,
IF(BG267="11",AY267,
IF(BG267="12a",(AR267+BB267)/2,
IF(BG267="12b",BB267,"")))))))))))))))))))</f>
        <v>-3.6056522000000001E-2</v>
      </c>
      <c r="BJ267" s="136" t="str">
        <f t="shared" si="135"/>
        <v>Nil</v>
      </c>
      <c r="BK267" s="136">
        <f t="shared" si="136"/>
        <v>0.05</v>
      </c>
      <c r="BL267" s="136" t="s">
        <v>736</v>
      </c>
      <c r="BM267" s="136" t="s">
        <v>175</v>
      </c>
      <c r="BN267" s="136" t="s">
        <v>175</v>
      </c>
      <c r="BO267" s="136" t="s">
        <v>736</v>
      </c>
      <c r="BP267" s="137" t="s">
        <v>175</v>
      </c>
      <c r="BQ267" s="137" t="s">
        <v>175</v>
      </c>
      <c r="BR267" s="137" t="s">
        <v>175</v>
      </c>
      <c r="BS267" s="137" t="s">
        <v>175</v>
      </c>
      <c r="BT267" s="138">
        <f t="shared" si="141"/>
        <v>-20.923943478000002</v>
      </c>
      <c r="BU267" s="138">
        <f t="shared" si="142"/>
        <v>0.73714500608767608</v>
      </c>
      <c r="BV267" s="138">
        <f t="shared" si="143"/>
        <v>0.73714500608767608</v>
      </c>
      <c r="BW267" s="53" t="s">
        <v>175</v>
      </c>
      <c r="BX267" s="53" t="s">
        <v>175</v>
      </c>
      <c r="BY267" s="53" t="s">
        <v>175</v>
      </c>
      <c r="BZ267" s="53" t="s">
        <v>175</v>
      </c>
      <c r="CA267" s="147">
        <v>1</v>
      </c>
      <c r="CB267" s="54">
        <v>0</v>
      </c>
    </row>
    <row r="268" spans="1:80" ht="17" customHeight="1">
      <c r="A268" s="123" t="s">
        <v>357</v>
      </c>
      <c r="B268" s="124" t="s">
        <v>938</v>
      </c>
      <c r="C268" s="148" t="s">
        <v>674</v>
      </c>
      <c r="D268" s="126" t="s">
        <v>743</v>
      </c>
      <c r="E268" s="127">
        <v>23.224499999999999</v>
      </c>
      <c r="F268" s="127">
        <v>112.7404722</v>
      </c>
      <c r="G268" s="128" t="s">
        <v>168</v>
      </c>
      <c r="H268" s="145">
        <v>8390</v>
      </c>
      <c r="I268" s="145">
        <v>50</v>
      </c>
      <c r="J268" s="129">
        <v>9420</v>
      </c>
      <c r="K268" s="129">
        <v>106</v>
      </c>
      <c r="L268" s="129">
        <v>134</v>
      </c>
      <c r="M268" s="149" t="s">
        <v>525</v>
      </c>
      <c r="N268" s="149" t="s">
        <v>531</v>
      </c>
      <c r="O268" s="149" t="s">
        <v>529</v>
      </c>
      <c r="P268" s="149" t="s">
        <v>530</v>
      </c>
      <c r="Q268" s="130" t="s">
        <v>377</v>
      </c>
      <c r="R268" s="131">
        <v>19.63</v>
      </c>
      <c r="S268" s="131">
        <f>27.5-19.63</f>
        <v>7.870000000000001</v>
      </c>
      <c r="T268" s="130">
        <v>1</v>
      </c>
      <c r="U268" s="132" t="s">
        <v>173</v>
      </c>
      <c r="V268" s="133">
        <v>0.01</v>
      </c>
      <c r="W268" s="132" t="s">
        <v>174</v>
      </c>
      <c r="X268" s="133">
        <v>0.01</v>
      </c>
      <c r="Y268" s="133">
        <v>5.0000000000000001E-3</v>
      </c>
      <c r="Z268" s="133">
        <v>0.01</v>
      </c>
      <c r="AA268" s="133">
        <v>0.15</v>
      </c>
      <c r="AB268" s="133">
        <f t="shared" si="139"/>
        <v>0.3926</v>
      </c>
      <c r="AC268" s="134">
        <v>0</v>
      </c>
      <c r="AD268" s="134">
        <v>0</v>
      </c>
      <c r="AE268" s="134">
        <v>0.5</v>
      </c>
      <c r="AF268" s="134">
        <v>0</v>
      </c>
      <c r="AG268" s="134">
        <v>0.1</v>
      </c>
      <c r="AH268" s="134">
        <v>0</v>
      </c>
      <c r="AI268" s="134">
        <v>0</v>
      </c>
      <c r="AJ268" s="134">
        <v>0</v>
      </c>
      <c r="AK268" s="134" t="s">
        <v>175</v>
      </c>
      <c r="AL268" s="122" t="s">
        <v>175</v>
      </c>
      <c r="AM268" s="122">
        <v>-15.89</v>
      </c>
      <c r="AN268" s="134" t="s">
        <v>176</v>
      </c>
      <c r="AO268" s="122" t="s">
        <v>177</v>
      </c>
      <c r="AP268" s="135">
        <f t="shared" si="144"/>
        <v>0.66087802202827117</v>
      </c>
      <c r="AQ268" s="135">
        <f t="shared" si="137"/>
        <v>0.66087802202827117</v>
      </c>
      <c r="AR268" s="117">
        <v>-1.446692179</v>
      </c>
      <c r="AS268" s="117">
        <v>0</v>
      </c>
      <c r="AT268" s="117">
        <v>0</v>
      </c>
      <c r="AU268" s="117">
        <v>-0.91552584299999995</v>
      </c>
      <c r="AV268" s="117">
        <v>-0.61227534699999997</v>
      </c>
      <c r="AW268" s="117">
        <v>-3.6056410999999997E-2</v>
      </c>
      <c r="AX268" s="117">
        <v>0.52376673299999998</v>
      </c>
      <c r="AY268" s="117">
        <v>0.85980881300000001</v>
      </c>
      <c r="AZ268" s="117">
        <v>0</v>
      </c>
      <c r="BA268" s="117">
        <v>0</v>
      </c>
      <c r="BB268" s="117">
        <v>1.690975149</v>
      </c>
      <c r="BC268" s="136" t="str">
        <f t="shared" si="140"/>
        <v>0</v>
      </c>
      <c r="BD268" s="136" t="s">
        <v>178</v>
      </c>
      <c r="BE268" s="136" t="s">
        <v>689</v>
      </c>
      <c r="BF268" s="136" t="s">
        <v>527</v>
      </c>
      <c r="BG268" s="120" t="s">
        <v>657</v>
      </c>
      <c r="BH268" s="136" t="str">
        <f t="shared" si="145"/>
        <v>HAT-LAT</v>
      </c>
      <c r="BI268" s="136">
        <f t="shared" si="146"/>
        <v>0.12214148499999999</v>
      </c>
      <c r="BJ268" s="136">
        <f t="shared" si="135"/>
        <v>1.568833664</v>
      </c>
      <c r="BK268" s="136">
        <f t="shared" si="136"/>
        <v>0.27</v>
      </c>
      <c r="BL268" s="136">
        <v>0.18542876181148049</v>
      </c>
      <c r="BM268" s="136" t="s">
        <v>175</v>
      </c>
      <c r="BN268" s="136" t="s">
        <v>175</v>
      </c>
      <c r="BO268" s="136">
        <v>0.40498800283651204</v>
      </c>
      <c r="BP268" s="137" t="s">
        <v>175</v>
      </c>
      <c r="BQ268" s="137" t="s">
        <v>175</v>
      </c>
      <c r="BR268" s="137" t="s">
        <v>175</v>
      </c>
      <c r="BS268" s="137" t="s">
        <v>175</v>
      </c>
      <c r="BT268" s="138">
        <f t="shared" si="141"/>
        <v>-16.012141485000001</v>
      </c>
      <c r="BU268" s="138">
        <f t="shared" si="142"/>
        <v>1.7802522106286263</v>
      </c>
      <c r="BV268" s="138">
        <f t="shared" si="143"/>
        <v>1.7802522106286263</v>
      </c>
      <c r="BW268" s="53" t="s">
        <v>175</v>
      </c>
      <c r="BX268" s="53" t="s">
        <v>175</v>
      </c>
      <c r="BY268" s="53" t="s">
        <v>175</v>
      </c>
      <c r="BZ268" s="53" t="s">
        <v>175</v>
      </c>
      <c r="CA268" s="147">
        <v>1</v>
      </c>
      <c r="CB268" s="54">
        <v>0</v>
      </c>
    </row>
    <row r="269" spans="1:80">
      <c r="A269" s="123" t="s">
        <v>906</v>
      </c>
      <c r="B269" s="124" t="s">
        <v>522</v>
      </c>
      <c r="C269" s="148" t="s">
        <v>674</v>
      </c>
      <c r="D269" s="126" t="s">
        <v>743</v>
      </c>
      <c r="E269" s="127">
        <v>23.224499999999999</v>
      </c>
      <c r="F269" s="127">
        <v>112.7404722</v>
      </c>
      <c r="G269" s="128" t="s">
        <v>168</v>
      </c>
      <c r="H269" s="145">
        <v>940</v>
      </c>
      <c r="I269" s="145">
        <v>30</v>
      </c>
      <c r="J269" s="129">
        <v>849</v>
      </c>
      <c r="K269" s="129">
        <v>72</v>
      </c>
      <c r="L269" s="129">
        <v>66</v>
      </c>
      <c r="M269" s="149" t="s">
        <v>523</v>
      </c>
      <c r="N269" s="149" t="s">
        <v>524</v>
      </c>
      <c r="O269" s="149" t="s">
        <v>525</v>
      </c>
      <c r="P269" s="130" t="s">
        <v>526</v>
      </c>
      <c r="Q269" s="130" t="s">
        <v>377</v>
      </c>
      <c r="R269" s="131">
        <v>3.3</v>
      </c>
      <c r="S269" s="131">
        <f>21.5-3.3</f>
        <v>18.2</v>
      </c>
      <c r="T269" s="130">
        <v>1</v>
      </c>
      <c r="U269" s="132" t="s">
        <v>173</v>
      </c>
      <c r="V269" s="133">
        <v>0.01</v>
      </c>
      <c r="W269" s="132" t="s">
        <v>174</v>
      </c>
      <c r="X269" s="133">
        <v>0.01</v>
      </c>
      <c r="Y269" s="133">
        <v>5.0000000000000001E-3</v>
      </c>
      <c r="Z269" s="133">
        <v>0.01</v>
      </c>
      <c r="AA269" s="133">
        <v>0.15</v>
      </c>
      <c r="AB269" s="133">
        <f t="shared" si="139"/>
        <v>6.6000000000000003E-2</v>
      </c>
      <c r="AC269" s="134">
        <v>0</v>
      </c>
      <c r="AD269" s="134">
        <v>0</v>
      </c>
      <c r="AE269" s="134">
        <v>0.5</v>
      </c>
      <c r="AF269" s="134">
        <v>0</v>
      </c>
      <c r="AG269" s="134">
        <v>0.1</v>
      </c>
      <c r="AH269" s="134">
        <v>0</v>
      </c>
      <c r="AI269" s="134">
        <v>0</v>
      </c>
      <c r="AJ269" s="134">
        <v>0</v>
      </c>
      <c r="AK269" s="134" t="s">
        <v>175</v>
      </c>
      <c r="AL269" s="122" t="s">
        <v>175</v>
      </c>
      <c r="AM269" s="122">
        <v>1.1200000000000001</v>
      </c>
      <c r="AN269" s="134" t="s">
        <v>176</v>
      </c>
      <c r="AO269" s="122" t="s">
        <v>177</v>
      </c>
      <c r="AP269" s="135">
        <f t="shared" si="144"/>
        <v>0.53570607612757204</v>
      </c>
      <c r="AQ269" s="135">
        <f t="shared" si="137"/>
        <v>0.53570607612757204</v>
      </c>
      <c r="AR269" s="117">
        <v>-1.446692179</v>
      </c>
      <c r="AS269" s="117">
        <v>0</v>
      </c>
      <c r="AT269" s="117">
        <v>0</v>
      </c>
      <c r="AU269" s="117">
        <v>-0.91552584299999995</v>
      </c>
      <c r="AV269" s="117">
        <v>-0.61227534699999997</v>
      </c>
      <c r="AW269" s="117">
        <v>-3.6056410999999997E-2</v>
      </c>
      <c r="AX269" s="117">
        <v>0.52376673299999998</v>
      </c>
      <c r="AY269" s="117">
        <v>0.85980881300000001</v>
      </c>
      <c r="AZ269" s="117">
        <v>0</v>
      </c>
      <c r="BA269" s="117">
        <v>0</v>
      </c>
      <c r="BB269" s="117">
        <v>1.690975149</v>
      </c>
      <c r="BC269" s="136" t="str">
        <f t="shared" si="140"/>
        <v xml:space="preserve">1 </v>
      </c>
      <c r="BD269" s="136" t="s">
        <v>178</v>
      </c>
      <c r="BE269" s="136" t="s">
        <v>716</v>
      </c>
      <c r="BF269" s="136" t="s">
        <v>527</v>
      </c>
      <c r="BG269" s="120" t="s">
        <v>659</v>
      </c>
      <c r="BH269" s="136" t="str">
        <f t="shared" si="145"/>
        <v>&gt;MTL</v>
      </c>
      <c r="BI269" s="136">
        <f t="shared" si="146"/>
        <v>-3.6056410999999997E-2</v>
      </c>
      <c r="BJ269" s="136" t="str">
        <f t="shared" si="135"/>
        <v>Nil</v>
      </c>
      <c r="BK269" s="136">
        <f t="shared" si="136"/>
        <v>0.05</v>
      </c>
      <c r="BL269" s="136" t="s">
        <v>736</v>
      </c>
      <c r="BM269" s="136" t="s">
        <v>175</v>
      </c>
      <c r="BN269" s="136" t="s">
        <v>175</v>
      </c>
      <c r="BO269" s="136" t="s">
        <v>736</v>
      </c>
      <c r="BP269" s="137" t="s">
        <v>175</v>
      </c>
      <c r="BQ269" s="137" t="s">
        <v>175</v>
      </c>
      <c r="BR269" s="137" t="s">
        <v>175</v>
      </c>
      <c r="BS269" s="137" t="s">
        <v>175</v>
      </c>
      <c r="BT269" s="138">
        <f t="shared" si="141"/>
        <v>1.156056411</v>
      </c>
      <c r="BU269" s="138">
        <f t="shared" si="142"/>
        <v>0.53803438551824923</v>
      </c>
      <c r="BV269" s="138">
        <f t="shared" si="143"/>
        <v>0.53803438551824923</v>
      </c>
      <c r="BW269" s="53" t="s">
        <v>175</v>
      </c>
      <c r="BX269" s="53" t="s">
        <v>175</v>
      </c>
      <c r="BY269" s="53" t="s">
        <v>175</v>
      </c>
      <c r="BZ269" s="53" t="s">
        <v>175</v>
      </c>
      <c r="CA269" s="147">
        <v>1</v>
      </c>
      <c r="CB269" s="54">
        <v>0</v>
      </c>
    </row>
    <row r="270" spans="1:80">
      <c r="A270" s="123" t="s">
        <v>907</v>
      </c>
      <c r="B270" s="124" t="s">
        <v>522</v>
      </c>
      <c r="C270" s="148" t="s">
        <v>674</v>
      </c>
      <c r="D270" s="126" t="s">
        <v>743</v>
      </c>
      <c r="E270" s="127">
        <v>23.224499999999999</v>
      </c>
      <c r="F270" s="127">
        <v>112.7404722</v>
      </c>
      <c r="G270" s="128" t="s">
        <v>168</v>
      </c>
      <c r="H270" s="145">
        <v>1250</v>
      </c>
      <c r="I270" s="145">
        <v>30</v>
      </c>
      <c r="J270" s="129">
        <v>1208</v>
      </c>
      <c r="K270" s="129">
        <v>68</v>
      </c>
      <c r="L270" s="129">
        <v>135</v>
      </c>
      <c r="M270" s="149" t="s">
        <v>523</v>
      </c>
      <c r="N270" s="149" t="s">
        <v>524</v>
      </c>
      <c r="O270" s="149" t="s">
        <v>525</v>
      </c>
      <c r="P270" s="130" t="s">
        <v>526</v>
      </c>
      <c r="Q270" s="130" t="s">
        <v>377</v>
      </c>
      <c r="R270" s="131">
        <v>5.0999999999999996</v>
      </c>
      <c r="S270" s="131">
        <f>21.5-5.1</f>
        <v>16.399999999999999</v>
      </c>
      <c r="T270" s="130">
        <v>1</v>
      </c>
      <c r="U270" s="132" t="s">
        <v>173</v>
      </c>
      <c r="V270" s="133">
        <v>0.01</v>
      </c>
      <c r="W270" s="132" t="s">
        <v>174</v>
      </c>
      <c r="X270" s="133">
        <v>0.01</v>
      </c>
      <c r="Y270" s="133">
        <v>5.0000000000000001E-3</v>
      </c>
      <c r="Z270" s="133">
        <v>0.01</v>
      </c>
      <c r="AA270" s="133">
        <v>0.15</v>
      </c>
      <c r="AB270" s="133">
        <f t="shared" si="139"/>
        <v>0.10199999999999999</v>
      </c>
      <c r="AC270" s="134">
        <v>0</v>
      </c>
      <c r="AD270" s="134">
        <v>0</v>
      </c>
      <c r="AE270" s="134">
        <v>0.5</v>
      </c>
      <c r="AF270" s="134">
        <v>0</v>
      </c>
      <c r="AG270" s="134">
        <v>0.1</v>
      </c>
      <c r="AH270" s="134">
        <v>0</v>
      </c>
      <c r="AI270" s="134">
        <v>0</v>
      </c>
      <c r="AJ270" s="134">
        <v>0</v>
      </c>
      <c r="AK270" s="134" t="s">
        <v>175</v>
      </c>
      <c r="AL270" s="122" t="s">
        <v>175</v>
      </c>
      <c r="AM270" s="122">
        <v>-0.68</v>
      </c>
      <c r="AN270" s="134" t="s">
        <v>176</v>
      </c>
      <c r="AO270" s="122" t="s">
        <v>177</v>
      </c>
      <c r="AP270" s="135">
        <f t="shared" si="144"/>
        <v>0.54132153107002867</v>
      </c>
      <c r="AQ270" s="135">
        <f t="shared" si="137"/>
        <v>0.54132153107002867</v>
      </c>
      <c r="AR270" s="117">
        <v>-1.446692179</v>
      </c>
      <c r="AS270" s="117">
        <v>0</v>
      </c>
      <c r="AT270" s="117">
        <v>0</v>
      </c>
      <c r="AU270" s="117">
        <v>-0.91552584299999995</v>
      </c>
      <c r="AV270" s="117">
        <v>-0.61227534699999997</v>
      </c>
      <c r="AW270" s="117">
        <v>-3.6056410999999997E-2</v>
      </c>
      <c r="AX270" s="117">
        <v>0.52376673299999998</v>
      </c>
      <c r="AY270" s="117">
        <v>0.85980881300000001</v>
      </c>
      <c r="AZ270" s="117">
        <v>0</v>
      </c>
      <c r="BA270" s="117">
        <v>0</v>
      </c>
      <c r="BB270" s="117">
        <v>1.690975149</v>
      </c>
      <c r="BC270" s="136" t="str">
        <f t="shared" si="140"/>
        <v xml:space="preserve">1 </v>
      </c>
      <c r="BD270" s="136" t="s">
        <v>178</v>
      </c>
      <c r="BE270" s="136" t="s">
        <v>716</v>
      </c>
      <c r="BF270" s="136" t="s">
        <v>527</v>
      </c>
      <c r="BG270" s="120" t="s">
        <v>659</v>
      </c>
      <c r="BH270" s="136" t="str">
        <f t="shared" si="145"/>
        <v>&gt;MTL</v>
      </c>
      <c r="BI270" s="136">
        <f t="shared" si="146"/>
        <v>-3.6056410999999997E-2</v>
      </c>
      <c r="BJ270" s="136" t="str">
        <f t="shared" si="135"/>
        <v>Nil</v>
      </c>
      <c r="BK270" s="136">
        <f t="shared" si="136"/>
        <v>0.05</v>
      </c>
      <c r="BL270" s="136" t="s">
        <v>736</v>
      </c>
      <c r="BM270" s="136" t="s">
        <v>175</v>
      </c>
      <c r="BN270" s="136" t="s">
        <v>175</v>
      </c>
      <c r="BO270" s="136" t="s">
        <v>736</v>
      </c>
      <c r="BP270" s="137" t="s">
        <v>175</v>
      </c>
      <c r="BQ270" s="137" t="s">
        <v>175</v>
      </c>
      <c r="BR270" s="137" t="s">
        <v>175</v>
      </c>
      <c r="BS270" s="137" t="s">
        <v>175</v>
      </c>
      <c r="BT270" s="138">
        <f t="shared" si="141"/>
        <v>-0.64394358900000004</v>
      </c>
      <c r="BU270" s="138">
        <f t="shared" si="142"/>
        <v>0.54362579041101433</v>
      </c>
      <c r="BV270" s="138">
        <f t="shared" si="143"/>
        <v>0.54362579041101433</v>
      </c>
      <c r="BW270" s="53" t="s">
        <v>175</v>
      </c>
      <c r="BX270" s="53" t="s">
        <v>175</v>
      </c>
      <c r="BY270" s="53" t="s">
        <v>175</v>
      </c>
      <c r="BZ270" s="53" t="s">
        <v>175</v>
      </c>
      <c r="CA270" s="147">
        <v>1</v>
      </c>
      <c r="CB270" s="54">
        <v>0</v>
      </c>
    </row>
    <row r="271" spans="1:80">
      <c r="A271" s="123" t="s">
        <v>908</v>
      </c>
      <c r="B271" s="124" t="s">
        <v>522</v>
      </c>
      <c r="C271" s="148" t="s">
        <v>674</v>
      </c>
      <c r="D271" s="126" t="s">
        <v>743</v>
      </c>
      <c r="E271" s="127">
        <v>23.224499999999999</v>
      </c>
      <c r="F271" s="127">
        <v>112.7404722</v>
      </c>
      <c r="G271" s="128" t="s">
        <v>168</v>
      </c>
      <c r="H271" s="145">
        <v>3660</v>
      </c>
      <c r="I271" s="145">
        <v>30</v>
      </c>
      <c r="J271" s="129">
        <v>3985</v>
      </c>
      <c r="K271" s="129">
        <v>101</v>
      </c>
      <c r="L271" s="129">
        <v>87</v>
      </c>
      <c r="M271" s="149" t="s">
        <v>523</v>
      </c>
      <c r="N271" s="149" t="s">
        <v>524</v>
      </c>
      <c r="O271" s="149" t="s">
        <v>525</v>
      </c>
      <c r="P271" s="130" t="s">
        <v>526</v>
      </c>
      <c r="Q271" s="130" t="s">
        <v>377</v>
      </c>
      <c r="R271" s="131">
        <v>5.81</v>
      </c>
      <c r="S271" s="131">
        <f>21.5-5.81</f>
        <v>15.690000000000001</v>
      </c>
      <c r="T271" s="130">
        <v>1</v>
      </c>
      <c r="U271" s="132" t="s">
        <v>173</v>
      </c>
      <c r="V271" s="133">
        <v>0.01</v>
      </c>
      <c r="W271" s="132" t="s">
        <v>174</v>
      </c>
      <c r="X271" s="133">
        <v>0.01</v>
      </c>
      <c r="Y271" s="133">
        <v>5.0000000000000001E-3</v>
      </c>
      <c r="Z271" s="133">
        <v>0.01</v>
      </c>
      <c r="AA271" s="133">
        <v>0.15</v>
      </c>
      <c r="AB271" s="133">
        <f t="shared" si="139"/>
        <v>0.1162</v>
      </c>
      <c r="AC271" s="134">
        <v>0</v>
      </c>
      <c r="AD271" s="134">
        <v>0</v>
      </c>
      <c r="AE271" s="134">
        <v>0.5</v>
      </c>
      <c r="AF271" s="134">
        <v>0</v>
      </c>
      <c r="AG271" s="134">
        <v>0.1</v>
      </c>
      <c r="AH271" s="134">
        <v>0</v>
      </c>
      <c r="AI271" s="134">
        <v>0</v>
      </c>
      <c r="AJ271" s="134">
        <v>0</v>
      </c>
      <c r="AK271" s="134" t="s">
        <v>175</v>
      </c>
      <c r="AL271" s="122" t="s">
        <v>175</v>
      </c>
      <c r="AM271" s="122">
        <v>-1.39</v>
      </c>
      <c r="AN271" s="134" t="s">
        <v>176</v>
      </c>
      <c r="AO271" s="122" t="s">
        <v>177</v>
      </c>
      <c r="AP271" s="135">
        <f t="shared" si="144"/>
        <v>0.54417592743523668</v>
      </c>
      <c r="AQ271" s="135">
        <f t="shared" si="137"/>
        <v>0.54417592743523668</v>
      </c>
      <c r="AR271" s="117">
        <v>-1.446692179</v>
      </c>
      <c r="AS271" s="117">
        <v>0</v>
      </c>
      <c r="AT271" s="117">
        <v>0</v>
      </c>
      <c r="AU271" s="117">
        <v>-0.91552584299999995</v>
      </c>
      <c r="AV271" s="117">
        <v>-0.61227534699999997</v>
      </c>
      <c r="AW271" s="117">
        <v>-3.6056410999999997E-2</v>
      </c>
      <c r="AX271" s="117">
        <v>0.52376673299999998</v>
      </c>
      <c r="AY271" s="117">
        <v>0.85980881300000001</v>
      </c>
      <c r="AZ271" s="117">
        <v>0</v>
      </c>
      <c r="BA271" s="117">
        <v>0</v>
      </c>
      <c r="BB271" s="117">
        <v>1.690975149</v>
      </c>
      <c r="BC271" s="136" t="str">
        <f t="shared" si="140"/>
        <v xml:space="preserve">-1 </v>
      </c>
      <c r="BD271" s="136" t="s">
        <v>178</v>
      </c>
      <c r="BE271" s="136" t="s">
        <v>943</v>
      </c>
      <c r="BF271" s="136" t="s">
        <v>942</v>
      </c>
      <c r="BG271" s="120" t="s">
        <v>665</v>
      </c>
      <c r="BH271" s="136" t="str">
        <f t="shared" si="145"/>
        <v>&lt;HAT</v>
      </c>
      <c r="BI271" s="136">
        <f t="shared" si="146"/>
        <v>1.690975149</v>
      </c>
      <c r="BJ271" s="136" t="str">
        <f t="shared" si="135"/>
        <v>Nil</v>
      </c>
      <c r="BK271" s="136">
        <f t="shared" si="136"/>
        <v>0.18</v>
      </c>
      <c r="BL271" s="136" t="s">
        <v>736</v>
      </c>
      <c r="BM271" s="136" t="s">
        <v>175</v>
      </c>
      <c r="BN271" s="136" t="s">
        <v>175</v>
      </c>
      <c r="BO271" s="136" t="s">
        <v>736</v>
      </c>
      <c r="BP271" s="137" t="s">
        <v>175</v>
      </c>
      <c r="BQ271" s="137" t="s">
        <v>175</v>
      </c>
      <c r="BR271" s="137" t="s">
        <v>175</v>
      </c>
      <c r="BS271" s="137" t="s">
        <v>175</v>
      </c>
      <c r="BT271" s="138">
        <f t="shared" si="141"/>
        <v>-3.0809751489999999</v>
      </c>
      <c r="BU271" s="138">
        <f t="shared" si="142"/>
        <v>0.57317313265714043</v>
      </c>
      <c r="BV271" s="138">
        <f t="shared" si="143"/>
        <v>0.57317313265714043</v>
      </c>
      <c r="BW271" s="53" t="s">
        <v>175</v>
      </c>
      <c r="BX271" s="53" t="s">
        <v>175</v>
      </c>
      <c r="BY271" s="53" t="s">
        <v>175</v>
      </c>
      <c r="BZ271" s="53" t="s">
        <v>175</v>
      </c>
      <c r="CA271" s="147">
        <v>1</v>
      </c>
      <c r="CB271" s="54">
        <v>0</v>
      </c>
    </row>
    <row r="272" spans="1:80">
      <c r="A272" s="123" t="s">
        <v>909</v>
      </c>
      <c r="B272" s="124" t="s">
        <v>522</v>
      </c>
      <c r="C272" s="148" t="s">
        <v>674</v>
      </c>
      <c r="D272" s="126" t="s">
        <v>743</v>
      </c>
      <c r="E272" s="127">
        <v>23.224499999999999</v>
      </c>
      <c r="F272" s="127">
        <v>112.7404722</v>
      </c>
      <c r="G272" s="128" t="s">
        <v>168</v>
      </c>
      <c r="H272" s="145">
        <v>4120</v>
      </c>
      <c r="I272" s="145">
        <v>30</v>
      </c>
      <c r="J272" s="129">
        <v>4651</v>
      </c>
      <c r="K272" s="129">
        <v>165</v>
      </c>
      <c r="L272" s="129">
        <v>124</v>
      </c>
      <c r="M272" s="149" t="s">
        <v>523</v>
      </c>
      <c r="N272" s="149" t="s">
        <v>524</v>
      </c>
      <c r="O272" s="149" t="s">
        <v>525</v>
      </c>
      <c r="P272" s="130" t="s">
        <v>526</v>
      </c>
      <c r="Q272" s="130" t="s">
        <v>377</v>
      </c>
      <c r="R272" s="131">
        <v>6.67</v>
      </c>
      <c r="S272" s="131">
        <f>21.5-6.67</f>
        <v>14.83</v>
      </c>
      <c r="T272" s="130">
        <v>1</v>
      </c>
      <c r="U272" s="132" t="s">
        <v>173</v>
      </c>
      <c r="V272" s="133">
        <v>0.01</v>
      </c>
      <c r="W272" s="132" t="s">
        <v>174</v>
      </c>
      <c r="X272" s="133">
        <v>0.01</v>
      </c>
      <c r="Y272" s="133">
        <v>5.0000000000000001E-3</v>
      </c>
      <c r="Z272" s="133">
        <v>0.01</v>
      </c>
      <c r="AA272" s="133">
        <v>0.15</v>
      </c>
      <c r="AB272" s="133">
        <f t="shared" si="139"/>
        <v>0.13339999999999999</v>
      </c>
      <c r="AC272" s="134">
        <v>0</v>
      </c>
      <c r="AD272" s="134">
        <v>0</v>
      </c>
      <c r="AE272" s="134">
        <v>0.5</v>
      </c>
      <c r="AF272" s="134">
        <v>0</v>
      </c>
      <c r="AG272" s="134">
        <v>0.1</v>
      </c>
      <c r="AH272" s="134">
        <v>0</v>
      </c>
      <c r="AI272" s="134">
        <v>0</v>
      </c>
      <c r="AJ272" s="134">
        <v>0</v>
      </c>
      <c r="AK272" s="134" t="s">
        <v>175</v>
      </c>
      <c r="AL272" s="122" t="s">
        <v>175</v>
      </c>
      <c r="AM272" s="122">
        <v>-2.25</v>
      </c>
      <c r="AN272" s="134" t="s">
        <v>176</v>
      </c>
      <c r="AO272" s="122" t="s">
        <v>177</v>
      </c>
      <c r="AP272" s="135">
        <f t="shared" si="144"/>
        <v>0.54810634004725767</v>
      </c>
      <c r="AQ272" s="135">
        <f t="shared" si="137"/>
        <v>0.54810634004725767</v>
      </c>
      <c r="AR272" s="117">
        <v>-1.446692179</v>
      </c>
      <c r="AS272" s="117">
        <v>0</v>
      </c>
      <c r="AT272" s="117">
        <v>0</v>
      </c>
      <c r="AU272" s="117">
        <v>-0.91552584299999995</v>
      </c>
      <c r="AV272" s="117">
        <v>-0.61227534699999997</v>
      </c>
      <c r="AW272" s="117">
        <v>-3.6056410999999997E-2</v>
      </c>
      <c r="AX272" s="117">
        <v>0.52376673299999998</v>
      </c>
      <c r="AY272" s="117">
        <v>0.85980881300000001</v>
      </c>
      <c r="AZ272" s="117">
        <v>0</v>
      </c>
      <c r="BA272" s="117">
        <v>0</v>
      </c>
      <c r="BB272" s="117">
        <v>1.690975149</v>
      </c>
      <c r="BC272" s="136" t="str">
        <f t="shared" si="140"/>
        <v xml:space="preserve">-1 </v>
      </c>
      <c r="BD272" s="136" t="s">
        <v>178</v>
      </c>
      <c r="BE272" s="136" t="s">
        <v>943</v>
      </c>
      <c r="BF272" s="136" t="s">
        <v>942</v>
      </c>
      <c r="BG272" s="120" t="s">
        <v>665</v>
      </c>
      <c r="BH272" s="136" t="str">
        <f t="shared" si="145"/>
        <v>&lt;HAT</v>
      </c>
      <c r="BI272" s="136">
        <f t="shared" si="146"/>
        <v>1.690975149</v>
      </c>
      <c r="BJ272" s="136" t="str">
        <f t="shared" si="135"/>
        <v>Nil</v>
      </c>
      <c r="BK272" s="136">
        <f t="shared" si="136"/>
        <v>0.18</v>
      </c>
      <c r="BL272" s="136" t="s">
        <v>736</v>
      </c>
      <c r="BM272" s="136" t="s">
        <v>175</v>
      </c>
      <c r="BN272" s="136" t="s">
        <v>175</v>
      </c>
      <c r="BO272" s="136" t="s">
        <v>736</v>
      </c>
      <c r="BP272" s="137" t="s">
        <v>175</v>
      </c>
      <c r="BQ272" s="137" t="s">
        <v>175</v>
      </c>
      <c r="BR272" s="137" t="s">
        <v>175</v>
      </c>
      <c r="BS272" s="137" t="s">
        <v>175</v>
      </c>
      <c r="BT272" s="138">
        <f t="shared" si="141"/>
        <v>-3.9409751489999998</v>
      </c>
      <c r="BU272" s="138">
        <f t="shared" si="142"/>
        <v>0.57690602354282972</v>
      </c>
      <c r="BV272" s="138">
        <f t="shared" si="143"/>
        <v>0.57690602354282972</v>
      </c>
      <c r="BW272" s="53" t="s">
        <v>175</v>
      </c>
      <c r="BX272" s="53" t="s">
        <v>175</v>
      </c>
      <c r="BY272" s="53" t="s">
        <v>175</v>
      </c>
      <c r="BZ272" s="53" t="s">
        <v>175</v>
      </c>
      <c r="CA272" s="147">
        <v>1</v>
      </c>
      <c r="CB272" s="54">
        <v>0</v>
      </c>
    </row>
    <row r="273" spans="1:81" ht="17" customHeight="1">
      <c r="A273" s="123" t="s">
        <v>910</v>
      </c>
      <c r="B273" s="124" t="s">
        <v>522</v>
      </c>
      <c r="C273" s="148" t="s">
        <v>674</v>
      </c>
      <c r="D273" s="126" t="s">
        <v>743</v>
      </c>
      <c r="E273" s="127">
        <v>23.224499999999999</v>
      </c>
      <c r="F273" s="127">
        <v>112.7404722</v>
      </c>
      <c r="G273" s="128" t="s">
        <v>168</v>
      </c>
      <c r="H273" s="145">
        <v>6080</v>
      </c>
      <c r="I273" s="145">
        <v>30</v>
      </c>
      <c r="J273" s="129">
        <v>6937</v>
      </c>
      <c r="K273" s="129">
        <v>214</v>
      </c>
      <c r="L273" s="129">
        <v>136</v>
      </c>
      <c r="M273" s="149" t="s">
        <v>523</v>
      </c>
      <c r="N273" s="149" t="s">
        <v>524</v>
      </c>
      <c r="O273" s="149" t="s">
        <v>525</v>
      </c>
      <c r="P273" s="130" t="s">
        <v>526</v>
      </c>
      <c r="Q273" s="130" t="s">
        <v>377</v>
      </c>
      <c r="R273" s="131">
        <v>9.68</v>
      </c>
      <c r="S273" s="131">
        <f>21.5-9.68</f>
        <v>11.82</v>
      </c>
      <c r="T273" s="130">
        <v>1</v>
      </c>
      <c r="U273" s="132" t="s">
        <v>173</v>
      </c>
      <c r="V273" s="133">
        <v>0.01</v>
      </c>
      <c r="W273" s="132" t="s">
        <v>174</v>
      </c>
      <c r="X273" s="133">
        <v>0.01</v>
      </c>
      <c r="Y273" s="133">
        <v>5.0000000000000001E-3</v>
      </c>
      <c r="Z273" s="133">
        <v>0.01</v>
      </c>
      <c r="AA273" s="133">
        <v>0.15</v>
      </c>
      <c r="AB273" s="133">
        <f t="shared" si="139"/>
        <v>0.19359999999999999</v>
      </c>
      <c r="AC273" s="134">
        <v>0</v>
      </c>
      <c r="AD273" s="134">
        <v>0</v>
      </c>
      <c r="AE273" s="134">
        <v>0.5</v>
      </c>
      <c r="AF273" s="134">
        <v>0</v>
      </c>
      <c r="AG273" s="134">
        <v>0.1</v>
      </c>
      <c r="AH273" s="134">
        <v>0</v>
      </c>
      <c r="AI273" s="134">
        <v>0</v>
      </c>
      <c r="AJ273" s="134">
        <v>0</v>
      </c>
      <c r="AK273" s="134" t="s">
        <v>175</v>
      </c>
      <c r="AL273" s="122" t="s">
        <v>175</v>
      </c>
      <c r="AM273" s="122">
        <v>-5.26</v>
      </c>
      <c r="AN273" s="134" t="s">
        <v>176</v>
      </c>
      <c r="AO273" s="122" t="s">
        <v>177</v>
      </c>
      <c r="AP273" s="135">
        <f t="shared" si="144"/>
        <v>0.56577907349070455</v>
      </c>
      <c r="AQ273" s="135">
        <f t="shared" si="137"/>
        <v>0.56577907349070455</v>
      </c>
      <c r="AR273" s="117">
        <v>-1.446692179</v>
      </c>
      <c r="AS273" s="117">
        <v>0</v>
      </c>
      <c r="AT273" s="117">
        <v>0</v>
      </c>
      <c r="AU273" s="117">
        <v>-0.91552584299999995</v>
      </c>
      <c r="AV273" s="117">
        <v>-0.61227534699999997</v>
      </c>
      <c r="AW273" s="117">
        <v>-3.6056410999999997E-2</v>
      </c>
      <c r="AX273" s="117">
        <v>0.52376673299999998</v>
      </c>
      <c r="AY273" s="117">
        <v>0.85980881300000001</v>
      </c>
      <c r="AZ273" s="117">
        <v>0</v>
      </c>
      <c r="BA273" s="117">
        <v>0</v>
      </c>
      <c r="BB273" s="117">
        <v>1.690975149</v>
      </c>
      <c r="BC273" s="136" t="str">
        <f t="shared" si="140"/>
        <v>-1</v>
      </c>
      <c r="BD273" s="136" t="s">
        <v>178</v>
      </c>
      <c r="BE273" s="136" t="s">
        <v>696</v>
      </c>
      <c r="BF273" s="136" t="s">
        <v>944</v>
      </c>
      <c r="BG273" s="120" t="s">
        <v>678</v>
      </c>
      <c r="BH273" s="136" t="str">
        <f t="shared" si="145"/>
        <v>&lt;MTL</v>
      </c>
      <c r="BI273" s="136">
        <f t="shared" si="146"/>
        <v>-3.6056410999999997E-2</v>
      </c>
      <c r="BJ273" s="136" t="str">
        <f t="shared" si="135"/>
        <v>Nil</v>
      </c>
      <c r="BK273" s="136">
        <f t="shared" si="136"/>
        <v>0.05</v>
      </c>
      <c r="BL273" s="136">
        <v>0.18542876181148049</v>
      </c>
      <c r="BM273" s="136" t="s">
        <v>175</v>
      </c>
      <c r="BN273" s="136" t="s">
        <v>175</v>
      </c>
      <c r="BO273" s="136">
        <v>0.55918968644776101</v>
      </c>
      <c r="BP273" s="137" t="s">
        <v>175</v>
      </c>
      <c r="BQ273" s="137" t="s">
        <v>175</v>
      </c>
      <c r="BR273" s="137" t="s">
        <v>175</v>
      </c>
      <c r="BS273" s="137" t="s">
        <v>175</v>
      </c>
      <c r="BT273" s="138">
        <f t="shared" si="141"/>
        <v>-5.2239435890000001</v>
      </c>
      <c r="BU273" s="138">
        <f t="shared" si="142"/>
        <v>0.81834154919354063</v>
      </c>
      <c r="BV273" s="138">
        <f t="shared" si="143"/>
        <v>0.81834154919354063</v>
      </c>
      <c r="BW273" s="53" t="s">
        <v>175</v>
      </c>
      <c r="BX273" s="53" t="s">
        <v>175</v>
      </c>
      <c r="BY273" s="53" t="s">
        <v>175</v>
      </c>
      <c r="BZ273" s="53" t="s">
        <v>175</v>
      </c>
      <c r="CA273" s="147">
        <v>1</v>
      </c>
      <c r="CB273" s="54">
        <v>0</v>
      </c>
    </row>
    <row r="274" spans="1:81">
      <c r="A274" s="123" t="s">
        <v>911</v>
      </c>
      <c r="B274" s="124" t="s">
        <v>522</v>
      </c>
      <c r="C274" s="148" t="s">
        <v>674</v>
      </c>
      <c r="D274" s="126" t="s">
        <v>743</v>
      </c>
      <c r="E274" s="127">
        <v>23.224499999999999</v>
      </c>
      <c r="F274" s="127">
        <v>112.7404722</v>
      </c>
      <c r="G274" s="128" t="s">
        <v>168</v>
      </c>
      <c r="H274" s="145">
        <v>7800</v>
      </c>
      <c r="I274" s="145">
        <v>30</v>
      </c>
      <c r="J274" s="129">
        <v>8572</v>
      </c>
      <c r="K274" s="129">
        <v>66</v>
      </c>
      <c r="L274" s="129">
        <v>107</v>
      </c>
      <c r="M274" s="149" t="s">
        <v>523</v>
      </c>
      <c r="N274" s="149" t="s">
        <v>524</v>
      </c>
      <c r="O274" s="149" t="s">
        <v>525</v>
      </c>
      <c r="P274" s="130" t="s">
        <v>526</v>
      </c>
      <c r="Q274" s="130" t="s">
        <v>377</v>
      </c>
      <c r="R274" s="131">
        <v>16.329999999999998</v>
      </c>
      <c r="S274" s="131">
        <f>21.5-16.33</f>
        <v>5.1700000000000017</v>
      </c>
      <c r="T274" s="130">
        <v>1</v>
      </c>
      <c r="U274" s="132" t="s">
        <v>173</v>
      </c>
      <c r="V274" s="133">
        <v>0.01</v>
      </c>
      <c r="W274" s="132" t="s">
        <v>174</v>
      </c>
      <c r="X274" s="133">
        <v>0.01</v>
      </c>
      <c r="Y274" s="133">
        <v>5.0000000000000001E-3</v>
      </c>
      <c r="Z274" s="133">
        <v>0.01</v>
      </c>
      <c r="AA274" s="133">
        <v>0.15</v>
      </c>
      <c r="AB274" s="133">
        <f t="shared" si="139"/>
        <v>0.32659999999999995</v>
      </c>
      <c r="AC274" s="134">
        <v>0</v>
      </c>
      <c r="AD274" s="134">
        <v>0</v>
      </c>
      <c r="AE274" s="134">
        <v>0.5</v>
      </c>
      <c r="AF274" s="134">
        <v>0</v>
      </c>
      <c r="AG274" s="134">
        <v>0.1</v>
      </c>
      <c r="AH274" s="134">
        <v>0</v>
      </c>
      <c r="AI274" s="134">
        <v>0</v>
      </c>
      <c r="AJ274" s="134">
        <v>0</v>
      </c>
      <c r="AK274" s="134" t="s">
        <v>175</v>
      </c>
      <c r="AL274" s="122" t="s">
        <v>175</v>
      </c>
      <c r="AM274" s="122">
        <v>-11.91</v>
      </c>
      <c r="AN274" s="134" t="s">
        <v>176</v>
      </c>
      <c r="AO274" s="122" t="s">
        <v>177</v>
      </c>
      <c r="AP274" s="135">
        <f t="shared" si="144"/>
        <v>0.62393313744342827</v>
      </c>
      <c r="AQ274" s="135">
        <f t="shared" si="137"/>
        <v>0.62393313744342827</v>
      </c>
      <c r="AR274" s="117">
        <v>-1.446692179</v>
      </c>
      <c r="AS274" s="117">
        <v>0</v>
      </c>
      <c r="AT274" s="117">
        <v>0</v>
      </c>
      <c r="AU274" s="117">
        <v>-0.91552584299999995</v>
      </c>
      <c r="AV274" s="117">
        <v>-0.61227534699999997</v>
      </c>
      <c r="AW274" s="117">
        <v>-3.6056410999999997E-2</v>
      </c>
      <c r="AX274" s="117">
        <v>0.52376673299999998</v>
      </c>
      <c r="AY274" s="117">
        <v>0.85980881300000001</v>
      </c>
      <c r="AZ274" s="117">
        <v>0</v>
      </c>
      <c r="BA274" s="117">
        <v>0</v>
      </c>
      <c r="BB274" s="117">
        <v>1.690975149</v>
      </c>
      <c r="BC274" s="136" t="str">
        <f t="shared" si="140"/>
        <v>-1</v>
      </c>
      <c r="BD274" s="136" t="s">
        <v>178</v>
      </c>
      <c r="BE274" s="136" t="s">
        <v>688</v>
      </c>
      <c r="BF274" s="136" t="s">
        <v>944</v>
      </c>
      <c r="BG274" s="120" t="s">
        <v>678</v>
      </c>
      <c r="BH274" s="136" t="str">
        <f t="shared" si="145"/>
        <v>&lt;MTL</v>
      </c>
      <c r="BI274" s="136">
        <f t="shared" si="146"/>
        <v>-3.6056410999999997E-2</v>
      </c>
      <c r="BJ274" s="136" t="str">
        <f t="shared" si="135"/>
        <v>Nil</v>
      </c>
      <c r="BK274" s="136">
        <f t="shared" si="136"/>
        <v>0.05</v>
      </c>
      <c r="BL274" s="136" t="s">
        <v>736</v>
      </c>
      <c r="BM274" s="136" t="s">
        <v>175</v>
      </c>
      <c r="BN274" s="136" t="s">
        <v>175</v>
      </c>
      <c r="BO274" s="136" t="s">
        <v>736</v>
      </c>
      <c r="BP274" s="137" t="s">
        <v>175</v>
      </c>
      <c r="BQ274" s="137" t="s">
        <v>175</v>
      </c>
      <c r="BR274" s="137" t="s">
        <v>175</v>
      </c>
      <c r="BS274" s="137" t="s">
        <v>175</v>
      </c>
      <c r="BT274" s="138">
        <f t="shared" si="141"/>
        <v>-11.873943589</v>
      </c>
      <c r="BU274" s="138">
        <f t="shared" si="142"/>
        <v>0.62593335108460224</v>
      </c>
      <c r="BV274" s="138">
        <f t="shared" si="143"/>
        <v>0.62593335108460224</v>
      </c>
      <c r="BW274" s="53" t="s">
        <v>175</v>
      </c>
      <c r="BX274" s="53" t="s">
        <v>175</v>
      </c>
      <c r="BY274" s="53" t="s">
        <v>175</v>
      </c>
      <c r="BZ274" s="53" t="s">
        <v>175</v>
      </c>
      <c r="CA274" s="147">
        <v>1</v>
      </c>
      <c r="CB274" s="54">
        <v>0</v>
      </c>
    </row>
    <row r="275" spans="1:81">
      <c r="A275" s="123" t="s">
        <v>945</v>
      </c>
      <c r="B275" s="124" t="s">
        <v>522</v>
      </c>
      <c r="C275" s="148" t="s">
        <v>674</v>
      </c>
      <c r="D275" s="126" t="s">
        <v>743</v>
      </c>
      <c r="E275" s="127">
        <v>23.224499999999999</v>
      </c>
      <c r="F275" s="127">
        <v>112.7404722</v>
      </c>
      <c r="G275" s="128" t="s">
        <v>168</v>
      </c>
      <c r="H275" s="145">
        <v>6780</v>
      </c>
      <c r="I275" s="145">
        <v>104.4030650891055</v>
      </c>
      <c r="J275" s="129">
        <v>7634</v>
      </c>
      <c r="K275" s="129">
        <v>201</v>
      </c>
      <c r="L275" s="129">
        <v>202</v>
      </c>
      <c r="M275" s="149" t="s">
        <v>523</v>
      </c>
      <c r="N275" s="149" t="s">
        <v>735</v>
      </c>
      <c r="O275" s="149" t="s">
        <v>525</v>
      </c>
      <c r="P275" s="130" t="s">
        <v>526</v>
      </c>
      <c r="Q275" s="130" t="s">
        <v>377</v>
      </c>
      <c r="R275" s="131">
        <v>10.97</v>
      </c>
      <c r="S275" s="131">
        <f>21.5-10.97</f>
        <v>10.53</v>
      </c>
      <c r="T275" s="130">
        <v>1</v>
      </c>
      <c r="U275" s="132" t="s">
        <v>173</v>
      </c>
      <c r="V275" s="133">
        <v>0.01</v>
      </c>
      <c r="W275" s="132" t="s">
        <v>174</v>
      </c>
      <c r="X275" s="133">
        <v>0.01</v>
      </c>
      <c r="Y275" s="133">
        <v>5.0000000000000001E-3</v>
      </c>
      <c r="Z275" s="133">
        <v>0.01</v>
      </c>
      <c r="AA275" s="133">
        <v>0.15</v>
      </c>
      <c r="AB275" s="133">
        <f t="shared" si="139"/>
        <v>0.21940000000000001</v>
      </c>
      <c r="AC275" s="134">
        <v>0</v>
      </c>
      <c r="AD275" s="134">
        <v>0</v>
      </c>
      <c r="AE275" s="134">
        <v>0.5</v>
      </c>
      <c r="AF275" s="134">
        <v>0</v>
      </c>
      <c r="AG275" s="134">
        <v>0.1</v>
      </c>
      <c r="AH275" s="134">
        <v>0</v>
      </c>
      <c r="AI275" s="134">
        <v>0</v>
      </c>
      <c r="AJ275" s="134">
        <v>0</v>
      </c>
      <c r="AK275" s="134" t="s">
        <v>175</v>
      </c>
      <c r="AL275" s="122" t="s">
        <v>175</v>
      </c>
      <c r="AM275" s="122">
        <v>-6.55</v>
      </c>
      <c r="AN275" s="134" t="s">
        <v>176</v>
      </c>
      <c r="AO275" s="122" t="s">
        <v>177</v>
      </c>
      <c r="AP275" s="135">
        <f t="shared" si="144"/>
        <v>0.57511856168967457</v>
      </c>
      <c r="AQ275" s="135">
        <f t="shared" si="137"/>
        <v>0.57511856168967457</v>
      </c>
      <c r="AR275" s="117">
        <v>-1.446692179</v>
      </c>
      <c r="AS275" s="117">
        <v>0</v>
      </c>
      <c r="AT275" s="117">
        <v>0</v>
      </c>
      <c r="AU275" s="117">
        <v>-0.91552584299999995</v>
      </c>
      <c r="AV275" s="117">
        <v>-0.61227534699999997</v>
      </c>
      <c r="AW275" s="117">
        <v>-3.6056410999999997E-2</v>
      </c>
      <c r="AX275" s="117">
        <v>0.52376673299999998</v>
      </c>
      <c r="AY275" s="117">
        <v>0.85980881300000001</v>
      </c>
      <c r="AZ275" s="117">
        <v>0</v>
      </c>
      <c r="BA275" s="117">
        <v>0</v>
      </c>
      <c r="BB275" s="117">
        <v>1.690975149</v>
      </c>
      <c r="BC275" s="136" t="str">
        <f t="shared" si="140"/>
        <v>-1</v>
      </c>
      <c r="BD275" s="136" t="s">
        <v>178</v>
      </c>
      <c r="BE275" s="136" t="s">
        <v>696</v>
      </c>
      <c r="BF275" s="136" t="s">
        <v>944</v>
      </c>
      <c r="BG275" s="120" t="s">
        <v>678</v>
      </c>
      <c r="BH275" s="136" t="str">
        <f t="shared" si="145"/>
        <v>&lt;MTL</v>
      </c>
      <c r="BI275" s="136">
        <f t="shared" si="146"/>
        <v>-3.6056410999999997E-2</v>
      </c>
      <c r="BJ275" s="136" t="str">
        <f t="shared" si="135"/>
        <v>Nil</v>
      </c>
      <c r="BK275" s="136">
        <f t="shared" si="136"/>
        <v>0.05</v>
      </c>
      <c r="BL275" s="136" t="s">
        <v>736</v>
      </c>
      <c r="BM275" s="136" t="s">
        <v>175</v>
      </c>
      <c r="BN275" s="136" t="s">
        <v>175</v>
      </c>
      <c r="BO275" s="136" t="s">
        <v>736</v>
      </c>
      <c r="BP275" s="137" t="s">
        <v>175</v>
      </c>
      <c r="BQ275" s="137" t="s">
        <v>175</v>
      </c>
      <c r="BR275" s="137" t="s">
        <v>175</v>
      </c>
      <c r="BS275" s="137" t="s">
        <v>175</v>
      </c>
      <c r="BT275" s="138">
        <f t="shared" si="141"/>
        <v>-6.5139435890000001</v>
      </c>
      <c r="BU275" s="138">
        <f t="shared" si="142"/>
        <v>0.57728793508958764</v>
      </c>
      <c r="BV275" s="138">
        <f t="shared" si="143"/>
        <v>0.57728793508958764</v>
      </c>
      <c r="BW275" s="53" t="s">
        <v>175</v>
      </c>
      <c r="BX275" s="53" t="s">
        <v>175</v>
      </c>
      <c r="BY275" s="53" t="s">
        <v>175</v>
      </c>
      <c r="BZ275" s="53" t="s">
        <v>175</v>
      </c>
      <c r="CA275" s="147">
        <v>1</v>
      </c>
      <c r="CB275" s="54">
        <v>0</v>
      </c>
    </row>
    <row r="276" spans="1:81">
      <c r="A276" s="123" t="s">
        <v>916</v>
      </c>
      <c r="B276" s="124" t="s">
        <v>522</v>
      </c>
      <c r="C276" s="148" t="s">
        <v>674</v>
      </c>
      <c r="D276" s="126" t="s">
        <v>743</v>
      </c>
      <c r="E276" s="127">
        <v>23.136111100000001</v>
      </c>
      <c r="F276" s="127">
        <v>112.6788889</v>
      </c>
      <c r="G276" s="128" t="s">
        <v>168</v>
      </c>
      <c r="H276" s="145">
        <v>250</v>
      </c>
      <c r="I276" s="145">
        <v>30</v>
      </c>
      <c r="J276" s="129">
        <v>296</v>
      </c>
      <c r="K276" s="129">
        <v>131</v>
      </c>
      <c r="L276" s="129">
        <v>295</v>
      </c>
      <c r="M276" s="149" t="s">
        <v>951</v>
      </c>
      <c r="N276" s="146" t="s">
        <v>528</v>
      </c>
      <c r="O276" s="130" t="s">
        <v>456</v>
      </c>
      <c r="P276" s="149" t="s">
        <v>952</v>
      </c>
      <c r="Q276" s="130" t="s">
        <v>377</v>
      </c>
      <c r="R276" s="131">
        <v>3.15</v>
      </c>
      <c r="S276" s="131" t="s">
        <v>175</v>
      </c>
      <c r="T276" s="130">
        <v>1</v>
      </c>
      <c r="U276" s="132" t="s">
        <v>173</v>
      </c>
      <c r="V276" s="133">
        <v>0.01</v>
      </c>
      <c r="W276" s="132" t="s">
        <v>174</v>
      </c>
      <c r="X276" s="133">
        <v>0.01</v>
      </c>
      <c r="Y276" s="133">
        <v>5.0000000000000001E-3</v>
      </c>
      <c r="Z276" s="133">
        <v>0.01</v>
      </c>
      <c r="AA276" s="133">
        <v>0.15</v>
      </c>
      <c r="AB276" s="133">
        <f>0.02*R276</f>
        <v>6.3E-2</v>
      </c>
      <c r="AC276" s="134">
        <v>0</v>
      </c>
      <c r="AD276" s="134">
        <v>0</v>
      </c>
      <c r="AE276" s="134">
        <v>0.5</v>
      </c>
      <c r="AF276" s="134">
        <v>0</v>
      </c>
      <c r="AG276" s="134">
        <v>0.1</v>
      </c>
      <c r="AH276" s="134">
        <v>0</v>
      </c>
      <c r="AI276" s="134">
        <v>0</v>
      </c>
      <c r="AJ276" s="134">
        <v>0</v>
      </c>
      <c r="AK276" s="134" t="s">
        <v>175</v>
      </c>
      <c r="AL276" s="122" t="s">
        <v>175</v>
      </c>
      <c r="AM276" s="122">
        <v>1.55</v>
      </c>
      <c r="AN276" s="134" t="s">
        <v>176</v>
      </c>
      <c r="AO276" s="122" t="s">
        <v>177</v>
      </c>
      <c r="AP276" s="135">
        <f>SQRT(SUMSQ(IF(OR(Y276="nd",Y276="nd"),0,Y276),IF(OR(Z276="nd",Z276="nd"),0,Z276),IF(OR(AA276="nd",AA276="nd"),0,AA276),IF(OR(AB276="nd",AB276="nd"),0,AB276),IF(OR(AC276="nd",AC276="nd"),0,AC276),IF(OR(AD276="nd",AD276="nd"),0,AD276),IF(OR(AE276="nd",AE276="nd"),0,AE276),IF(OR(AF276="nd",AF276="nd"),0,AF276),IF(OR(AG276="nd",AG276="nd"),0,AG276),IF(OR(AH276="nd",AH276="nd"),0,AH276),IF(OR(AI276="nd",AI276="nd"),0,AI276),IF(OR(AJ276="nd",AJ276="nd"),0,AJ276)))</f>
        <v>0.53534474873673699</v>
      </c>
      <c r="AQ276" s="135">
        <f>SQRT(SUMSQ(IF(OR(Y276="nd",Y276="nd"),0,Y276),IF(OR(Z276="nd",Z276="nd"),0,Z276),IF(OR(AA276="nd",AA276="nd"),0,AA276),IF(OR(AB276="nd",AB276="nd"),0,AB276),IF(OR(AC276="nd",AC276="nd"),0,AC276),IF(OR(AD276="nd",AD276="nd"),0,AD276),IF(OR(AE276="nd",AE276="nd"),0,AE276),IF(OR(AF276="nd",AF276="nd"),0,AF276),IF(OR(AG276="nd",AG276="nd"),0,AG276),IF(OR(AH276="nd",AH276="nd"),0,AH276),IF(OR(AI276="nd",AI276="nd"),0,AI276),IF(OR(AJ276="nd",AJ276="nd"),0,AJ276)))</f>
        <v>0.53534474873673699</v>
      </c>
      <c r="AR276" s="117">
        <v>-1.447650509</v>
      </c>
      <c r="AS276" s="117">
        <v>0</v>
      </c>
      <c r="AT276" s="117">
        <v>0</v>
      </c>
      <c r="AU276" s="117">
        <v>-0.91710245099999999</v>
      </c>
      <c r="AV276" s="117">
        <v>-0.61292453800000002</v>
      </c>
      <c r="AW276" s="117">
        <v>-3.6357820999999999E-2</v>
      </c>
      <c r="AX276" s="117">
        <v>0.52389038799999998</v>
      </c>
      <c r="AY276" s="117">
        <v>0.86070531500000003</v>
      </c>
      <c r="AZ276" s="117">
        <v>0</v>
      </c>
      <c r="BA276" s="117">
        <v>0</v>
      </c>
      <c r="BB276" s="117">
        <v>1.691253374</v>
      </c>
      <c r="BC276" s="136" t="str">
        <f>IF(BG276="1","1 ",
IF(BG276="2a","0",
IF(BG276="2b","1 ",
IF(BG276="3a","-1 ",
IF(BG276="3b","0 ",
IF(BG276="3c","0",
IF(BG276="3d","-1 ",
IF(BG276="3e","1 ",
IF(BG276="4","1 ",
IF(BG276="5","1",
IF(BG276="6","-1 ",
IF(BG276="7","-1 ",
IF(BG276="8","0",
IF(BG276="9","-1",
IF(BG276="10a","-1 ",
IF(BG276="10b","0",
IF(BG276="11","1 ",
IF(BG276="12a","0",
IF(BG276="12b","-1 ","")))))))))))))))))))</f>
        <v xml:space="preserve">1 </v>
      </c>
      <c r="BD276" s="136" t="s">
        <v>178</v>
      </c>
      <c r="BE276" s="136" t="s">
        <v>716</v>
      </c>
      <c r="BF276" s="136" t="s">
        <v>954</v>
      </c>
      <c r="BG276" s="120" t="s">
        <v>659</v>
      </c>
      <c r="BH276" s="136" t="str">
        <f t="shared" si="145"/>
        <v>&gt;MTL</v>
      </c>
      <c r="BI276" s="136">
        <f t="shared" si="146"/>
        <v>-3.6357820999999999E-2</v>
      </c>
      <c r="BJ276" s="136" t="str">
        <f>IF(BG276="1","Nil",
IF(BG276="2a",(BB276-AR276)/2,
IF(BG276="2b","Nil",
IF(BG276="3a","Nil",
IF(BG276="3b",(AU276 -AR276)/2,
IF(BG276="3c",4,
IF(BG276="3d","Nil",
IF(BG276="3e","Nil",
IF(BG276="4","Nil",
IF(BG276="5","Nil",
IF(BG276="6","Nil",
IF(BG276="7","Nil",
IF(BG276="8",(BB276-AW276)/2,
IF(BG276="9","Nil",
IF(BG276="10a","Nil",
IF(BG276="10b",(AY276-AU276)/2,
IF(BG276="11","Nil",
IF(BG276="12a",(BB276-AR276)/2,
IF(BG276="12b","Nil","")))))))))))))))))))</f>
        <v>Nil</v>
      </c>
      <c r="BK276" s="136">
        <f>IF(BH276="HAT-LAT",0.27,
IF(BH276="HAT-MTL",0.09,
IF(BH276="MHHW-MLLW",0.27,IF(BH276="MLLW-LAT",0.27,
IF(BH276="(MLLW)-(MLLW-8)",0.4,
IF(BH276="&lt;HAT",0.18,
IF(BH276="&gt;MHHW",0.44,
IF(BH276="&gt;MTL",0.05,
IF(BH276="&lt;MTL",0.05,
IF(BH276="&gt;MLLW",0.4,
IF(BH276="&lt;MLLW",0.4,"Nil")))))))))))</f>
        <v>0.05</v>
      </c>
      <c r="BL276" s="136" t="s">
        <v>736</v>
      </c>
      <c r="BM276" s="136" t="s">
        <v>175</v>
      </c>
      <c r="BN276" s="136" t="s">
        <v>175</v>
      </c>
      <c r="BO276" s="136" t="s">
        <v>736</v>
      </c>
      <c r="BP276" s="137" t="s">
        <v>175</v>
      </c>
      <c r="BQ276" s="137" t="s">
        <v>175</v>
      </c>
      <c r="BR276" s="137" t="s">
        <v>175</v>
      </c>
      <c r="BS276" s="137" t="s">
        <v>175</v>
      </c>
      <c r="BT276" s="138">
        <f>AM276-BI276</f>
        <v>1.586357821</v>
      </c>
      <c r="BU276" s="138">
        <f>SQRT(SUMSQ(AP276,BJ276,IF(OR(BK276="nd",BK276="nd"),0,BK276),IF(OR(BL276="nd",BL276="nd"),0,BL276),IF(OR(BO276="nd",BO276="nd"),0,BO276)))</f>
        <v>0.53767462279709655</v>
      </c>
      <c r="BV276" s="138">
        <f>SQRT(SUMSQ(AP276,BJ276,IF(OR(BK276="nd",BK276="nd"),0,BK276),IF(OR(BL276="nd",BL276="nd"),0,BL276),IF(OR(BO276="nd",BO276="nd"),0,BO276)))</f>
        <v>0.53767462279709655</v>
      </c>
      <c r="BW276" s="53" t="s">
        <v>175</v>
      </c>
      <c r="BX276" s="53" t="s">
        <v>175</v>
      </c>
      <c r="BY276" s="53" t="s">
        <v>175</v>
      </c>
      <c r="BZ276" s="53" t="s">
        <v>175</v>
      </c>
      <c r="CA276" s="147">
        <v>1</v>
      </c>
      <c r="CB276" s="54">
        <v>0</v>
      </c>
    </row>
    <row r="277" spans="1:81">
      <c r="A277" s="123" t="s">
        <v>917</v>
      </c>
      <c r="B277" s="124" t="s">
        <v>522</v>
      </c>
      <c r="C277" s="148" t="s">
        <v>674</v>
      </c>
      <c r="D277" s="126" t="s">
        <v>743</v>
      </c>
      <c r="E277" s="127">
        <v>23.136111100000001</v>
      </c>
      <c r="F277" s="127">
        <v>112.6788889</v>
      </c>
      <c r="G277" s="128" t="s">
        <v>168</v>
      </c>
      <c r="H277" s="145">
        <v>940</v>
      </c>
      <c r="I277" s="145">
        <v>30</v>
      </c>
      <c r="J277" s="129">
        <v>849</v>
      </c>
      <c r="K277" s="129">
        <v>72</v>
      </c>
      <c r="L277" s="129">
        <v>66</v>
      </c>
      <c r="M277" s="149" t="s">
        <v>952</v>
      </c>
      <c r="N277" s="146" t="s">
        <v>528</v>
      </c>
      <c r="O277" s="149" t="s">
        <v>951</v>
      </c>
      <c r="P277" s="149" t="s">
        <v>950</v>
      </c>
      <c r="Q277" s="130" t="s">
        <v>377</v>
      </c>
      <c r="R277" s="131">
        <v>6.54</v>
      </c>
      <c r="S277" s="131" t="s">
        <v>175</v>
      </c>
      <c r="T277" s="130">
        <v>1</v>
      </c>
      <c r="U277" s="132" t="s">
        <v>173</v>
      </c>
      <c r="V277" s="133">
        <v>0.01</v>
      </c>
      <c r="W277" s="132" t="s">
        <v>174</v>
      </c>
      <c r="X277" s="133">
        <v>0.01</v>
      </c>
      <c r="Y277" s="133">
        <v>5.0000000000000001E-3</v>
      </c>
      <c r="Z277" s="133">
        <v>0.01</v>
      </c>
      <c r="AA277" s="133">
        <v>0.15</v>
      </c>
      <c r="AB277" s="133">
        <f>0.02*R277</f>
        <v>0.1308</v>
      </c>
      <c r="AC277" s="134">
        <v>0</v>
      </c>
      <c r="AD277" s="134">
        <v>0</v>
      </c>
      <c r="AE277" s="134">
        <v>0.5</v>
      </c>
      <c r="AF277" s="134">
        <v>0</v>
      </c>
      <c r="AG277" s="134">
        <v>0.1</v>
      </c>
      <c r="AH277" s="134">
        <v>0</v>
      </c>
      <c r="AI277" s="134">
        <v>0</v>
      </c>
      <c r="AJ277" s="134">
        <v>0</v>
      </c>
      <c r="AK277" s="134" t="s">
        <v>175</v>
      </c>
      <c r="AL277" s="122" t="s">
        <v>175</v>
      </c>
      <c r="AM277" s="122">
        <v>-1.84</v>
      </c>
      <c r="AN277" s="134" t="s">
        <v>176</v>
      </c>
      <c r="AO277" s="122" t="s">
        <v>177</v>
      </c>
      <c r="AP277" s="135">
        <f>SQRT(SUMSQ(IF(OR(Y277="nd",Y277="nd"),0,Y277),IF(OR(Z277="nd",Z277="nd"),0,Z277),IF(OR(AA277="nd",AA277="nd"),0,AA277),IF(OR(AB277="nd",AB277="nd"),0,AB277),IF(OR(AC277="nd",AC277="nd"),0,AC277),IF(OR(AD277="nd",AD277="nd"),0,AD277),IF(OR(AE277="nd",AE277="nd"),0,AE277),IF(OR(AF277="nd",AF277="nd"),0,AF277),IF(OR(AG277="nd",AG277="nd"),0,AG277),IF(OR(AH277="nd",AH277="nd"),0,AH277),IF(OR(AI277="nd",AI277="nd"),0,AI277),IF(OR(AJ277="nd",AJ277="nd"),0,AJ277)))</f>
        <v>0.54747935120879221</v>
      </c>
      <c r="AQ277" s="135">
        <f>SQRT(SUMSQ(IF(OR(Y277="nd",Y277="nd"),0,Y277),IF(OR(Z277="nd",Z277="nd"),0,Z277),IF(OR(AA277="nd",AA277="nd"),0,AA277),IF(OR(AB277="nd",AB277="nd"),0,AB277),IF(OR(AC277="nd",AC277="nd"),0,AC277),IF(OR(AD277="nd",AD277="nd"),0,AD277),IF(OR(AE277="nd",AE277="nd"),0,AE277),IF(OR(AF277="nd",AF277="nd"),0,AF277),IF(OR(AG277="nd",AG277="nd"),0,AG277),IF(OR(AH277="nd",AH277="nd"),0,AH277),IF(OR(AI277="nd",AI277="nd"),0,AI277),IF(OR(AJ277="nd",AJ277="nd"),0,AJ277)))</f>
        <v>0.54747935120879221</v>
      </c>
      <c r="AR277" s="117">
        <v>-1.447650509</v>
      </c>
      <c r="AS277" s="117">
        <v>0</v>
      </c>
      <c r="AT277" s="117">
        <v>0</v>
      </c>
      <c r="AU277" s="117">
        <v>-0.91710245099999999</v>
      </c>
      <c r="AV277" s="117">
        <v>-0.61292453800000002</v>
      </c>
      <c r="AW277" s="117">
        <v>-3.6357820999999999E-2</v>
      </c>
      <c r="AX277" s="117">
        <v>0.52389038799999998</v>
      </c>
      <c r="AY277" s="117">
        <v>0.86070531500000003</v>
      </c>
      <c r="AZ277" s="117">
        <v>0</v>
      </c>
      <c r="BA277" s="117">
        <v>0</v>
      </c>
      <c r="BB277" s="117">
        <v>1.691253374</v>
      </c>
      <c r="BC277" s="136" t="str">
        <f>IF(BG277="1","1 ",
IF(BG277="2a","0",
IF(BG277="2b","1 ",
IF(BG277="3a","-1 ",
IF(BG277="3b","0 ",
IF(BG277="3c","0",
IF(BG277="3d","-1 ",
IF(BG277="3e","1 ",
IF(BG277="4","1 ",
IF(BG277="5","1",
IF(BG277="6","-1 ",
IF(BG277="7","-1 ",
IF(BG277="8","0",
IF(BG277="9","-1",
IF(BG277="10a","-1 ",
IF(BG277="10b","0",
IF(BG277="11","1 ",
IF(BG277="12a","0",
IF(BG277="12b","-1 ","")))))))))))))))))))</f>
        <v xml:space="preserve">-1 </v>
      </c>
      <c r="BD277" s="136" t="s">
        <v>178</v>
      </c>
      <c r="BE277" s="136" t="s">
        <v>716</v>
      </c>
      <c r="BF277" s="136" t="s">
        <v>955</v>
      </c>
      <c r="BG277" s="120" t="s">
        <v>665</v>
      </c>
      <c r="BH277" s="136" t="str">
        <f t="shared" si="145"/>
        <v>&lt;HAT</v>
      </c>
      <c r="BI277" s="136">
        <f t="shared" si="146"/>
        <v>1.691253374</v>
      </c>
      <c r="BJ277" s="136" t="str">
        <f>IF(BG277="1","Nil",
IF(BG277="2a",(BB277-AR277)/2,
IF(BG277="2b","Nil",
IF(BG277="3a","Nil",
IF(BG277="3b",(AU277 -AR277)/2,
IF(BG277="3c",4,
IF(BG277="3d","Nil",
IF(BG277="3e","Nil",
IF(BG277="4","Nil",
IF(BG277="5","Nil",
IF(BG277="6","Nil",
IF(BG277="7","Nil",
IF(BG277="8",(BB277-AW277)/2,
IF(BG277="9","Nil",
IF(BG277="10a","Nil",
IF(BG277="10b",(AY277-AU277)/2,
IF(BG277="11","Nil",
IF(BG277="12a",(BB277-AR277)/2,
IF(BG277="12b","Nil","")))))))))))))))))))</f>
        <v>Nil</v>
      </c>
      <c r="BK277" s="136">
        <f>IF(BH277="HAT-LAT",0.27,
IF(BH277="HAT-MTL",0.09,
IF(BH277="MHHW-MLLW",0.27,IF(BH277="MLLW-LAT",0.27,
IF(BH277="(MLLW)-(MLLW-8)",0.4,
IF(BH277="&lt;HAT",0.18,
IF(BH277="&gt;MHHW",0.44,
IF(BH277="&gt;MTL",0.05,
IF(BH277="&lt;MTL",0.05,
IF(BH277="&gt;MLLW",0.4,
IF(BH277="&lt;MLLW",0.4,"Nil")))))))))))</f>
        <v>0.18</v>
      </c>
      <c r="BL277" s="136" t="s">
        <v>736</v>
      </c>
      <c r="BM277" s="136" t="s">
        <v>175</v>
      </c>
      <c r="BN277" s="136" t="s">
        <v>175</v>
      </c>
      <c r="BO277" s="136" t="s">
        <v>736</v>
      </c>
      <c r="BP277" s="137" t="s">
        <v>175</v>
      </c>
      <c r="BQ277" s="137" t="s">
        <v>175</v>
      </c>
      <c r="BR277" s="137" t="s">
        <v>175</v>
      </c>
      <c r="BS277" s="137" t="s">
        <v>175</v>
      </c>
      <c r="BT277" s="138">
        <f>AM277-BI277</f>
        <v>-3.5312533740000003</v>
      </c>
      <c r="BU277" s="138">
        <f>SQRT(SUMSQ(AP277,BJ277,IF(OR(BK277="nd",BK277="nd"),0,BK277),IF(OR(BL277="nd",BL277="nd"),0,BL277),IF(OR(BO277="nd",BO277="nd"),0,BO277)))</f>
        <v>0.57631036777070044</v>
      </c>
      <c r="BV277" s="138">
        <f>SQRT(SUMSQ(AP277,BJ277,IF(OR(BK277="nd",BK277="nd"),0,BK277),IF(OR(BL277="nd",BL277="nd"),0,BL277),IF(OR(BO277="nd",BO277="nd"),0,BO277)))</f>
        <v>0.57631036777070044</v>
      </c>
      <c r="BW277" s="53" t="s">
        <v>175</v>
      </c>
      <c r="BX277" s="53" t="s">
        <v>175</v>
      </c>
      <c r="BY277" s="53" t="s">
        <v>175</v>
      </c>
      <c r="BZ277" s="53" t="s">
        <v>175</v>
      </c>
      <c r="CA277" s="147">
        <v>3</v>
      </c>
      <c r="CB277" s="54">
        <v>1</v>
      </c>
      <c r="CC277" s="54" t="s">
        <v>1000</v>
      </c>
    </row>
    <row r="278" spans="1:81">
      <c r="A278" s="123" t="s">
        <v>912</v>
      </c>
      <c r="B278" s="124" t="s">
        <v>522</v>
      </c>
      <c r="C278" s="148" t="s">
        <v>674</v>
      </c>
      <c r="D278" s="126" t="s">
        <v>743</v>
      </c>
      <c r="E278" s="127">
        <v>23.136111100000001</v>
      </c>
      <c r="F278" s="127">
        <v>112.6788889</v>
      </c>
      <c r="G278" s="128" t="s">
        <v>168</v>
      </c>
      <c r="H278" s="145">
        <v>1620</v>
      </c>
      <c r="I278" s="145">
        <v>30</v>
      </c>
      <c r="J278" s="129">
        <v>1480</v>
      </c>
      <c r="K278" s="129">
        <v>63</v>
      </c>
      <c r="L278" s="129">
        <v>71</v>
      </c>
      <c r="M278" s="149" t="s">
        <v>950</v>
      </c>
      <c r="N278" s="146" t="s">
        <v>528</v>
      </c>
      <c r="O278" s="130" t="s">
        <v>949</v>
      </c>
      <c r="P278" s="149" t="s">
        <v>953</v>
      </c>
      <c r="Q278" s="130" t="s">
        <v>377</v>
      </c>
      <c r="R278" s="131">
        <v>8.44</v>
      </c>
      <c r="S278" s="131" t="s">
        <v>175</v>
      </c>
      <c r="T278" s="130">
        <v>1</v>
      </c>
      <c r="U278" s="132" t="s">
        <v>173</v>
      </c>
      <c r="V278" s="133">
        <v>0.01</v>
      </c>
      <c r="W278" s="132" t="s">
        <v>174</v>
      </c>
      <c r="X278" s="133">
        <v>0.01</v>
      </c>
      <c r="Y278" s="133">
        <v>5.0000000000000001E-3</v>
      </c>
      <c r="Z278" s="133">
        <v>0.01</v>
      </c>
      <c r="AA278" s="133">
        <v>0.15</v>
      </c>
      <c r="AB278" s="133">
        <f t="shared" si="139"/>
        <v>0.16880000000000001</v>
      </c>
      <c r="AC278" s="134">
        <v>0</v>
      </c>
      <c r="AD278" s="134">
        <v>0</v>
      </c>
      <c r="AE278" s="134">
        <v>0.5</v>
      </c>
      <c r="AF278" s="134">
        <v>0</v>
      </c>
      <c r="AG278" s="134">
        <v>0.1</v>
      </c>
      <c r="AH278" s="134">
        <v>0</v>
      </c>
      <c r="AI278" s="134">
        <v>0</v>
      </c>
      <c r="AJ278" s="134">
        <v>0</v>
      </c>
      <c r="AK278" s="134" t="s">
        <v>175</v>
      </c>
      <c r="AL278" s="122" t="s">
        <v>175</v>
      </c>
      <c r="AM278" s="122">
        <v>-3.74</v>
      </c>
      <c r="AN278" s="134" t="s">
        <v>176</v>
      </c>
      <c r="AO278" s="122" t="s">
        <v>177</v>
      </c>
      <c r="AP278" s="135">
        <f t="shared" si="144"/>
        <v>0.55777992075728222</v>
      </c>
      <c r="AQ278" s="135">
        <f t="shared" si="137"/>
        <v>0.55777992075728222</v>
      </c>
      <c r="AR278" s="117">
        <v>-1.447650509</v>
      </c>
      <c r="AS278" s="117">
        <v>0</v>
      </c>
      <c r="AT278" s="117">
        <v>0</v>
      </c>
      <c r="AU278" s="117">
        <v>-0.91710245099999999</v>
      </c>
      <c r="AV278" s="117">
        <v>-0.61292453800000002</v>
      </c>
      <c r="AW278" s="117">
        <v>-3.6357820999999999E-2</v>
      </c>
      <c r="AX278" s="117">
        <v>0.52389038799999998</v>
      </c>
      <c r="AY278" s="117">
        <v>0.86070531500000003</v>
      </c>
      <c r="AZ278" s="117">
        <v>0</v>
      </c>
      <c r="BA278" s="117">
        <v>0</v>
      </c>
      <c r="BB278" s="117">
        <v>1.691253374</v>
      </c>
      <c r="BC278" s="136" t="str">
        <f t="shared" si="140"/>
        <v xml:space="preserve">-1 </v>
      </c>
      <c r="BD278" s="136" t="s">
        <v>178</v>
      </c>
      <c r="BE278" s="136" t="s">
        <v>946</v>
      </c>
      <c r="BF278" s="136" t="s">
        <v>947</v>
      </c>
      <c r="BG278" s="120" t="s">
        <v>661</v>
      </c>
      <c r="BH278" s="136" t="str">
        <f t="shared" si="145"/>
        <v>&lt;HAT</v>
      </c>
      <c r="BI278" s="136">
        <f t="shared" si="146"/>
        <v>1.691253374</v>
      </c>
      <c r="BJ278" s="136" t="str">
        <f t="shared" ref="BJ278:BJ295" si="147">IF(BG278="1","Nil",
IF(BG278="2a",(BB278-AR278)/2,
IF(BG278="2b","Nil",
IF(BG278="3a","Nil",
IF(BG278="3b",(AU278 -AR278)/2,
IF(BG278="3c",4,
IF(BG278="3d","Nil",
IF(BG278="3e","Nil",
IF(BG278="4","Nil",
IF(BG278="5","Nil",
IF(BG278="6","Nil",
IF(BG278="7","Nil",
IF(BG278="8",(BB278-AW278)/2,
IF(BG278="9","Nil",
IF(BG278="10a","Nil",
IF(BG278="10b",(AY278-AU278)/2,
IF(BG278="11","Nil",
IF(BG278="12a",(BB278-AR278)/2,
IF(BG278="12b","Nil","")))))))))))))))))))</f>
        <v>Nil</v>
      </c>
      <c r="BK278" s="136">
        <f t="shared" ref="BK278:BK295" si="148">IF(BH278="HAT-LAT",0.27,
IF(BH278="HAT-MTL",0.09,
IF(BH278="MHHW-MLLW",0.27,IF(BH278="MLLW-LAT",0.27,
IF(BH278="(MLLW)-(MLLW-8)",0.4,
IF(BH278="&lt;HAT",0.18,
IF(BH278="&gt;MHHW",0.44,
IF(BH278="&gt;MTL",0.05,
IF(BH278="&lt;MTL",0.05,
IF(BH278="&gt;MLLW",0.4,
IF(BH278="&lt;MLLW",0.4,"Nil")))))))))))</f>
        <v>0.18</v>
      </c>
      <c r="BL278" s="136" t="s">
        <v>736</v>
      </c>
      <c r="BM278" s="136" t="s">
        <v>175</v>
      </c>
      <c r="BN278" s="136" t="s">
        <v>175</v>
      </c>
      <c r="BO278" s="136" t="s">
        <v>736</v>
      </c>
      <c r="BP278" s="137" t="s">
        <v>175</v>
      </c>
      <c r="BQ278" s="137" t="s">
        <v>175</v>
      </c>
      <c r="BR278" s="137" t="s">
        <v>175</v>
      </c>
      <c r="BS278" s="137" t="s">
        <v>175</v>
      </c>
      <c r="BT278" s="138">
        <f t="shared" si="141"/>
        <v>-5.4312533740000006</v>
      </c>
      <c r="BU278" s="138">
        <f t="shared" si="142"/>
        <v>0.58610446167897412</v>
      </c>
      <c r="BV278" s="138">
        <f t="shared" si="143"/>
        <v>0.58610446167897412</v>
      </c>
      <c r="BW278" s="53" t="s">
        <v>175</v>
      </c>
      <c r="BX278" s="53" t="s">
        <v>175</v>
      </c>
      <c r="BY278" s="53" t="s">
        <v>175</v>
      </c>
      <c r="BZ278" s="53" t="s">
        <v>175</v>
      </c>
      <c r="CA278" s="147">
        <v>1</v>
      </c>
      <c r="CB278" s="54">
        <v>0</v>
      </c>
    </row>
    <row r="279" spans="1:81">
      <c r="A279" s="123" t="s">
        <v>913</v>
      </c>
      <c r="B279" s="124" t="s">
        <v>522</v>
      </c>
      <c r="C279" s="148" t="s">
        <v>674</v>
      </c>
      <c r="D279" s="126" t="s">
        <v>743</v>
      </c>
      <c r="E279" s="127">
        <v>23.136111100000001</v>
      </c>
      <c r="F279" s="127">
        <v>112.6788889</v>
      </c>
      <c r="G279" s="128" t="s">
        <v>168</v>
      </c>
      <c r="H279" s="145">
        <v>1770</v>
      </c>
      <c r="I279" s="145">
        <v>30</v>
      </c>
      <c r="J279" s="129">
        <v>1652</v>
      </c>
      <c r="K279" s="129">
        <v>72</v>
      </c>
      <c r="L279" s="129">
        <v>77</v>
      </c>
      <c r="M279" s="149" t="s">
        <v>950</v>
      </c>
      <c r="N279" s="146" t="s">
        <v>528</v>
      </c>
      <c r="O279" s="130" t="s">
        <v>949</v>
      </c>
      <c r="P279" s="149" t="s">
        <v>953</v>
      </c>
      <c r="Q279" s="130" t="s">
        <v>377</v>
      </c>
      <c r="R279" s="131">
        <v>8.98</v>
      </c>
      <c r="S279" s="131" t="s">
        <v>175</v>
      </c>
      <c r="T279" s="130">
        <v>1</v>
      </c>
      <c r="U279" s="132" t="s">
        <v>173</v>
      </c>
      <c r="V279" s="133">
        <v>0.01</v>
      </c>
      <c r="W279" s="132" t="s">
        <v>174</v>
      </c>
      <c r="X279" s="133">
        <v>0.01</v>
      </c>
      <c r="Y279" s="133">
        <v>5.0000000000000001E-3</v>
      </c>
      <c r="Z279" s="133">
        <v>0.01</v>
      </c>
      <c r="AA279" s="133">
        <v>0.15</v>
      </c>
      <c r="AB279" s="133">
        <f t="shared" si="139"/>
        <v>0.17960000000000001</v>
      </c>
      <c r="AC279" s="134">
        <v>0</v>
      </c>
      <c r="AD279" s="134">
        <v>0</v>
      </c>
      <c r="AE279" s="134">
        <v>0.5</v>
      </c>
      <c r="AF279" s="134">
        <v>0</v>
      </c>
      <c r="AG279" s="134">
        <v>0.1</v>
      </c>
      <c r="AH279" s="134">
        <v>0</v>
      </c>
      <c r="AI279" s="134">
        <v>0</v>
      </c>
      <c r="AJ279" s="134">
        <v>0</v>
      </c>
      <c r="AK279" s="134" t="s">
        <v>175</v>
      </c>
      <c r="AL279" s="122" t="s">
        <v>175</v>
      </c>
      <c r="AM279" s="122">
        <v>-4.28</v>
      </c>
      <c r="AN279" s="134" t="s">
        <v>176</v>
      </c>
      <c r="AO279" s="122" t="s">
        <v>177</v>
      </c>
      <c r="AP279" s="135">
        <f t="shared" si="144"/>
        <v>0.56114272694208556</v>
      </c>
      <c r="AQ279" s="135">
        <f t="shared" si="137"/>
        <v>0.56114272694208556</v>
      </c>
      <c r="AR279" s="117">
        <v>-1.447650509</v>
      </c>
      <c r="AS279" s="117">
        <v>0</v>
      </c>
      <c r="AT279" s="117">
        <v>0</v>
      </c>
      <c r="AU279" s="117">
        <v>-0.91710245099999999</v>
      </c>
      <c r="AV279" s="117">
        <v>-0.61292453800000002</v>
      </c>
      <c r="AW279" s="117">
        <v>-3.6357820999999999E-2</v>
      </c>
      <c r="AX279" s="117">
        <v>0.52389038799999998</v>
      </c>
      <c r="AY279" s="117">
        <v>0.86070531500000003</v>
      </c>
      <c r="AZ279" s="117">
        <v>0</v>
      </c>
      <c r="BA279" s="117">
        <v>0</v>
      </c>
      <c r="BB279" s="117">
        <v>1.691253374</v>
      </c>
      <c r="BC279" s="136" t="str">
        <f t="shared" si="140"/>
        <v xml:space="preserve">-1 </v>
      </c>
      <c r="BD279" s="136" t="s">
        <v>178</v>
      </c>
      <c r="BE279" s="136" t="s">
        <v>946</v>
      </c>
      <c r="BF279" s="136" t="s">
        <v>947</v>
      </c>
      <c r="BG279" s="120" t="s">
        <v>661</v>
      </c>
      <c r="BH279" s="136" t="str">
        <f t="shared" si="145"/>
        <v>&lt;HAT</v>
      </c>
      <c r="BI279" s="136">
        <f t="shared" si="146"/>
        <v>1.691253374</v>
      </c>
      <c r="BJ279" s="136" t="str">
        <f t="shared" si="147"/>
        <v>Nil</v>
      </c>
      <c r="BK279" s="136">
        <f t="shared" si="148"/>
        <v>0.18</v>
      </c>
      <c r="BL279" s="136" t="s">
        <v>736</v>
      </c>
      <c r="BM279" s="136" t="s">
        <v>175</v>
      </c>
      <c r="BN279" s="136" t="s">
        <v>175</v>
      </c>
      <c r="BO279" s="136" t="s">
        <v>736</v>
      </c>
      <c r="BP279" s="137" t="s">
        <v>175</v>
      </c>
      <c r="BQ279" s="137" t="s">
        <v>175</v>
      </c>
      <c r="BR279" s="137" t="s">
        <v>175</v>
      </c>
      <c r="BS279" s="137" t="s">
        <v>175</v>
      </c>
      <c r="BT279" s="138">
        <f t="shared" si="141"/>
        <v>-5.9712533739999998</v>
      </c>
      <c r="BU279" s="138">
        <f t="shared" si="142"/>
        <v>0.58930565922957157</v>
      </c>
      <c r="BV279" s="138">
        <f t="shared" si="143"/>
        <v>0.58930565922957157</v>
      </c>
      <c r="BW279" s="53" t="s">
        <v>175</v>
      </c>
      <c r="BX279" s="53" t="s">
        <v>175</v>
      </c>
      <c r="BY279" s="53" t="s">
        <v>175</v>
      </c>
      <c r="BZ279" s="53" t="s">
        <v>175</v>
      </c>
      <c r="CA279" s="147">
        <v>1</v>
      </c>
      <c r="CB279" s="54">
        <v>0</v>
      </c>
    </row>
    <row r="280" spans="1:81" ht="17" customHeight="1">
      <c r="A280" s="123" t="s">
        <v>914</v>
      </c>
      <c r="B280" s="124" t="s">
        <v>522</v>
      </c>
      <c r="C280" s="148" t="s">
        <v>674</v>
      </c>
      <c r="D280" s="126" t="s">
        <v>743</v>
      </c>
      <c r="E280" s="127">
        <v>23.136111100000001</v>
      </c>
      <c r="F280" s="127">
        <v>112.6788889</v>
      </c>
      <c r="G280" s="128" t="s">
        <v>168</v>
      </c>
      <c r="H280" s="145">
        <v>2140</v>
      </c>
      <c r="I280" s="145">
        <v>30</v>
      </c>
      <c r="J280" s="129">
        <v>2115</v>
      </c>
      <c r="K280" s="129">
        <v>184</v>
      </c>
      <c r="L280" s="129">
        <v>114</v>
      </c>
      <c r="M280" s="149" t="s">
        <v>950</v>
      </c>
      <c r="N280" s="146" t="s">
        <v>528</v>
      </c>
      <c r="O280" s="130" t="s">
        <v>949</v>
      </c>
      <c r="P280" s="149" t="s">
        <v>953</v>
      </c>
      <c r="Q280" s="130" t="s">
        <v>377</v>
      </c>
      <c r="R280" s="131">
        <v>9.85</v>
      </c>
      <c r="S280" s="131" t="s">
        <v>175</v>
      </c>
      <c r="T280" s="130">
        <v>1</v>
      </c>
      <c r="U280" s="132" t="s">
        <v>173</v>
      </c>
      <c r="V280" s="133">
        <v>0.01</v>
      </c>
      <c r="W280" s="132" t="s">
        <v>174</v>
      </c>
      <c r="X280" s="133">
        <v>0.01</v>
      </c>
      <c r="Y280" s="133">
        <v>5.0000000000000001E-3</v>
      </c>
      <c r="Z280" s="133">
        <v>0.01</v>
      </c>
      <c r="AA280" s="133">
        <v>0.15</v>
      </c>
      <c r="AB280" s="133">
        <f t="shared" si="139"/>
        <v>0.19700000000000001</v>
      </c>
      <c r="AC280" s="134">
        <v>0</v>
      </c>
      <c r="AD280" s="134">
        <v>0</v>
      </c>
      <c r="AE280" s="134">
        <v>0.5</v>
      </c>
      <c r="AF280" s="134">
        <v>0</v>
      </c>
      <c r="AG280" s="134">
        <v>0.1</v>
      </c>
      <c r="AH280" s="134">
        <v>0</v>
      </c>
      <c r="AI280" s="134">
        <v>0</v>
      </c>
      <c r="AJ280" s="134">
        <v>0</v>
      </c>
      <c r="AK280" s="134" t="s">
        <v>175</v>
      </c>
      <c r="AL280" s="122" t="s">
        <v>175</v>
      </c>
      <c r="AM280" s="122">
        <v>-5.15</v>
      </c>
      <c r="AN280" s="134" t="s">
        <v>176</v>
      </c>
      <c r="AO280" s="122" t="s">
        <v>177</v>
      </c>
      <c r="AP280" s="135">
        <f t="shared" si="144"/>
        <v>0.56695149704361836</v>
      </c>
      <c r="AQ280" s="135">
        <f t="shared" si="137"/>
        <v>0.56695149704361836</v>
      </c>
      <c r="AR280" s="117">
        <v>-1.447650509</v>
      </c>
      <c r="AS280" s="117">
        <v>0</v>
      </c>
      <c r="AT280" s="117">
        <v>0</v>
      </c>
      <c r="AU280" s="117">
        <v>-0.91710245099999999</v>
      </c>
      <c r="AV280" s="117">
        <v>-0.61292453800000002</v>
      </c>
      <c r="AW280" s="117">
        <v>-3.6357820999999999E-2</v>
      </c>
      <c r="AX280" s="117">
        <v>0.52389038799999998</v>
      </c>
      <c r="AY280" s="117">
        <v>0.86070531500000003</v>
      </c>
      <c r="AZ280" s="117">
        <v>0</v>
      </c>
      <c r="BA280" s="117">
        <v>0</v>
      </c>
      <c r="BB280" s="117">
        <v>1.691253374</v>
      </c>
      <c r="BC280" s="136" t="str">
        <f t="shared" si="140"/>
        <v xml:space="preserve">-1 </v>
      </c>
      <c r="BD280" s="136" t="s">
        <v>178</v>
      </c>
      <c r="BE280" s="136" t="s">
        <v>946</v>
      </c>
      <c r="BF280" s="136" t="s">
        <v>947</v>
      </c>
      <c r="BG280" s="120" t="s">
        <v>661</v>
      </c>
      <c r="BH280" s="136" t="str">
        <f t="shared" si="145"/>
        <v>&lt;HAT</v>
      </c>
      <c r="BI280" s="136">
        <f t="shared" si="146"/>
        <v>1.691253374</v>
      </c>
      <c r="BJ280" s="136" t="str">
        <f t="shared" si="147"/>
        <v>Nil</v>
      </c>
      <c r="BK280" s="136">
        <f t="shared" si="148"/>
        <v>0.18</v>
      </c>
      <c r="BL280" s="136" t="s">
        <v>736</v>
      </c>
      <c r="BM280" s="136" t="s">
        <v>175</v>
      </c>
      <c r="BN280" s="136" t="s">
        <v>175</v>
      </c>
      <c r="BO280" s="136" t="s">
        <v>736</v>
      </c>
      <c r="BP280" s="137" t="s">
        <v>175</v>
      </c>
      <c r="BQ280" s="137" t="s">
        <v>175</v>
      </c>
      <c r="BR280" s="137" t="s">
        <v>175</v>
      </c>
      <c r="BS280" s="137" t="s">
        <v>175</v>
      </c>
      <c r="BT280" s="138">
        <f t="shared" si="141"/>
        <v>-6.8412533740000008</v>
      </c>
      <c r="BU280" s="138">
        <f t="shared" si="142"/>
        <v>0.59483947414407523</v>
      </c>
      <c r="BV280" s="138">
        <f t="shared" si="143"/>
        <v>0.59483947414407523</v>
      </c>
      <c r="BW280" s="53" t="s">
        <v>175</v>
      </c>
      <c r="BX280" s="53" t="s">
        <v>175</v>
      </c>
      <c r="BY280" s="53" t="s">
        <v>175</v>
      </c>
      <c r="BZ280" s="53" t="s">
        <v>175</v>
      </c>
      <c r="CA280" s="147">
        <v>1</v>
      </c>
      <c r="CB280" s="54">
        <v>0</v>
      </c>
    </row>
    <row r="281" spans="1:81">
      <c r="A281" s="123" t="s">
        <v>918</v>
      </c>
      <c r="B281" s="124" t="s">
        <v>522</v>
      </c>
      <c r="C281" s="148" t="s">
        <v>674</v>
      </c>
      <c r="D281" s="126" t="s">
        <v>743</v>
      </c>
      <c r="E281" s="127">
        <v>23.136111100000001</v>
      </c>
      <c r="F281" s="127">
        <v>112.6788889</v>
      </c>
      <c r="G281" s="128" t="s">
        <v>168</v>
      </c>
      <c r="H281" s="145">
        <v>2270</v>
      </c>
      <c r="I281" s="145">
        <v>30</v>
      </c>
      <c r="J281" s="129">
        <v>2241</v>
      </c>
      <c r="K281" s="129">
        <v>104</v>
      </c>
      <c r="L281" s="129">
        <v>84</v>
      </c>
      <c r="M281" s="149" t="s">
        <v>950</v>
      </c>
      <c r="N281" s="146" t="s">
        <v>528</v>
      </c>
      <c r="O281" s="130" t="s">
        <v>949</v>
      </c>
      <c r="P281" s="149" t="s">
        <v>953</v>
      </c>
      <c r="Q281" s="130" t="s">
        <v>377</v>
      </c>
      <c r="R281" s="131">
        <v>10.51</v>
      </c>
      <c r="S281" s="131" t="s">
        <v>175</v>
      </c>
      <c r="T281" s="130">
        <v>1</v>
      </c>
      <c r="U281" s="132" t="s">
        <v>173</v>
      </c>
      <c r="V281" s="133">
        <v>0.01</v>
      </c>
      <c r="W281" s="132" t="s">
        <v>174</v>
      </c>
      <c r="X281" s="133">
        <v>0.01</v>
      </c>
      <c r="Y281" s="133">
        <v>5.0000000000000001E-3</v>
      </c>
      <c r="Z281" s="133">
        <v>0.01</v>
      </c>
      <c r="AA281" s="133">
        <v>0.15</v>
      </c>
      <c r="AB281" s="133">
        <f>0.02*R281</f>
        <v>0.2102</v>
      </c>
      <c r="AC281" s="134">
        <v>0</v>
      </c>
      <c r="AD281" s="134">
        <v>0</v>
      </c>
      <c r="AE281" s="134">
        <v>0.5</v>
      </c>
      <c r="AF281" s="134">
        <v>0</v>
      </c>
      <c r="AG281" s="134">
        <v>0.1</v>
      </c>
      <c r="AH281" s="134">
        <v>0</v>
      </c>
      <c r="AI281" s="134">
        <v>0</v>
      </c>
      <c r="AJ281" s="134">
        <v>0</v>
      </c>
      <c r="AK281" s="134" t="s">
        <v>175</v>
      </c>
      <c r="AL281" s="122" t="s">
        <v>175</v>
      </c>
      <c r="AM281" s="122">
        <v>-5.81</v>
      </c>
      <c r="AN281" s="134" t="s">
        <v>176</v>
      </c>
      <c r="AO281" s="122" t="s">
        <v>177</v>
      </c>
      <c r="AP281" s="135">
        <f>SQRT(SUMSQ(IF(OR(Y281="nd",Y281="nd"),0,Y281),IF(OR(Z281="nd",Z281="nd"),0,Z281),IF(OR(AA281="nd",AA281="nd"),0,AA281),IF(OR(AB281="nd",AB281="nd"),0,AB281),IF(OR(AC281="nd",AC281="nd"),0,AC281),IF(OR(AD281="nd",AD281="nd"),0,AD281),IF(OR(AE281="nd",AE281="nd"),0,AE281),IF(OR(AF281="nd",AF281="nd"),0,AF281),IF(OR(AG281="nd",AG281="nd"),0,AG281),IF(OR(AH281="nd",AH281="nd"),0,AH281),IF(OR(AI281="nd",AI281="nd"),0,AI281),IF(OR(AJ281="nd",AJ281="nd"),0,AJ281)))</f>
        <v>0.57167214380272191</v>
      </c>
      <c r="AQ281" s="135">
        <f>SQRT(SUMSQ(IF(OR(Y281="nd",Y281="nd"),0,Y281),IF(OR(Z281="nd",Z281="nd"),0,Z281),IF(OR(AA281="nd",AA281="nd"),0,AA281),IF(OR(AB281="nd",AB281="nd"),0,AB281),IF(OR(AC281="nd",AC281="nd"),0,AC281),IF(OR(AD281="nd",AD281="nd"),0,AD281),IF(OR(AE281="nd",AE281="nd"),0,AE281),IF(OR(AF281="nd",AF281="nd"),0,AF281),IF(OR(AG281="nd",AG281="nd"),0,AG281),IF(OR(AH281="nd",AH281="nd"),0,AH281),IF(OR(AI281="nd",AI281="nd"),0,AI281),IF(OR(AJ281="nd",AJ281="nd"),0,AJ281)))</f>
        <v>0.57167214380272191</v>
      </c>
      <c r="AR281" s="117">
        <v>-1.447650509</v>
      </c>
      <c r="AS281" s="117">
        <v>0</v>
      </c>
      <c r="AT281" s="117">
        <v>0</v>
      </c>
      <c r="AU281" s="117">
        <v>-0.91710245099999999</v>
      </c>
      <c r="AV281" s="117">
        <v>-0.61292453800000002</v>
      </c>
      <c r="AW281" s="117">
        <v>-3.6357820999999999E-2</v>
      </c>
      <c r="AX281" s="117">
        <v>0.52389038799999998</v>
      </c>
      <c r="AY281" s="117">
        <v>0.86070531500000003</v>
      </c>
      <c r="AZ281" s="117">
        <v>0</v>
      </c>
      <c r="BA281" s="117">
        <v>0</v>
      </c>
      <c r="BB281" s="117">
        <v>1.691253374</v>
      </c>
      <c r="BC281" s="136" t="str">
        <f>IF(BG281="1","1 ",
IF(BG281="2a","0",
IF(BG281="2b","1 ",
IF(BG281="3a","-1 ",
IF(BG281="3b","0 ",
IF(BG281="3c","0",
IF(BG281="3d","-1 ",
IF(BG281="3e","1 ",
IF(BG281="4","1 ",
IF(BG281="5","1",
IF(BG281="6","-1 ",
IF(BG281="7","-1 ",
IF(BG281="8","0",
IF(BG281="9","-1",
IF(BG281="10a","-1 ",
IF(BG281="10b","0",
IF(BG281="11","1 ",
IF(BG281="12a","0",
IF(BG281="12b","-1 ","")))))))))))))))))))</f>
        <v xml:space="preserve">-1 </v>
      </c>
      <c r="BD281" s="136" t="s">
        <v>178</v>
      </c>
      <c r="BE281" s="136" t="s">
        <v>690</v>
      </c>
      <c r="BF281" s="136" t="s">
        <v>527</v>
      </c>
      <c r="BG281" s="120" t="s">
        <v>661</v>
      </c>
      <c r="BH281" s="136" t="str">
        <f t="shared" si="145"/>
        <v>&lt;HAT</v>
      </c>
      <c r="BI281" s="136">
        <f t="shared" si="146"/>
        <v>1.691253374</v>
      </c>
      <c r="BJ281" s="136" t="str">
        <f>IF(BG281="1","Nil",
IF(BG281="2a",(BB281-AR281)/2,
IF(BG281="2b","Nil",
IF(BG281="3a","Nil",
IF(BG281="3b",(AU281 -AR281)/2,
IF(BG281="3c",4,
IF(BG281="3d","Nil",
IF(BG281="3e","Nil",
IF(BG281="4","Nil",
IF(BG281="5","Nil",
IF(BG281="6","Nil",
IF(BG281="7","Nil",
IF(BG281="8",(BB281-AW281)/2,
IF(BG281="9","Nil",
IF(BG281="10a","Nil",
IF(BG281="10b",(AY281-AU281)/2,
IF(BG281="11","Nil",
IF(BG281="12a",(BB281-AR281)/2,
IF(BG281="12b","Nil","")))))))))))))))))))</f>
        <v>Nil</v>
      </c>
      <c r="BK281" s="136">
        <f>IF(BH281="HAT-LAT",0.27,
IF(BH281="HAT-MTL",0.09,
IF(BH281="MHHW-MLLW",0.27,IF(BH281="MLLW-LAT",0.27,
IF(BH281="(MLLW)-(MLLW-8)",0.4,
IF(BH281="&lt;HAT",0.18,
IF(BH281="&gt;MHHW",0.44,
IF(BH281="&gt;MTL",0.05,
IF(BH281="&lt;MTL",0.05,
IF(BH281="&gt;MLLW",0.4,
IF(BH281="&lt;MLLW",0.4,"Nil")))))))))))</f>
        <v>0.18</v>
      </c>
      <c r="BL281" s="136" t="s">
        <v>736</v>
      </c>
      <c r="BM281" s="136" t="s">
        <v>175</v>
      </c>
      <c r="BN281" s="136" t="s">
        <v>175</v>
      </c>
      <c r="BO281" s="136" t="s">
        <v>736</v>
      </c>
      <c r="BP281" s="137" t="s">
        <v>175</v>
      </c>
      <c r="BQ281" s="137" t="s">
        <v>175</v>
      </c>
      <c r="BR281" s="137" t="s">
        <v>175</v>
      </c>
      <c r="BS281" s="137" t="s">
        <v>175</v>
      </c>
      <c r="BT281" s="138">
        <f>AM281-BI281</f>
        <v>-7.5012533739999991</v>
      </c>
      <c r="BU281" s="138">
        <f>SQRT(SUMSQ(AP281,BJ281,IF(OR(BK281="nd",BK281="nd"),0,BK281),IF(OR(BL281="nd",BL281="nd"),0,BL281),IF(OR(BO281="nd",BO281="nd"),0,BO281)))</f>
        <v>0.59934050422109797</v>
      </c>
      <c r="BV281" s="138">
        <f>SQRT(SUMSQ(AP281,BJ281,IF(OR(BK281="nd",BK281="nd"),0,BK281),IF(OR(BL281="nd",BL281="nd"),0,BL281),IF(OR(BO281="nd",BO281="nd"),0,BO281)))</f>
        <v>0.59934050422109797</v>
      </c>
      <c r="BW281" s="53" t="s">
        <v>175</v>
      </c>
      <c r="BX281" s="53" t="s">
        <v>175</v>
      </c>
      <c r="BY281" s="53" t="s">
        <v>175</v>
      </c>
      <c r="BZ281" s="53" t="s">
        <v>175</v>
      </c>
      <c r="CA281" s="147">
        <v>1</v>
      </c>
      <c r="CB281" s="54">
        <v>0</v>
      </c>
    </row>
    <row r="282" spans="1:81">
      <c r="A282" s="123" t="s">
        <v>919</v>
      </c>
      <c r="B282" s="124" t="s">
        <v>522</v>
      </c>
      <c r="C282" s="148" t="s">
        <v>674</v>
      </c>
      <c r="D282" s="126" t="s">
        <v>743</v>
      </c>
      <c r="E282" s="127">
        <v>23.136111100000001</v>
      </c>
      <c r="F282" s="127">
        <v>112.6788889</v>
      </c>
      <c r="G282" s="128" t="s">
        <v>168</v>
      </c>
      <c r="H282" s="145">
        <v>7190</v>
      </c>
      <c r="I282" s="145">
        <v>30</v>
      </c>
      <c r="J282" s="129">
        <v>7993</v>
      </c>
      <c r="K282" s="129">
        <v>38</v>
      </c>
      <c r="L282" s="129">
        <v>53</v>
      </c>
      <c r="M282" s="149" t="s">
        <v>948</v>
      </c>
      <c r="N282" s="146" t="s">
        <v>528</v>
      </c>
      <c r="O282" s="149" t="s">
        <v>950</v>
      </c>
      <c r="P282" s="149" t="s">
        <v>532</v>
      </c>
      <c r="Q282" s="130" t="s">
        <v>377</v>
      </c>
      <c r="R282" s="131">
        <v>10.78</v>
      </c>
      <c r="S282" s="131" t="s">
        <v>175</v>
      </c>
      <c r="T282" s="130">
        <v>1</v>
      </c>
      <c r="U282" s="132" t="s">
        <v>173</v>
      </c>
      <c r="V282" s="133">
        <v>0.01</v>
      </c>
      <c r="W282" s="132" t="s">
        <v>174</v>
      </c>
      <c r="X282" s="133">
        <v>0.01</v>
      </c>
      <c r="Y282" s="133">
        <v>5.0000000000000001E-3</v>
      </c>
      <c r="Z282" s="133">
        <v>0.01</v>
      </c>
      <c r="AA282" s="133">
        <v>0.15</v>
      </c>
      <c r="AB282" s="133">
        <f>0.02*R282</f>
        <v>0.21559999999999999</v>
      </c>
      <c r="AC282" s="134">
        <v>0</v>
      </c>
      <c r="AD282" s="134">
        <v>0</v>
      </c>
      <c r="AE282" s="134">
        <v>0.5</v>
      </c>
      <c r="AF282" s="134">
        <v>0</v>
      </c>
      <c r="AG282" s="134">
        <v>0.1</v>
      </c>
      <c r="AH282" s="134">
        <v>0</v>
      </c>
      <c r="AI282" s="134">
        <v>0</v>
      </c>
      <c r="AJ282" s="134">
        <v>0</v>
      </c>
      <c r="AK282" s="134" t="s">
        <v>175</v>
      </c>
      <c r="AL282" s="122" t="s">
        <v>175</v>
      </c>
      <c r="AM282" s="122">
        <v>-6.08</v>
      </c>
      <c r="AN282" s="134" t="s">
        <v>176</v>
      </c>
      <c r="AO282" s="122" t="s">
        <v>177</v>
      </c>
      <c r="AP282" s="135">
        <f>SQRT(SUMSQ(IF(OR(Y282="nd",Y282="nd"),0,Y282),IF(OR(Z282="nd",Z282="nd"),0,Z282),IF(OR(AA282="nd",AA282="nd"),0,AA282),IF(OR(AB282="nd",AB282="nd"),0,AB282),IF(OR(AC282="nd",AC282="nd"),0,AC282),IF(OR(AD282="nd",AD282="nd"),0,AD282),IF(OR(AE282="nd",AE282="nd"),0,AE282),IF(OR(AF282="nd",AF282="nd"),0,AF282),IF(OR(AG282="nd",AG282="nd"),0,AG282),IF(OR(AH282="nd",AH282="nd"),0,AH282),IF(OR(AI282="nd",AI282="nd"),0,AI282),IF(OR(AJ282="nd",AJ282="nd"),0,AJ282)))</f>
        <v>0.57367966671305337</v>
      </c>
      <c r="AQ282" s="135">
        <f>SQRT(SUMSQ(IF(OR(Y282="nd",Y282="nd"),0,Y282),IF(OR(Z282="nd",Z282="nd"),0,Z282),IF(OR(AA282="nd",AA282="nd"),0,AA282),IF(OR(AB282="nd",AB282="nd"),0,AB282),IF(OR(AC282="nd",AC282="nd"),0,AC282),IF(OR(AD282="nd",AD282="nd"),0,AD282),IF(OR(AE282="nd",AE282="nd"),0,AE282),IF(OR(AF282="nd",AF282="nd"),0,AF282),IF(OR(AG282="nd",AG282="nd"),0,AG282),IF(OR(AH282="nd",AH282="nd"),0,AH282),IF(OR(AI282="nd",AI282="nd"),0,AI282),IF(OR(AJ282="nd",AJ282="nd"),0,AJ282)))</f>
        <v>0.57367966671305337</v>
      </c>
      <c r="AR282" s="117">
        <v>-1.447650509</v>
      </c>
      <c r="AS282" s="117">
        <v>0</v>
      </c>
      <c r="AT282" s="117">
        <v>0</v>
      </c>
      <c r="AU282" s="117">
        <v>-0.91710245099999999</v>
      </c>
      <c r="AV282" s="117">
        <v>-0.61292453800000002</v>
      </c>
      <c r="AW282" s="117">
        <v>-3.6357820999999999E-2</v>
      </c>
      <c r="AX282" s="117">
        <v>0.52389038799999998</v>
      </c>
      <c r="AY282" s="117">
        <v>0.86070531500000003</v>
      </c>
      <c r="AZ282" s="117">
        <v>0</v>
      </c>
      <c r="BA282" s="117">
        <v>0</v>
      </c>
      <c r="BB282" s="117">
        <v>1.691253374</v>
      </c>
      <c r="BC282" s="136" t="str">
        <f>IF(BG282="1","1 ",
IF(BG282="2a","0",
IF(BG282="2b","1 ",
IF(BG282="3a","-1 ",
IF(BG282="3b","0 ",
IF(BG282="3c","0",
IF(BG282="3d","-1 ",
IF(BG282="3e","1 ",
IF(BG282="4","1 ",
IF(BG282="5","1",
IF(BG282="6","-1 ",
IF(BG282="7","-1 ",
IF(BG282="8","0",
IF(BG282="9","-1",
IF(BG282="10a","-1 ",
IF(BG282="10b","0",
IF(BG282="11","1 ",
IF(BG282="12a","0",
IF(BG282="12b","-1 ","")))))))))))))))))))</f>
        <v>-1</v>
      </c>
      <c r="BD282" s="136" t="s">
        <v>178</v>
      </c>
      <c r="BE282" s="136" t="s">
        <v>518</v>
      </c>
      <c r="BF282" s="136" t="s">
        <v>956</v>
      </c>
      <c r="BG282" s="120" t="s">
        <v>678</v>
      </c>
      <c r="BH282" s="136" t="str">
        <f t="shared" si="145"/>
        <v>&lt;MTL</v>
      </c>
      <c r="BI282" s="136">
        <f t="shared" si="146"/>
        <v>-3.6357820999999999E-2</v>
      </c>
      <c r="BJ282" s="136" t="str">
        <f>IF(BG282="1","Nil",
IF(BG282="2a",(BB282-AR282)/2,
IF(BG282="2b","Nil",
IF(BG282="3a","Nil",
IF(BG282="3b",(AU282 -AR282)/2,
IF(BG282="3c",4,
IF(BG282="3d","Nil",
IF(BG282="3e","Nil",
IF(BG282="4","Nil",
IF(BG282="5","Nil",
IF(BG282="6","Nil",
IF(BG282="7","Nil",
IF(BG282="8",(BB282-AW282)/2,
IF(BG282="9","Nil",
IF(BG282="10a","Nil",
IF(BG282="10b",(AY282-AU282)/2,
IF(BG282="11","Nil",
IF(BG282="12a",(BB282-AR282)/2,
IF(BG282="12b","Nil","")))))))))))))))))))</f>
        <v>Nil</v>
      </c>
      <c r="BK282" s="136">
        <f>IF(BH282="HAT-LAT",0.27,
IF(BH282="HAT-MTL",0.09,
IF(BH282="MHHW-MLLW",0.27,IF(BH282="MLLW-LAT",0.27,
IF(BH282="(MLLW)-(MLLW-8)",0.4,
IF(BH282="&lt;HAT",0.18,
IF(BH282="&gt;MHHW",0.44,
IF(BH282="&gt;MTL",0.05,
IF(BH282="&lt;MTL",0.05,
IF(BH282="&gt;MLLW",0.4,
IF(BH282="&lt;MLLW",0.4,"Nil")))))))))))</f>
        <v>0.05</v>
      </c>
      <c r="BL282" s="136">
        <v>0.18550183930459599</v>
      </c>
      <c r="BM282" s="136" t="s">
        <v>175</v>
      </c>
      <c r="BN282" s="136" t="s">
        <v>175</v>
      </c>
      <c r="BO282" s="136">
        <v>0.19688879885798416</v>
      </c>
      <c r="BP282" s="137" t="s">
        <v>175</v>
      </c>
      <c r="BQ282" s="137" t="s">
        <v>175</v>
      </c>
      <c r="BR282" s="137" t="s">
        <v>175</v>
      </c>
      <c r="BS282" s="137" t="s">
        <v>175</v>
      </c>
      <c r="BT282" s="138">
        <f>AM282-BI282</f>
        <v>-6.0436421789999999</v>
      </c>
      <c r="BU282" s="138">
        <f>SQRT(SUMSQ(AP282,BJ282,IF(OR(BK282="nd",BK282="nd"),0,BK282),IF(OR(BL282="nd",BL282="nd"),0,BL282),IF(OR(BO282="nd",BO282="nd"),0,BO282)))</f>
        <v>0.63622676106961096</v>
      </c>
      <c r="BV282" s="138">
        <f>SQRT(SUMSQ(AP282,BJ282,IF(OR(BK282="nd",BK282="nd"),0,BK282),IF(OR(BL282="nd",BL282="nd"),0,BL282),IF(OR(BO282="nd",BO282="nd"),0,BO282)))</f>
        <v>0.63622676106961096</v>
      </c>
      <c r="BW282" s="53" t="s">
        <v>175</v>
      </c>
      <c r="BX282" s="53" t="s">
        <v>175</v>
      </c>
      <c r="BY282" s="53" t="s">
        <v>175</v>
      </c>
      <c r="BZ282" s="53" t="s">
        <v>175</v>
      </c>
      <c r="CA282" s="147">
        <v>1</v>
      </c>
      <c r="CB282" s="54">
        <v>0</v>
      </c>
    </row>
    <row r="283" spans="1:81">
      <c r="A283" s="123" t="s">
        <v>920</v>
      </c>
      <c r="B283" s="124" t="s">
        <v>522</v>
      </c>
      <c r="C283" s="148" t="s">
        <v>674</v>
      </c>
      <c r="D283" s="126" t="s">
        <v>743</v>
      </c>
      <c r="E283" s="127">
        <v>23.136111100000001</v>
      </c>
      <c r="F283" s="127">
        <v>112.6788889</v>
      </c>
      <c r="G283" s="128" t="s">
        <v>168</v>
      </c>
      <c r="H283" s="145">
        <v>7670</v>
      </c>
      <c r="I283" s="145">
        <v>30</v>
      </c>
      <c r="J283" s="129">
        <v>8449</v>
      </c>
      <c r="K283" s="129">
        <v>89</v>
      </c>
      <c r="L283" s="129">
        <v>47</v>
      </c>
      <c r="M283" s="149" t="s">
        <v>948</v>
      </c>
      <c r="N283" s="146" t="s">
        <v>528</v>
      </c>
      <c r="O283" s="149" t="s">
        <v>950</v>
      </c>
      <c r="P283" s="149" t="s">
        <v>532</v>
      </c>
      <c r="Q283" s="130" t="s">
        <v>172</v>
      </c>
      <c r="R283" s="131">
        <v>11.75</v>
      </c>
      <c r="S283" s="131" t="s">
        <v>175</v>
      </c>
      <c r="T283" s="130">
        <v>1</v>
      </c>
      <c r="U283" s="132" t="s">
        <v>173</v>
      </c>
      <c r="V283" s="133">
        <v>0.01</v>
      </c>
      <c r="W283" s="132" t="s">
        <v>174</v>
      </c>
      <c r="X283" s="133">
        <v>0.01</v>
      </c>
      <c r="Y283" s="133">
        <v>5.0000000000000001E-3</v>
      </c>
      <c r="Z283" s="133">
        <v>0.01</v>
      </c>
      <c r="AA283" s="133">
        <v>0.15</v>
      </c>
      <c r="AB283" s="133">
        <f>0.02*R283</f>
        <v>0.23500000000000001</v>
      </c>
      <c r="AC283" s="134">
        <v>0</v>
      </c>
      <c r="AD283" s="134">
        <v>0</v>
      </c>
      <c r="AE283" s="134">
        <v>0.5</v>
      </c>
      <c r="AF283" s="134">
        <v>0</v>
      </c>
      <c r="AG283" s="134">
        <v>0.1</v>
      </c>
      <c r="AH283" s="134">
        <v>0</v>
      </c>
      <c r="AI283" s="134">
        <v>0</v>
      </c>
      <c r="AJ283" s="134">
        <v>0</v>
      </c>
      <c r="AK283" s="134" t="s">
        <v>175</v>
      </c>
      <c r="AL283" s="122" t="s">
        <v>175</v>
      </c>
      <c r="AM283" s="122">
        <v>-7.05</v>
      </c>
      <c r="AN283" s="134" t="s">
        <v>176</v>
      </c>
      <c r="AO283" s="122" t="s">
        <v>177</v>
      </c>
      <c r="AP283" s="135">
        <f>SQRT(SUMSQ(IF(OR(Y283="nd",Y283="nd"),0,Y283),IF(OR(Z283="nd",Z283="nd"),0,Z283),IF(OR(AA283="nd",AA283="nd"),0,AA283),IF(OR(AB283="nd",AB283="nd"),0,AB283),IF(OR(AC283="nd",AC283="nd"),0,AC283),IF(OR(AD283="nd",AD283="nd"),0,AD283),IF(OR(AE283="nd",AE283="nd"),0,AE283),IF(OR(AF283="nd",AF283="nd"),0,AF283),IF(OR(AG283="nd",AG283="nd"),0,AG283),IF(OR(AH283="nd",AH283="nd"),0,AH283),IF(OR(AI283="nd",AI283="nd"),0,AI283),IF(OR(AJ283="nd",AJ283="nd"),0,AJ283)))</f>
        <v>0.58124865591242447</v>
      </c>
      <c r="AQ283" s="135">
        <f>SQRT(SUMSQ(IF(OR(Y283="nd",Y283="nd"),0,Y283),IF(OR(Z283="nd",Z283="nd"),0,Z283),IF(OR(AA283="nd",AA283="nd"),0,AA283),IF(OR(AB283="nd",AB283="nd"),0,AB283),IF(OR(AC283="nd",AC283="nd"),0,AC283),IF(OR(AD283="nd",AD283="nd"),0,AD283),IF(OR(AE283="nd",AE283="nd"),0,AE283),IF(OR(AF283="nd",AF283="nd"),0,AF283),IF(OR(AG283="nd",AG283="nd"),0,AG283),IF(OR(AH283="nd",AH283="nd"),0,AH283),IF(OR(AI283="nd",AI283="nd"),0,AI283),IF(OR(AJ283="nd",AJ283="nd"),0,AJ283)))</f>
        <v>0.58124865591242447</v>
      </c>
      <c r="AR283" s="117">
        <v>-1.447650509</v>
      </c>
      <c r="AS283" s="117">
        <v>0</v>
      </c>
      <c r="AT283" s="117">
        <v>0</v>
      </c>
      <c r="AU283" s="117">
        <v>-0.91710245099999999</v>
      </c>
      <c r="AV283" s="117">
        <v>-0.61292453800000002</v>
      </c>
      <c r="AW283" s="117">
        <v>-3.6357820999999999E-2</v>
      </c>
      <c r="AX283" s="117">
        <v>0.52389038799999998</v>
      </c>
      <c r="AY283" s="117">
        <v>0.86070531500000003</v>
      </c>
      <c r="AZ283" s="117">
        <v>0</v>
      </c>
      <c r="BA283" s="117">
        <v>0</v>
      </c>
      <c r="BB283" s="117">
        <v>1.691253374</v>
      </c>
      <c r="BC283" s="136" t="str">
        <f>IF(BG283="1","1 ",
IF(BG283="2a","0",
IF(BG283="2b","1 ",
IF(BG283="3a","-1 ",
IF(BG283="3b","0 ",
IF(BG283="3c","0",
IF(BG283="3d","-1 ",
IF(BG283="3e","1 ",
IF(BG283="4","1 ",
IF(BG283="5","1",
IF(BG283="6","-1 ",
IF(BG283="7","-1 ",
IF(BG283="8","0",
IF(BG283="9","-1",
IF(BG283="10a","-1 ",
IF(BG283="10b","0",
IF(BG283="11","1 ",
IF(BG283="12a","0",
IF(BG283="12b","-1 ","")))))))))))))))))))</f>
        <v>0</v>
      </c>
      <c r="BD283" s="136" t="s">
        <v>178</v>
      </c>
      <c r="BE283" s="136" t="s">
        <v>689</v>
      </c>
      <c r="BF283" s="136" t="s">
        <v>527</v>
      </c>
      <c r="BG283" s="120" t="s">
        <v>657</v>
      </c>
      <c r="BH283" s="136" t="str">
        <f t="shared" si="145"/>
        <v>HAT-LAT</v>
      </c>
      <c r="BI283" s="136">
        <f t="shared" si="146"/>
        <v>0.12180143249999997</v>
      </c>
      <c r="BJ283" s="136">
        <f>IF(BG283="1","Nil",
IF(BG283="2a",(BB283-AR283)/2,
IF(BG283="2b","Nil",
IF(BG283="3a","Nil",
IF(BG283="3b",(AU283 -AR283)/2,
IF(BG283="3c",4,
IF(BG283="3d","Nil",
IF(BG283="3e","Nil",
IF(BG283="4","Nil",
IF(BG283="5","Nil",
IF(BG283="6","Nil",
IF(BG283="7","Nil",
IF(BG283="8",(BB283-AW283)/2,
IF(BG283="9","Nil",
IF(BG283="10a","Nil",
IF(BG283="10b",(AY283-AU283)/2,
IF(BG283="11","Nil",
IF(BG283="12a",(BB283-AR283)/2,
IF(BG283="12b","Nil","")))))))))))))))))))</f>
        <v>1.5694519415000001</v>
      </c>
      <c r="BK283" s="136">
        <f>IF(BH283="HAT-LAT",0.27,
IF(BH283="HAT-MTL",0.09,
IF(BH283="MHHW-MLLW",0.27,IF(BH283="MLLW-LAT",0.27,
IF(BH283="(MLLW)-(MLLW-8)",0.4,
IF(BH283="&lt;HAT",0.18,
IF(BH283="&gt;MHHW",0.44,
IF(BH283="&gt;MTL",0.05,
IF(BH283="&lt;MTL",0.05,
IF(BH283="&gt;MLLW",0.4,
IF(BH283="&lt;MLLW",0.4,"Nil")))))))))))</f>
        <v>0.27</v>
      </c>
      <c r="BL283" s="136">
        <v>0.18550183930459641</v>
      </c>
      <c r="BM283" s="136" t="s">
        <v>175</v>
      </c>
      <c r="BN283" s="136" t="s">
        <v>175</v>
      </c>
      <c r="BO283" s="136">
        <v>0.10401039046992588</v>
      </c>
      <c r="BP283" s="137" t="s">
        <v>175</v>
      </c>
      <c r="BQ283" s="137" t="s">
        <v>175</v>
      </c>
      <c r="BR283" s="137" t="s">
        <v>175</v>
      </c>
      <c r="BS283" s="137" t="s">
        <v>175</v>
      </c>
      <c r="BT283" s="138">
        <f>AM283-BI283</f>
        <v>-7.1718014324999997</v>
      </c>
      <c r="BU283" s="138">
        <f>SQRT(SUMSQ(AP283,BJ283,IF(OR(BK283="nd",BK283="nd"),0,BK283),IF(OR(BL283="nd",BL283="nd"),0,BL283),IF(OR(BO283="nd",BO283="nd"),0,BO283)))</f>
        <v>1.7085545031953808</v>
      </c>
      <c r="BV283" s="138">
        <f>SQRT(SUMSQ(AP283,BJ283,IF(OR(BK283="nd",BK283="nd"),0,BK283),IF(OR(BL283="nd",BL283="nd"),0,BL283),IF(OR(BO283="nd",BO283="nd"),0,BO283)))</f>
        <v>1.7085545031953808</v>
      </c>
      <c r="BW283" s="53" t="s">
        <v>175</v>
      </c>
      <c r="BX283" s="53" t="s">
        <v>175</v>
      </c>
      <c r="BY283" s="53" t="s">
        <v>175</v>
      </c>
      <c r="BZ283" s="53" t="s">
        <v>175</v>
      </c>
      <c r="CA283" s="147">
        <v>1</v>
      </c>
      <c r="CB283" s="54">
        <v>0</v>
      </c>
    </row>
    <row r="284" spans="1:81" ht="17" customHeight="1">
      <c r="A284" s="123" t="s">
        <v>915</v>
      </c>
      <c r="B284" s="124" t="s">
        <v>522</v>
      </c>
      <c r="C284" s="148" t="s">
        <v>674</v>
      </c>
      <c r="D284" s="126" t="s">
        <v>743</v>
      </c>
      <c r="E284" s="127">
        <v>23.136111100000001</v>
      </c>
      <c r="F284" s="127">
        <v>112.6788889</v>
      </c>
      <c r="G284" s="128" t="s">
        <v>168</v>
      </c>
      <c r="H284" s="145">
        <v>7930</v>
      </c>
      <c r="I284" s="145">
        <v>30</v>
      </c>
      <c r="J284" s="129">
        <v>8760</v>
      </c>
      <c r="K284" s="129">
        <v>222</v>
      </c>
      <c r="L284" s="129">
        <v>154</v>
      </c>
      <c r="M284" s="149" t="s">
        <v>948</v>
      </c>
      <c r="N284" s="146" t="s">
        <v>528</v>
      </c>
      <c r="O284" s="149" t="s">
        <v>950</v>
      </c>
      <c r="P284" s="149" t="s">
        <v>532</v>
      </c>
      <c r="Q284" s="130" t="s">
        <v>172</v>
      </c>
      <c r="R284" s="131">
        <v>12</v>
      </c>
      <c r="S284" s="131" t="s">
        <v>175</v>
      </c>
      <c r="T284" s="130">
        <v>1</v>
      </c>
      <c r="U284" s="132" t="s">
        <v>173</v>
      </c>
      <c r="V284" s="133">
        <v>0.01</v>
      </c>
      <c r="W284" s="132" t="s">
        <v>174</v>
      </c>
      <c r="X284" s="133">
        <v>0.01</v>
      </c>
      <c r="Y284" s="133">
        <v>5.0000000000000001E-3</v>
      </c>
      <c r="Z284" s="133">
        <v>0.01</v>
      </c>
      <c r="AA284" s="133">
        <v>0.15</v>
      </c>
      <c r="AB284" s="133">
        <f t="shared" si="139"/>
        <v>0.24</v>
      </c>
      <c r="AC284" s="134">
        <v>0</v>
      </c>
      <c r="AD284" s="134">
        <v>0</v>
      </c>
      <c r="AE284" s="134">
        <v>0.5</v>
      </c>
      <c r="AF284" s="134">
        <v>0</v>
      </c>
      <c r="AG284" s="134">
        <v>0.1</v>
      </c>
      <c r="AH284" s="134">
        <v>0</v>
      </c>
      <c r="AI284" s="134">
        <v>0</v>
      </c>
      <c r="AJ284" s="134">
        <v>0</v>
      </c>
      <c r="AK284" s="134" t="s">
        <v>175</v>
      </c>
      <c r="AL284" s="122" t="s">
        <v>175</v>
      </c>
      <c r="AM284" s="122">
        <v>-7.3</v>
      </c>
      <c r="AN284" s="134" t="s">
        <v>176</v>
      </c>
      <c r="AO284" s="122" t="s">
        <v>177</v>
      </c>
      <c r="AP284" s="135">
        <f t="shared" si="144"/>
        <v>0.58328809348382893</v>
      </c>
      <c r="AQ284" s="135">
        <f t="shared" si="137"/>
        <v>0.58328809348382893</v>
      </c>
      <c r="AR284" s="117">
        <v>-1.447650509</v>
      </c>
      <c r="AS284" s="117">
        <v>0</v>
      </c>
      <c r="AT284" s="117">
        <v>0</v>
      </c>
      <c r="AU284" s="117">
        <v>-0.91710245099999999</v>
      </c>
      <c r="AV284" s="117">
        <v>-0.61292453800000002</v>
      </c>
      <c r="AW284" s="117">
        <v>-3.6357820999999999E-2</v>
      </c>
      <c r="AX284" s="117">
        <v>0.52389038799999998</v>
      </c>
      <c r="AY284" s="117">
        <v>0.86070531500000003</v>
      </c>
      <c r="AZ284" s="117">
        <v>0</v>
      </c>
      <c r="BA284" s="117">
        <v>0</v>
      </c>
      <c r="BB284" s="117">
        <v>1.691253374</v>
      </c>
      <c r="BC284" s="136" t="str">
        <f t="shared" si="140"/>
        <v>0</v>
      </c>
      <c r="BD284" s="136" t="s">
        <v>178</v>
      </c>
      <c r="BE284" s="136" t="s">
        <v>689</v>
      </c>
      <c r="BF284" s="136" t="s">
        <v>527</v>
      </c>
      <c r="BG284" s="120" t="s">
        <v>657</v>
      </c>
      <c r="BH284" s="136" t="str">
        <f t="shared" si="145"/>
        <v>HAT-LAT</v>
      </c>
      <c r="BI284" s="136">
        <f t="shared" si="146"/>
        <v>0.12180143249999997</v>
      </c>
      <c r="BJ284" s="136">
        <f t="shared" si="147"/>
        <v>1.5694519415000001</v>
      </c>
      <c r="BK284" s="136">
        <f t="shared" si="148"/>
        <v>0.27</v>
      </c>
      <c r="BL284" s="136">
        <v>0.18550183930459641</v>
      </c>
      <c r="BM284" s="136" t="s">
        <v>175</v>
      </c>
      <c r="BN284" s="136" t="s">
        <v>175</v>
      </c>
      <c r="BO284" s="136">
        <v>0.12862286661518718</v>
      </c>
      <c r="BP284" s="137" t="s">
        <v>175</v>
      </c>
      <c r="BQ284" s="137" t="s">
        <v>175</v>
      </c>
      <c r="BR284" s="137" t="s">
        <v>175</v>
      </c>
      <c r="BS284" s="137" t="s">
        <v>175</v>
      </c>
      <c r="BT284" s="138">
        <f t="shared" si="141"/>
        <v>-7.4218014324999997</v>
      </c>
      <c r="BU284" s="138">
        <f t="shared" si="142"/>
        <v>1.7109234848115846</v>
      </c>
      <c r="BV284" s="138">
        <f t="shared" si="143"/>
        <v>1.7109234848115846</v>
      </c>
      <c r="BW284" s="53" t="s">
        <v>175</v>
      </c>
      <c r="BX284" s="53" t="s">
        <v>175</v>
      </c>
      <c r="BY284" s="53" t="s">
        <v>175</v>
      </c>
      <c r="BZ284" s="53" t="s">
        <v>175</v>
      </c>
      <c r="CA284" s="147">
        <v>1</v>
      </c>
      <c r="CB284" s="54">
        <v>0</v>
      </c>
    </row>
    <row r="285" spans="1:81" ht="17" customHeight="1">
      <c r="A285" s="123" t="s">
        <v>921</v>
      </c>
      <c r="B285" s="124" t="s">
        <v>522</v>
      </c>
      <c r="C285" s="148" t="s">
        <v>674</v>
      </c>
      <c r="D285" s="126" t="s">
        <v>743</v>
      </c>
      <c r="E285" s="127">
        <v>23.1477778</v>
      </c>
      <c r="F285" s="127">
        <v>112.67805559999999</v>
      </c>
      <c r="G285" s="128" t="s">
        <v>168</v>
      </c>
      <c r="H285" s="145">
        <v>5870</v>
      </c>
      <c r="I285" s="145">
        <v>40</v>
      </c>
      <c r="J285" s="129">
        <v>6694</v>
      </c>
      <c r="K285" s="129">
        <v>94</v>
      </c>
      <c r="L285" s="129">
        <v>130</v>
      </c>
      <c r="M285" s="149" t="s">
        <v>958</v>
      </c>
      <c r="N285" s="146" t="s">
        <v>528</v>
      </c>
      <c r="O285" s="130" t="s">
        <v>959</v>
      </c>
      <c r="P285" s="149" t="s">
        <v>957</v>
      </c>
      <c r="Q285" s="130" t="s">
        <v>377</v>
      </c>
      <c r="R285" s="131">
        <v>3.48</v>
      </c>
      <c r="S285" s="131" t="s">
        <v>175</v>
      </c>
      <c r="T285" s="130">
        <v>1</v>
      </c>
      <c r="U285" s="132" t="s">
        <v>173</v>
      </c>
      <c r="V285" s="133">
        <v>0.01</v>
      </c>
      <c r="W285" s="132" t="s">
        <v>174</v>
      </c>
      <c r="X285" s="133">
        <v>0.01</v>
      </c>
      <c r="Y285" s="133">
        <v>5.0000000000000001E-3</v>
      </c>
      <c r="Z285" s="133">
        <v>0.01</v>
      </c>
      <c r="AA285" s="133">
        <v>0.15</v>
      </c>
      <c r="AB285" s="133">
        <f t="shared" si="139"/>
        <v>6.9599999999999995E-2</v>
      </c>
      <c r="AC285" s="134">
        <v>0</v>
      </c>
      <c r="AD285" s="134">
        <v>0</v>
      </c>
      <c r="AE285" s="134">
        <v>0.5</v>
      </c>
      <c r="AF285" s="134">
        <v>0</v>
      </c>
      <c r="AG285" s="134">
        <v>0.1</v>
      </c>
      <c r="AH285" s="134">
        <v>0</v>
      </c>
      <c r="AI285" s="134">
        <v>0</v>
      </c>
      <c r="AJ285" s="134">
        <v>0</v>
      </c>
      <c r="AK285" s="134" t="s">
        <v>175</v>
      </c>
      <c r="AL285" s="122" t="s">
        <v>175</v>
      </c>
      <c r="AM285" s="122">
        <v>0.16</v>
      </c>
      <c r="AN285" s="134" t="s">
        <v>176</v>
      </c>
      <c r="AO285" s="122" t="s">
        <v>177</v>
      </c>
      <c r="AP285" s="135">
        <f t="shared" si="144"/>
        <v>0.5361615055186264</v>
      </c>
      <c r="AQ285" s="135">
        <f t="shared" si="137"/>
        <v>0.5361615055186264</v>
      </c>
      <c r="AR285" s="117">
        <v>-1.447959904</v>
      </c>
      <c r="AS285" s="117">
        <v>0</v>
      </c>
      <c r="AT285" s="117">
        <v>0</v>
      </c>
      <c r="AU285" s="117">
        <v>-0.91761145499999996</v>
      </c>
      <c r="AV285" s="117">
        <v>-0.61313412899999997</v>
      </c>
      <c r="AW285" s="117">
        <v>-3.6455131000000002E-2</v>
      </c>
      <c r="AX285" s="117">
        <v>0.52393031000000001</v>
      </c>
      <c r="AY285" s="117">
        <v>0.86099474899999995</v>
      </c>
      <c r="AZ285" s="117">
        <v>0</v>
      </c>
      <c r="BA285" s="117">
        <v>0</v>
      </c>
      <c r="BB285" s="117">
        <v>1.691343198</v>
      </c>
      <c r="BC285" s="136" t="str">
        <f t="shared" si="140"/>
        <v>-1</v>
      </c>
      <c r="BD285" s="136" t="s">
        <v>178</v>
      </c>
      <c r="BE285" s="136" t="s">
        <v>696</v>
      </c>
      <c r="BF285" s="136" t="s">
        <v>527</v>
      </c>
      <c r="BG285" s="120" t="s">
        <v>678</v>
      </c>
      <c r="BH285" s="136" t="str">
        <f t="shared" si="145"/>
        <v>&lt;MTL</v>
      </c>
      <c r="BI285" s="136">
        <f t="shared" si="146"/>
        <v>-3.6455131000000002E-2</v>
      </c>
      <c r="BJ285" s="136" t="str">
        <f t="shared" si="147"/>
        <v>Nil</v>
      </c>
      <c r="BK285" s="136">
        <f t="shared" si="148"/>
        <v>0.05</v>
      </c>
      <c r="BL285" s="136" t="s">
        <v>736</v>
      </c>
      <c r="BM285" s="136" t="s">
        <v>175</v>
      </c>
      <c r="BN285" s="136" t="s">
        <v>175</v>
      </c>
      <c r="BO285" s="136" t="s">
        <v>736</v>
      </c>
      <c r="BP285" s="137" t="s">
        <v>175</v>
      </c>
      <c r="BQ285" s="137" t="s">
        <v>175</v>
      </c>
      <c r="BR285" s="137" t="s">
        <v>175</v>
      </c>
      <c r="BS285" s="137" t="s">
        <v>175</v>
      </c>
      <c r="BT285" s="138">
        <f t="shared" si="141"/>
        <v>0.19645513100000001</v>
      </c>
      <c r="BU285" s="138">
        <f t="shared" si="142"/>
        <v>0.53848784573098774</v>
      </c>
      <c r="BV285" s="138">
        <f t="shared" si="143"/>
        <v>0.53848784573098774</v>
      </c>
      <c r="BW285" s="53" t="s">
        <v>175</v>
      </c>
      <c r="BX285" s="53" t="s">
        <v>175</v>
      </c>
      <c r="BY285" s="53" t="s">
        <v>175</v>
      </c>
      <c r="BZ285" s="53" t="s">
        <v>175</v>
      </c>
      <c r="CA285" s="147">
        <v>1</v>
      </c>
      <c r="CB285" s="54">
        <v>0</v>
      </c>
    </row>
    <row r="286" spans="1:81">
      <c r="A286" s="123" t="s">
        <v>922</v>
      </c>
      <c r="B286" s="124" t="s">
        <v>522</v>
      </c>
      <c r="C286" s="148" t="s">
        <v>674</v>
      </c>
      <c r="D286" s="126" t="s">
        <v>743</v>
      </c>
      <c r="E286" s="127">
        <v>23.1477778</v>
      </c>
      <c r="F286" s="127">
        <v>112.67805559999999</v>
      </c>
      <c r="G286" s="128" t="s">
        <v>168</v>
      </c>
      <c r="H286" s="145">
        <v>7420</v>
      </c>
      <c r="I286" s="145">
        <v>30</v>
      </c>
      <c r="J286" s="129">
        <v>8262</v>
      </c>
      <c r="K286" s="129">
        <v>70</v>
      </c>
      <c r="L286" s="129">
        <v>82</v>
      </c>
      <c r="M286" s="149" t="s">
        <v>976</v>
      </c>
      <c r="N286" s="146" t="s">
        <v>528</v>
      </c>
      <c r="O286" s="149" t="s">
        <v>958</v>
      </c>
      <c r="P286" s="149" t="s">
        <v>532</v>
      </c>
      <c r="Q286" s="130" t="s">
        <v>377</v>
      </c>
      <c r="R286" s="131">
        <v>7.87</v>
      </c>
      <c r="S286" s="131" t="s">
        <v>175</v>
      </c>
      <c r="T286" s="130">
        <v>1</v>
      </c>
      <c r="U286" s="132" t="s">
        <v>173</v>
      </c>
      <c r="V286" s="133">
        <v>0.01</v>
      </c>
      <c r="W286" s="132" t="s">
        <v>174</v>
      </c>
      <c r="X286" s="133">
        <v>0.01</v>
      </c>
      <c r="Y286" s="133">
        <v>5.0000000000000001E-3</v>
      </c>
      <c r="Z286" s="133">
        <v>0.01</v>
      </c>
      <c r="AA286" s="133">
        <v>0.15</v>
      </c>
      <c r="AB286" s="133">
        <f t="shared" si="139"/>
        <v>0.15740000000000001</v>
      </c>
      <c r="AC286" s="134">
        <v>0</v>
      </c>
      <c r="AD286" s="134">
        <v>0</v>
      </c>
      <c r="AE286" s="134">
        <v>0.5</v>
      </c>
      <c r="AF286" s="134">
        <v>0</v>
      </c>
      <c r="AG286" s="134">
        <v>0.1</v>
      </c>
      <c r="AH286" s="134">
        <v>0</v>
      </c>
      <c r="AI286" s="134">
        <v>0</v>
      </c>
      <c r="AJ286" s="134">
        <v>0</v>
      </c>
      <c r="AK286" s="134" t="s">
        <v>175</v>
      </c>
      <c r="AL286" s="122" t="s">
        <v>175</v>
      </c>
      <c r="AM286" s="122">
        <v>-4.2300000000000004</v>
      </c>
      <c r="AN286" s="134" t="s">
        <v>176</v>
      </c>
      <c r="AO286" s="122" t="s">
        <v>177</v>
      </c>
      <c r="AP286" s="135">
        <f t="shared" si="144"/>
        <v>0.55443643458921421</v>
      </c>
      <c r="AQ286" s="135">
        <f t="shared" si="137"/>
        <v>0.55443643458921421</v>
      </c>
      <c r="AR286" s="117">
        <v>-1.447959904</v>
      </c>
      <c r="AS286" s="117">
        <v>0</v>
      </c>
      <c r="AT286" s="117">
        <v>0</v>
      </c>
      <c r="AU286" s="117">
        <v>-0.91761145499999996</v>
      </c>
      <c r="AV286" s="117">
        <v>-0.61313412899999997</v>
      </c>
      <c r="AW286" s="117">
        <v>-3.6455131000000002E-2</v>
      </c>
      <c r="AX286" s="117">
        <v>0.52393031000000001</v>
      </c>
      <c r="AY286" s="117">
        <v>0.86099474899999995</v>
      </c>
      <c r="AZ286" s="117">
        <v>0</v>
      </c>
      <c r="BA286" s="117">
        <v>0</v>
      </c>
      <c r="BB286" s="117">
        <v>1.691343198</v>
      </c>
      <c r="BC286" s="136" t="str">
        <f t="shared" si="140"/>
        <v>-1</v>
      </c>
      <c r="BD286" s="136" t="s">
        <v>178</v>
      </c>
      <c r="BE286" s="136" t="s">
        <v>696</v>
      </c>
      <c r="BF286" s="136" t="s">
        <v>527</v>
      </c>
      <c r="BG286" s="120" t="s">
        <v>678</v>
      </c>
      <c r="BH286" s="136" t="str">
        <f t="shared" si="145"/>
        <v>&lt;MTL</v>
      </c>
      <c r="BI286" s="136">
        <f t="shared" si="146"/>
        <v>-3.6455131000000002E-2</v>
      </c>
      <c r="BJ286" s="136" t="str">
        <f t="shared" si="147"/>
        <v>Nil</v>
      </c>
      <c r="BK286" s="136">
        <f t="shared" si="148"/>
        <v>0.05</v>
      </c>
      <c r="BL286" s="136" t="s">
        <v>736</v>
      </c>
      <c r="BM286" s="136" t="s">
        <v>175</v>
      </c>
      <c r="BN286" s="136" t="s">
        <v>175</v>
      </c>
      <c r="BO286" s="136" t="s">
        <v>736</v>
      </c>
      <c r="BP286" s="137" t="s">
        <v>175</v>
      </c>
      <c r="BQ286" s="137" t="s">
        <v>175</v>
      </c>
      <c r="BR286" s="137" t="s">
        <v>175</v>
      </c>
      <c r="BS286" s="137" t="s">
        <v>175</v>
      </c>
      <c r="BT286" s="138">
        <f t="shared" si="141"/>
        <v>-4.1935448690000001</v>
      </c>
      <c r="BU286" s="138">
        <f t="shared" si="142"/>
        <v>0.55668641082749637</v>
      </c>
      <c r="BV286" s="138">
        <f t="shared" si="143"/>
        <v>0.55668641082749637</v>
      </c>
      <c r="BW286" s="53" t="s">
        <v>175</v>
      </c>
      <c r="BX286" s="53" t="s">
        <v>175</v>
      </c>
      <c r="BY286" s="53" t="s">
        <v>175</v>
      </c>
      <c r="BZ286" s="53" t="s">
        <v>175</v>
      </c>
      <c r="CA286" s="147">
        <v>1</v>
      </c>
      <c r="CB286" s="54">
        <v>0</v>
      </c>
    </row>
    <row r="287" spans="1:81">
      <c r="A287" s="123" t="s">
        <v>549</v>
      </c>
      <c r="B287" s="124" t="s">
        <v>960</v>
      </c>
      <c r="C287" s="148" t="s">
        <v>674</v>
      </c>
      <c r="D287" s="126" t="s">
        <v>743</v>
      </c>
      <c r="E287" s="127">
        <v>23.26042</v>
      </c>
      <c r="F287" s="127">
        <v>112.39035</v>
      </c>
      <c r="G287" s="128" t="s">
        <v>168</v>
      </c>
      <c r="H287" s="145">
        <v>2634</v>
      </c>
      <c r="I287" s="145">
        <v>32</v>
      </c>
      <c r="J287" s="129">
        <v>2753</v>
      </c>
      <c r="K287" s="129">
        <v>88</v>
      </c>
      <c r="L287" s="129">
        <v>29</v>
      </c>
      <c r="M287" s="149" t="s">
        <v>550</v>
      </c>
      <c r="N287" s="146" t="s">
        <v>528</v>
      </c>
      <c r="O287" s="149" t="s">
        <v>551</v>
      </c>
      <c r="P287" s="130" t="s">
        <v>552</v>
      </c>
      <c r="Q287" s="130" t="s">
        <v>172</v>
      </c>
      <c r="R287" s="131">
        <v>2.0099999999999998</v>
      </c>
      <c r="S287" s="131" t="s">
        <v>175</v>
      </c>
      <c r="T287" s="130">
        <v>1</v>
      </c>
      <c r="U287" s="132" t="s">
        <v>173</v>
      </c>
      <c r="V287" s="133">
        <v>0.04</v>
      </c>
      <c r="W287" s="132" t="s">
        <v>174</v>
      </c>
      <c r="X287" s="133">
        <v>0.04</v>
      </c>
      <c r="Y287" s="133">
        <v>0.02</v>
      </c>
      <c r="Z287" s="133">
        <v>0.01</v>
      </c>
      <c r="AA287" s="133">
        <v>0.15</v>
      </c>
      <c r="AB287" s="133">
        <f>0.02*R287</f>
        <v>4.02E-2</v>
      </c>
      <c r="AC287" s="134">
        <v>0</v>
      </c>
      <c r="AD287" s="134">
        <v>0</v>
      </c>
      <c r="AE287" s="134">
        <v>0.5</v>
      </c>
      <c r="AF287" s="134">
        <v>0</v>
      </c>
      <c r="AG287" s="134">
        <v>0.1</v>
      </c>
      <c r="AH287" s="134">
        <v>0</v>
      </c>
      <c r="AI287" s="134">
        <v>0</v>
      </c>
      <c r="AJ287" s="134">
        <v>0</v>
      </c>
      <c r="AK287" s="134" t="s">
        <v>175</v>
      </c>
      <c r="AL287" s="122" t="s">
        <v>175</v>
      </c>
      <c r="AM287" s="122">
        <v>7.99</v>
      </c>
      <c r="AN287" s="134" t="s">
        <v>176</v>
      </c>
      <c r="AO287" s="122" t="s">
        <v>177</v>
      </c>
      <c r="AP287" s="135">
        <f t="shared" si="144"/>
        <v>0.53349417991202119</v>
      </c>
      <c r="AQ287" s="135">
        <f t="shared" si="137"/>
        <v>0.53349417991202119</v>
      </c>
      <c r="AR287" s="117">
        <v>-1.462728161</v>
      </c>
      <c r="AS287" s="117">
        <v>0</v>
      </c>
      <c r="AT287" s="117">
        <v>0</v>
      </c>
      <c r="AU287" s="117">
        <v>-0.94190761999999995</v>
      </c>
      <c r="AV287" s="117">
        <v>-0.62313843199999996</v>
      </c>
      <c r="AW287" s="117">
        <v>-4.1099985999999998E-2</v>
      </c>
      <c r="AX287" s="117">
        <v>0.52583589200000003</v>
      </c>
      <c r="AY287" s="117">
        <v>0.874810215</v>
      </c>
      <c r="AZ287" s="117">
        <v>0</v>
      </c>
      <c r="BA287" s="117">
        <v>0</v>
      </c>
      <c r="BB287" s="117">
        <v>1.695630757</v>
      </c>
      <c r="BC287" s="136" t="str">
        <f t="shared" si="140"/>
        <v>1</v>
      </c>
      <c r="BD287" s="136" t="s">
        <v>178</v>
      </c>
      <c r="BE287" s="136" t="s">
        <v>697</v>
      </c>
      <c r="BF287" s="136" t="s">
        <v>698</v>
      </c>
      <c r="BG287" s="120" t="s">
        <v>660</v>
      </c>
      <c r="BH287" s="136" t="str">
        <f t="shared" si="145"/>
        <v>&gt;MTL</v>
      </c>
      <c r="BI287" s="136">
        <f t="shared" si="146"/>
        <v>-4.1099985999999998E-2</v>
      </c>
      <c r="BJ287" s="136" t="str">
        <f t="shared" si="147"/>
        <v>Nil</v>
      </c>
      <c r="BK287" s="136">
        <f t="shared" si="148"/>
        <v>0.05</v>
      </c>
      <c r="BL287" s="136" t="s">
        <v>736</v>
      </c>
      <c r="BM287" s="136" t="s">
        <v>175</v>
      </c>
      <c r="BN287" s="136" t="s">
        <v>175</v>
      </c>
      <c r="BO287" s="136" t="s">
        <v>736</v>
      </c>
      <c r="BP287" s="137" t="s">
        <v>175</v>
      </c>
      <c r="BQ287" s="137" t="s">
        <v>175</v>
      </c>
      <c r="BR287" s="137" t="s">
        <v>175</v>
      </c>
      <c r="BS287" s="137" t="s">
        <v>175</v>
      </c>
      <c r="BT287" s="138">
        <f t="shared" si="141"/>
        <v>8.031099986000001</v>
      </c>
      <c r="BU287" s="138">
        <f t="shared" si="142"/>
        <v>0.53583210056882558</v>
      </c>
      <c r="BV287" s="138">
        <f t="shared" si="143"/>
        <v>0.53583210056882558</v>
      </c>
      <c r="BW287" s="53" t="s">
        <v>175</v>
      </c>
      <c r="BX287" s="53" t="s">
        <v>175</v>
      </c>
      <c r="BY287" s="53" t="s">
        <v>175</v>
      </c>
      <c r="BZ287" s="53" t="s">
        <v>175</v>
      </c>
      <c r="CA287" s="147">
        <v>1</v>
      </c>
      <c r="CB287" s="54">
        <v>0</v>
      </c>
    </row>
    <row r="288" spans="1:81" ht="17" customHeight="1">
      <c r="A288" s="123" t="s">
        <v>553</v>
      </c>
      <c r="B288" s="124" t="s">
        <v>960</v>
      </c>
      <c r="C288" s="148" t="s">
        <v>674</v>
      </c>
      <c r="D288" s="126" t="s">
        <v>743</v>
      </c>
      <c r="E288" s="127">
        <v>23.26042</v>
      </c>
      <c r="F288" s="127">
        <v>112.39035</v>
      </c>
      <c r="G288" s="128" t="s">
        <v>168</v>
      </c>
      <c r="H288" s="145">
        <v>3305</v>
      </c>
      <c r="I288" s="145">
        <v>29</v>
      </c>
      <c r="J288" s="129">
        <v>3520</v>
      </c>
      <c r="K288" s="129">
        <v>56</v>
      </c>
      <c r="L288" s="129">
        <v>67</v>
      </c>
      <c r="M288" s="149" t="s">
        <v>550</v>
      </c>
      <c r="N288" s="146" t="s">
        <v>528</v>
      </c>
      <c r="O288" s="149" t="s">
        <v>551</v>
      </c>
      <c r="P288" s="130" t="s">
        <v>552</v>
      </c>
      <c r="Q288" s="130" t="s">
        <v>172</v>
      </c>
      <c r="R288" s="131">
        <v>2.21</v>
      </c>
      <c r="S288" s="131" t="s">
        <v>175</v>
      </c>
      <c r="T288" s="130">
        <v>1</v>
      </c>
      <c r="U288" s="132" t="s">
        <v>173</v>
      </c>
      <c r="V288" s="133">
        <v>0.05</v>
      </c>
      <c r="W288" s="132" t="s">
        <v>174</v>
      </c>
      <c r="X288" s="133">
        <v>0.05</v>
      </c>
      <c r="Y288" s="133">
        <v>2.5000000000000001E-2</v>
      </c>
      <c r="Z288" s="133">
        <v>0.01</v>
      </c>
      <c r="AA288" s="133">
        <v>0.15</v>
      </c>
      <c r="AB288" s="133">
        <f t="shared" ref="AB288:AB294" si="149">0.02*R288</f>
        <v>4.4200000000000003E-2</v>
      </c>
      <c r="AC288" s="134">
        <v>0</v>
      </c>
      <c r="AD288" s="134">
        <v>0</v>
      </c>
      <c r="AE288" s="134">
        <v>0.5</v>
      </c>
      <c r="AF288" s="134">
        <v>0</v>
      </c>
      <c r="AG288" s="134">
        <v>0.1</v>
      </c>
      <c r="AH288" s="134">
        <v>0</v>
      </c>
      <c r="AI288" s="134">
        <v>0</v>
      </c>
      <c r="AJ288" s="134">
        <v>0</v>
      </c>
      <c r="AK288" s="134" t="s">
        <v>175</v>
      </c>
      <c r="AL288" s="122" t="s">
        <v>175</v>
      </c>
      <c r="AM288" s="122">
        <v>7.79</v>
      </c>
      <c r="AN288" s="134" t="s">
        <v>176</v>
      </c>
      <c r="AO288" s="122" t="s">
        <v>177</v>
      </c>
      <c r="AP288" s="135">
        <f t="shared" si="144"/>
        <v>0.5340211980811248</v>
      </c>
      <c r="AQ288" s="135">
        <f t="shared" si="137"/>
        <v>0.5340211980811248</v>
      </c>
      <c r="AR288" s="117">
        <v>-1.462728161</v>
      </c>
      <c r="AS288" s="117">
        <v>0</v>
      </c>
      <c r="AT288" s="117">
        <v>0</v>
      </c>
      <c r="AU288" s="117">
        <v>-0.94190761999999995</v>
      </c>
      <c r="AV288" s="117">
        <v>-0.62313843199999996</v>
      </c>
      <c r="AW288" s="117">
        <v>-4.1099985999999998E-2</v>
      </c>
      <c r="AX288" s="117">
        <v>0.52583589200000003</v>
      </c>
      <c r="AY288" s="117">
        <v>0.874810215</v>
      </c>
      <c r="AZ288" s="117">
        <v>0</v>
      </c>
      <c r="BA288" s="117">
        <v>0</v>
      </c>
      <c r="BB288" s="117">
        <v>1.695630757</v>
      </c>
      <c r="BC288" s="136" t="str">
        <f t="shared" si="140"/>
        <v>1</v>
      </c>
      <c r="BD288" s="136" t="s">
        <v>178</v>
      </c>
      <c r="BE288" s="136" t="s">
        <v>697</v>
      </c>
      <c r="BF288" s="136" t="s">
        <v>698</v>
      </c>
      <c r="BG288" s="120" t="s">
        <v>660</v>
      </c>
      <c r="BH288" s="136" t="str">
        <f t="shared" si="145"/>
        <v>&gt;MTL</v>
      </c>
      <c r="BI288" s="136">
        <f t="shared" si="146"/>
        <v>-4.1099985999999998E-2</v>
      </c>
      <c r="BJ288" s="136" t="str">
        <f t="shared" si="147"/>
        <v>Nil</v>
      </c>
      <c r="BK288" s="136">
        <f t="shared" si="148"/>
        <v>0.05</v>
      </c>
      <c r="BL288" s="136" t="s">
        <v>736</v>
      </c>
      <c r="BM288" s="136" t="s">
        <v>175</v>
      </c>
      <c r="BN288" s="136" t="s">
        <v>175</v>
      </c>
      <c r="BO288" s="136" t="s">
        <v>736</v>
      </c>
      <c r="BP288" s="137" t="s">
        <v>175</v>
      </c>
      <c r="BQ288" s="137" t="s">
        <v>175</v>
      </c>
      <c r="BR288" s="137" t="s">
        <v>175</v>
      </c>
      <c r="BS288" s="137" t="s">
        <v>175</v>
      </c>
      <c r="BT288" s="138">
        <f t="shared" si="141"/>
        <v>7.8310999859999999</v>
      </c>
      <c r="BU288" s="138">
        <f t="shared" si="142"/>
        <v>0.53635682152835529</v>
      </c>
      <c r="BV288" s="138">
        <f t="shared" si="143"/>
        <v>0.53635682152835529</v>
      </c>
      <c r="BW288" s="53" t="s">
        <v>175</v>
      </c>
      <c r="BX288" s="53" t="s">
        <v>175</v>
      </c>
      <c r="BY288" s="53" t="s">
        <v>175</v>
      </c>
      <c r="BZ288" s="53" t="s">
        <v>175</v>
      </c>
      <c r="CA288" s="147">
        <v>1</v>
      </c>
      <c r="CB288" s="54">
        <v>0</v>
      </c>
    </row>
    <row r="289" spans="1:80">
      <c r="A289" s="123" t="s">
        <v>554</v>
      </c>
      <c r="B289" s="124" t="s">
        <v>960</v>
      </c>
      <c r="C289" s="148" t="s">
        <v>674</v>
      </c>
      <c r="D289" s="126" t="s">
        <v>743</v>
      </c>
      <c r="E289" s="127">
        <v>23.26042</v>
      </c>
      <c r="F289" s="127">
        <v>112.39035</v>
      </c>
      <c r="G289" s="128" t="s">
        <v>168</v>
      </c>
      <c r="H289" s="145">
        <v>3375</v>
      </c>
      <c r="I289" s="145">
        <v>45</v>
      </c>
      <c r="J289" s="129">
        <v>3608</v>
      </c>
      <c r="K289" s="129">
        <v>205</v>
      </c>
      <c r="L289" s="129">
        <v>126</v>
      </c>
      <c r="M289" s="149" t="s">
        <v>550</v>
      </c>
      <c r="N289" s="146" t="s">
        <v>528</v>
      </c>
      <c r="O289" s="149" t="s">
        <v>551</v>
      </c>
      <c r="P289" s="130" t="s">
        <v>552</v>
      </c>
      <c r="Q289" s="130" t="s">
        <v>172</v>
      </c>
      <c r="R289" s="131">
        <v>2.41</v>
      </c>
      <c r="S289" s="131" t="s">
        <v>175</v>
      </c>
      <c r="T289" s="130">
        <v>1</v>
      </c>
      <c r="U289" s="132" t="s">
        <v>173</v>
      </c>
      <c r="V289" s="133">
        <v>0.05</v>
      </c>
      <c r="W289" s="132" t="s">
        <v>174</v>
      </c>
      <c r="X289" s="133">
        <v>0.05</v>
      </c>
      <c r="Y289" s="133">
        <v>2.5000000000000001E-2</v>
      </c>
      <c r="Z289" s="133">
        <v>0.01</v>
      </c>
      <c r="AA289" s="133">
        <v>0.15</v>
      </c>
      <c r="AB289" s="133">
        <f t="shared" si="149"/>
        <v>4.8200000000000007E-2</v>
      </c>
      <c r="AC289" s="134">
        <v>0</v>
      </c>
      <c r="AD289" s="134">
        <v>0</v>
      </c>
      <c r="AE289" s="134">
        <v>0.5</v>
      </c>
      <c r="AF289" s="134">
        <v>0</v>
      </c>
      <c r="AG289" s="134">
        <v>0.1</v>
      </c>
      <c r="AH289" s="134">
        <v>0</v>
      </c>
      <c r="AI289" s="134">
        <v>0</v>
      </c>
      <c r="AJ289" s="134">
        <v>0</v>
      </c>
      <c r="AK289" s="134" t="s">
        <v>175</v>
      </c>
      <c r="AL289" s="122" t="s">
        <v>175</v>
      </c>
      <c r="AM289" s="122">
        <v>7.59</v>
      </c>
      <c r="AN289" s="134" t="s">
        <v>176</v>
      </c>
      <c r="AO289" s="122" t="s">
        <v>177</v>
      </c>
      <c r="AP289" s="135">
        <f t="shared" si="144"/>
        <v>0.5343671397082721</v>
      </c>
      <c r="AQ289" s="135">
        <f t="shared" ref="AQ289:AQ295" si="150">SQRT(SUMSQ(IF(OR(Y289="nd",Y289="nd"),0,Y289),IF(OR(Z289="nd",Z289="nd"),0,Z289),IF(OR(AA289="nd",AA289="nd"),0,AA289),IF(OR(AB289="nd",AB289="nd"),0,AB289),IF(OR(AC289="nd",AC289="nd"),0,AC289),IF(OR(AD289="nd",AD289="nd"),0,AD289),IF(OR(AE289="nd",AE289="nd"),0,AE289),IF(OR(AF289="nd",AF289="nd"),0,AF289),IF(OR(AG289="nd",AG289="nd"),0,AG289),IF(OR(AH289="nd",AH289="nd"),0,AH289),IF(OR(AI289="nd",AI289="nd"),0,AI289),IF(OR(AJ289="nd",AJ289="nd"),0,AJ289)))</f>
        <v>0.5343671397082721</v>
      </c>
      <c r="AR289" s="117">
        <v>-1.462728161</v>
      </c>
      <c r="AS289" s="117">
        <v>0</v>
      </c>
      <c r="AT289" s="117">
        <v>0</v>
      </c>
      <c r="AU289" s="117">
        <v>-0.94190761999999995</v>
      </c>
      <c r="AV289" s="117">
        <v>-0.62313843199999996</v>
      </c>
      <c r="AW289" s="117">
        <v>-4.1099985999999998E-2</v>
      </c>
      <c r="AX289" s="117">
        <v>0.52583589200000003</v>
      </c>
      <c r="AY289" s="117">
        <v>0.874810215</v>
      </c>
      <c r="AZ289" s="117">
        <v>0</v>
      </c>
      <c r="BA289" s="117">
        <v>0</v>
      </c>
      <c r="BB289" s="117">
        <v>1.695630757</v>
      </c>
      <c r="BC289" s="136" t="str">
        <f t="shared" si="140"/>
        <v>1</v>
      </c>
      <c r="BD289" s="136" t="s">
        <v>178</v>
      </c>
      <c r="BE289" s="136" t="s">
        <v>697</v>
      </c>
      <c r="BF289" s="136" t="s">
        <v>698</v>
      </c>
      <c r="BG289" s="120" t="s">
        <v>660</v>
      </c>
      <c r="BH289" s="136" t="str">
        <f t="shared" si="145"/>
        <v>&gt;MTL</v>
      </c>
      <c r="BI289" s="136">
        <f t="shared" si="146"/>
        <v>-4.1099985999999998E-2</v>
      </c>
      <c r="BJ289" s="136" t="str">
        <f t="shared" si="147"/>
        <v>Nil</v>
      </c>
      <c r="BK289" s="136">
        <f t="shared" si="148"/>
        <v>0.05</v>
      </c>
      <c r="BL289" s="136" t="s">
        <v>736</v>
      </c>
      <c r="BM289" s="136" t="s">
        <v>175</v>
      </c>
      <c r="BN289" s="136" t="s">
        <v>175</v>
      </c>
      <c r="BO289" s="136" t="s">
        <v>736</v>
      </c>
      <c r="BP289" s="137" t="s">
        <v>175</v>
      </c>
      <c r="BQ289" s="137" t="s">
        <v>175</v>
      </c>
      <c r="BR289" s="137" t="s">
        <v>175</v>
      </c>
      <c r="BS289" s="137" t="s">
        <v>175</v>
      </c>
      <c r="BT289" s="138">
        <f t="shared" si="141"/>
        <v>7.6310999859999997</v>
      </c>
      <c r="BU289" s="138">
        <f t="shared" si="142"/>
        <v>0.53670125768438437</v>
      </c>
      <c r="BV289" s="138">
        <f t="shared" si="143"/>
        <v>0.53670125768438437</v>
      </c>
      <c r="BW289" s="53" t="s">
        <v>175</v>
      </c>
      <c r="BX289" s="53" t="s">
        <v>175</v>
      </c>
      <c r="BY289" s="53" t="s">
        <v>175</v>
      </c>
      <c r="BZ289" s="53" t="s">
        <v>175</v>
      </c>
      <c r="CA289" s="147">
        <v>1</v>
      </c>
      <c r="CB289" s="54">
        <v>0</v>
      </c>
    </row>
    <row r="290" spans="1:80">
      <c r="A290" s="123" t="s">
        <v>555</v>
      </c>
      <c r="B290" s="124" t="s">
        <v>960</v>
      </c>
      <c r="C290" s="148" t="s">
        <v>674</v>
      </c>
      <c r="D290" s="126" t="s">
        <v>743</v>
      </c>
      <c r="E290" s="127">
        <v>23.26042</v>
      </c>
      <c r="F290" s="127">
        <v>112.39035</v>
      </c>
      <c r="G290" s="128" t="s">
        <v>168</v>
      </c>
      <c r="H290" s="145">
        <v>3456</v>
      </c>
      <c r="I290" s="145">
        <v>28</v>
      </c>
      <c r="J290" s="129">
        <v>3721</v>
      </c>
      <c r="K290" s="129">
        <v>108</v>
      </c>
      <c r="L290" s="129">
        <v>83</v>
      </c>
      <c r="M290" s="149" t="s">
        <v>550</v>
      </c>
      <c r="N290" s="146" t="s">
        <v>528</v>
      </c>
      <c r="O290" s="149" t="s">
        <v>551</v>
      </c>
      <c r="P290" s="130" t="s">
        <v>552</v>
      </c>
      <c r="Q290" s="130" t="s">
        <v>172</v>
      </c>
      <c r="R290" s="131">
        <v>2.81</v>
      </c>
      <c r="S290" s="131" t="s">
        <v>175</v>
      </c>
      <c r="T290" s="130">
        <v>1</v>
      </c>
      <c r="U290" s="132" t="s">
        <v>173</v>
      </c>
      <c r="V290" s="133">
        <v>0.05</v>
      </c>
      <c r="W290" s="132" t="s">
        <v>174</v>
      </c>
      <c r="X290" s="133">
        <v>0.05</v>
      </c>
      <c r="Y290" s="133">
        <v>2.5000000000000001E-2</v>
      </c>
      <c r="Z290" s="133">
        <v>0.01</v>
      </c>
      <c r="AA290" s="133">
        <v>0.15</v>
      </c>
      <c r="AB290" s="133">
        <f t="shared" si="149"/>
        <v>5.62E-2</v>
      </c>
      <c r="AC290" s="134">
        <v>0</v>
      </c>
      <c r="AD290" s="134">
        <v>0</v>
      </c>
      <c r="AE290" s="134">
        <v>0.5</v>
      </c>
      <c r="AF290" s="134">
        <v>0</v>
      </c>
      <c r="AG290" s="134">
        <v>0.1</v>
      </c>
      <c r="AH290" s="134">
        <v>0</v>
      </c>
      <c r="AI290" s="134">
        <v>0</v>
      </c>
      <c r="AJ290" s="134">
        <v>0</v>
      </c>
      <c r="AK290" s="134" t="s">
        <v>175</v>
      </c>
      <c r="AL290" s="122" t="s">
        <v>175</v>
      </c>
      <c r="AM290" s="122">
        <v>7.19</v>
      </c>
      <c r="AN290" s="134" t="s">
        <v>176</v>
      </c>
      <c r="AO290" s="122" t="s">
        <v>177</v>
      </c>
      <c r="AP290" s="135">
        <f t="shared" si="144"/>
        <v>0.53514805428030843</v>
      </c>
      <c r="AQ290" s="135">
        <f t="shared" si="150"/>
        <v>0.53514805428030843</v>
      </c>
      <c r="AR290" s="117">
        <v>-1.462728161</v>
      </c>
      <c r="AS290" s="117">
        <v>0</v>
      </c>
      <c r="AT290" s="117">
        <v>0</v>
      </c>
      <c r="AU290" s="117">
        <v>-0.94190761999999995</v>
      </c>
      <c r="AV290" s="117">
        <v>-0.62313843199999996</v>
      </c>
      <c r="AW290" s="117">
        <v>-4.1099985999999998E-2</v>
      </c>
      <c r="AX290" s="117">
        <v>0.52583589200000003</v>
      </c>
      <c r="AY290" s="117">
        <v>0.874810215</v>
      </c>
      <c r="AZ290" s="117">
        <v>0</v>
      </c>
      <c r="BA290" s="117">
        <v>0</v>
      </c>
      <c r="BB290" s="117">
        <v>1.695630757</v>
      </c>
      <c r="BC290" s="136" t="str">
        <f t="shared" si="140"/>
        <v>1</v>
      </c>
      <c r="BD290" s="136" t="s">
        <v>178</v>
      </c>
      <c r="BE290" s="136" t="s">
        <v>697</v>
      </c>
      <c r="BF290" s="136" t="s">
        <v>698</v>
      </c>
      <c r="BG290" s="120" t="s">
        <v>660</v>
      </c>
      <c r="BH290" s="136" t="str">
        <f t="shared" si="145"/>
        <v>&gt;MTL</v>
      </c>
      <c r="BI290" s="136">
        <f t="shared" si="146"/>
        <v>-4.1099985999999998E-2</v>
      </c>
      <c r="BJ290" s="136" t="str">
        <f t="shared" si="147"/>
        <v>Nil</v>
      </c>
      <c r="BK290" s="136">
        <f t="shared" si="148"/>
        <v>0.05</v>
      </c>
      <c r="BL290" s="136" t="s">
        <v>736</v>
      </c>
      <c r="BM290" s="136" t="s">
        <v>175</v>
      </c>
      <c r="BN290" s="136" t="s">
        <v>175</v>
      </c>
      <c r="BO290" s="136" t="s">
        <v>736</v>
      </c>
      <c r="BP290" s="137" t="s">
        <v>175</v>
      </c>
      <c r="BQ290" s="137" t="s">
        <v>175</v>
      </c>
      <c r="BR290" s="137" t="s">
        <v>175</v>
      </c>
      <c r="BS290" s="137" t="s">
        <v>175</v>
      </c>
      <c r="BT290" s="138">
        <f t="shared" si="141"/>
        <v>7.2310999860000003</v>
      </c>
      <c r="BU290" s="138">
        <f t="shared" si="142"/>
        <v>0.53747878097651436</v>
      </c>
      <c r="BV290" s="138">
        <f t="shared" si="143"/>
        <v>0.53747878097651436</v>
      </c>
      <c r="BW290" s="53" t="s">
        <v>175</v>
      </c>
      <c r="BX290" s="53" t="s">
        <v>175</v>
      </c>
      <c r="BY290" s="53" t="s">
        <v>175</v>
      </c>
      <c r="BZ290" s="53" t="s">
        <v>175</v>
      </c>
      <c r="CA290" s="147">
        <v>1</v>
      </c>
      <c r="CB290" s="54">
        <v>0</v>
      </c>
    </row>
    <row r="291" spans="1:80">
      <c r="A291" s="123" t="s">
        <v>556</v>
      </c>
      <c r="B291" s="124" t="s">
        <v>960</v>
      </c>
      <c r="C291" s="148" t="s">
        <v>674</v>
      </c>
      <c r="D291" s="126" t="s">
        <v>743</v>
      </c>
      <c r="E291" s="127">
        <v>23.26042</v>
      </c>
      <c r="F291" s="127">
        <v>112.39035</v>
      </c>
      <c r="G291" s="128" t="s">
        <v>168</v>
      </c>
      <c r="H291" s="145">
        <v>3537</v>
      </c>
      <c r="I291" s="145">
        <v>30</v>
      </c>
      <c r="J291" s="129">
        <v>3820</v>
      </c>
      <c r="K291" s="129">
        <v>82</v>
      </c>
      <c r="L291" s="129">
        <v>121</v>
      </c>
      <c r="M291" s="149" t="s">
        <v>550</v>
      </c>
      <c r="N291" s="146" t="s">
        <v>528</v>
      </c>
      <c r="O291" s="149" t="s">
        <v>551</v>
      </c>
      <c r="P291" s="130" t="s">
        <v>552</v>
      </c>
      <c r="Q291" s="130" t="s">
        <v>172</v>
      </c>
      <c r="R291" s="131">
        <v>3.21</v>
      </c>
      <c r="S291" s="131" t="s">
        <v>175</v>
      </c>
      <c r="T291" s="130">
        <v>1</v>
      </c>
      <c r="U291" s="132" t="s">
        <v>173</v>
      </c>
      <c r="V291" s="133">
        <v>0.05</v>
      </c>
      <c r="W291" s="132" t="s">
        <v>174</v>
      </c>
      <c r="X291" s="133">
        <v>0.05</v>
      </c>
      <c r="Y291" s="133">
        <v>2.5000000000000001E-2</v>
      </c>
      <c r="Z291" s="133">
        <v>0.01</v>
      </c>
      <c r="AA291" s="133">
        <v>0.15</v>
      </c>
      <c r="AB291" s="133">
        <f t="shared" si="149"/>
        <v>6.4200000000000007E-2</v>
      </c>
      <c r="AC291" s="134">
        <v>0</v>
      </c>
      <c r="AD291" s="134">
        <v>0</v>
      </c>
      <c r="AE291" s="134">
        <v>0.5</v>
      </c>
      <c r="AF291" s="134">
        <v>0</v>
      </c>
      <c r="AG291" s="134">
        <v>0.1</v>
      </c>
      <c r="AH291" s="134">
        <v>0</v>
      </c>
      <c r="AI291" s="134">
        <v>0</v>
      </c>
      <c r="AJ291" s="134">
        <v>0</v>
      </c>
      <c r="AK291" s="134" t="s">
        <v>175</v>
      </c>
      <c r="AL291" s="122" t="s">
        <v>175</v>
      </c>
      <c r="AM291" s="122">
        <v>6.79</v>
      </c>
      <c r="AN291" s="134" t="s">
        <v>176</v>
      </c>
      <c r="AO291" s="122" t="s">
        <v>177</v>
      </c>
      <c r="AP291" s="135">
        <f t="shared" si="144"/>
        <v>0.53604723672452592</v>
      </c>
      <c r="AQ291" s="135">
        <f t="shared" si="150"/>
        <v>0.53604723672452592</v>
      </c>
      <c r="AR291" s="117">
        <v>-1.462728161</v>
      </c>
      <c r="AS291" s="117">
        <v>0</v>
      </c>
      <c r="AT291" s="117">
        <v>0</v>
      </c>
      <c r="AU291" s="117">
        <v>-0.94190761999999995</v>
      </c>
      <c r="AV291" s="117">
        <v>-0.62313843199999996</v>
      </c>
      <c r="AW291" s="117">
        <v>-4.1099985999999998E-2</v>
      </c>
      <c r="AX291" s="117">
        <v>0.52583589200000003</v>
      </c>
      <c r="AY291" s="117">
        <v>0.874810215</v>
      </c>
      <c r="AZ291" s="117">
        <v>0</v>
      </c>
      <c r="BA291" s="117">
        <v>0</v>
      </c>
      <c r="BB291" s="117">
        <v>1.695630757</v>
      </c>
      <c r="BC291" s="136" t="str">
        <f t="shared" si="140"/>
        <v>1</v>
      </c>
      <c r="BD291" s="136" t="s">
        <v>178</v>
      </c>
      <c r="BE291" s="136" t="s">
        <v>697</v>
      </c>
      <c r="BF291" s="136" t="s">
        <v>698</v>
      </c>
      <c r="BG291" s="120" t="s">
        <v>660</v>
      </c>
      <c r="BH291" s="136" t="str">
        <f t="shared" si="145"/>
        <v>&gt;MTL</v>
      </c>
      <c r="BI291" s="136">
        <f t="shared" si="146"/>
        <v>-4.1099985999999998E-2</v>
      </c>
      <c r="BJ291" s="136" t="str">
        <f t="shared" si="147"/>
        <v>Nil</v>
      </c>
      <c r="BK291" s="136">
        <f t="shared" si="148"/>
        <v>0.05</v>
      </c>
      <c r="BL291" s="136" t="s">
        <v>736</v>
      </c>
      <c r="BM291" s="136" t="s">
        <v>175</v>
      </c>
      <c r="BN291" s="136" t="s">
        <v>175</v>
      </c>
      <c r="BO291" s="136" t="s">
        <v>736</v>
      </c>
      <c r="BP291" s="137" t="s">
        <v>175</v>
      </c>
      <c r="BQ291" s="137" t="s">
        <v>175</v>
      </c>
      <c r="BR291" s="137" t="s">
        <v>175</v>
      </c>
      <c r="BS291" s="137" t="s">
        <v>175</v>
      </c>
      <c r="BT291" s="138">
        <f t="shared" si="141"/>
        <v>6.8310999859999999</v>
      </c>
      <c r="BU291" s="138">
        <f t="shared" si="142"/>
        <v>0.5383740706980602</v>
      </c>
      <c r="BV291" s="138">
        <f t="shared" si="143"/>
        <v>0.5383740706980602</v>
      </c>
      <c r="BW291" s="53" t="s">
        <v>175</v>
      </c>
      <c r="BX291" s="53" t="s">
        <v>175</v>
      </c>
      <c r="BY291" s="53" t="s">
        <v>175</v>
      </c>
      <c r="BZ291" s="53" t="s">
        <v>175</v>
      </c>
      <c r="CA291" s="147">
        <v>1</v>
      </c>
      <c r="CB291" s="54">
        <v>0</v>
      </c>
    </row>
    <row r="292" spans="1:80">
      <c r="A292" s="123" t="s">
        <v>557</v>
      </c>
      <c r="B292" s="124" t="s">
        <v>960</v>
      </c>
      <c r="C292" s="148" t="s">
        <v>674</v>
      </c>
      <c r="D292" s="126" t="s">
        <v>743</v>
      </c>
      <c r="E292" s="127">
        <v>23.26042</v>
      </c>
      <c r="F292" s="127">
        <v>112.39035</v>
      </c>
      <c r="G292" s="128" t="s">
        <v>168</v>
      </c>
      <c r="H292" s="145">
        <v>3642</v>
      </c>
      <c r="I292" s="145">
        <v>30</v>
      </c>
      <c r="J292" s="129">
        <v>3956</v>
      </c>
      <c r="K292" s="129">
        <v>127</v>
      </c>
      <c r="L292" s="129">
        <v>106</v>
      </c>
      <c r="M292" s="149" t="s">
        <v>550</v>
      </c>
      <c r="N292" s="146" t="s">
        <v>528</v>
      </c>
      <c r="O292" s="149" t="s">
        <v>551</v>
      </c>
      <c r="P292" s="130" t="s">
        <v>552</v>
      </c>
      <c r="Q292" s="130" t="s">
        <v>172</v>
      </c>
      <c r="R292" s="131">
        <v>3.61</v>
      </c>
      <c r="S292" s="131" t="s">
        <v>175</v>
      </c>
      <c r="T292" s="130">
        <v>1</v>
      </c>
      <c r="U292" s="132" t="s">
        <v>173</v>
      </c>
      <c r="V292" s="133">
        <v>0.05</v>
      </c>
      <c r="W292" s="132" t="s">
        <v>174</v>
      </c>
      <c r="X292" s="133">
        <v>0.05</v>
      </c>
      <c r="Y292" s="133">
        <v>2.5000000000000001E-2</v>
      </c>
      <c r="Z292" s="133">
        <v>0.01</v>
      </c>
      <c r="AA292" s="133">
        <v>0.15</v>
      </c>
      <c r="AB292" s="133">
        <f t="shared" si="149"/>
        <v>7.22E-2</v>
      </c>
      <c r="AC292" s="134">
        <v>0</v>
      </c>
      <c r="AD292" s="134">
        <v>0</v>
      </c>
      <c r="AE292" s="134">
        <v>0.5</v>
      </c>
      <c r="AF292" s="134">
        <v>0</v>
      </c>
      <c r="AG292" s="134">
        <v>0.1</v>
      </c>
      <c r="AH292" s="134">
        <v>0</v>
      </c>
      <c r="AI292" s="134">
        <v>0</v>
      </c>
      <c r="AJ292" s="134">
        <v>0</v>
      </c>
      <c r="AK292" s="134" t="s">
        <v>175</v>
      </c>
      <c r="AL292" s="122" t="s">
        <v>175</v>
      </c>
      <c r="AM292" s="122">
        <v>6.39</v>
      </c>
      <c r="AN292" s="134" t="s">
        <v>176</v>
      </c>
      <c r="AO292" s="122" t="s">
        <v>177</v>
      </c>
      <c r="AP292" s="135">
        <f t="shared" si="144"/>
        <v>0.53706409300939117</v>
      </c>
      <c r="AQ292" s="135">
        <f t="shared" si="150"/>
        <v>0.53706409300939117</v>
      </c>
      <c r="AR292" s="117">
        <v>-1.462728161</v>
      </c>
      <c r="AS292" s="117">
        <v>0</v>
      </c>
      <c r="AT292" s="117">
        <v>0</v>
      </c>
      <c r="AU292" s="117">
        <v>-0.94190761999999995</v>
      </c>
      <c r="AV292" s="117">
        <v>-0.62313843199999996</v>
      </c>
      <c r="AW292" s="117">
        <v>-4.1099985999999998E-2</v>
      </c>
      <c r="AX292" s="117">
        <v>0.52583589200000003</v>
      </c>
      <c r="AY292" s="117">
        <v>0.874810215</v>
      </c>
      <c r="AZ292" s="117">
        <v>0</v>
      </c>
      <c r="BA292" s="117">
        <v>0</v>
      </c>
      <c r="BB292" s="117">
        <v>1.695630757</v>
      </c>
      <c r="BC292" s="136" t="str">
        <f t="shared" si="140"/>
        <v>1</v>
      </c>
      <c r="BD292" s="136" t="s">
        <v>178</v>
      </c>
      <c r="BE292" s="136" t="s">
        <v>697</v>
      </c>
      <c r="BF292" s="136" t="s">
        <v>698</v>
      </c>
      <c r="BG292" s="120" t="s">
        <v>660</v>
      </c>
      <c r="BH292" s="136" t="str">
        <f t="shared" si="145"/>
        <v>&gt;MTL</v>
      </c>
      <c r="BI292" s="136">
        <f t="shared" si="146"/>
        <v>-4.1099985999999998E-2</v>
      </c>
      <c r="BJ292" s="136" t="str">
        <f t="shared" si="147"/>
        <v>Nil</v>
      </c>
      <c r="BK292" s="136">
        <f t="shared" si="148"/>
        <v>0.05</v>
      </c>
      <c r="BL292" s="136" t="s">
        <v>736</v>
      </c>
      <c r="BM292" s="136" t="s">
        <v>175</v>
      </c>
      <c r="BN292" s="136" t="s">
        <v>175</v>
      </c>
      <c r="BO292" s="136" t="s">
        <v>736</v>
      </c>
      <c r="BP292" s="137" t="s">
        <v>175</v>
      </c>
      <c r="BQ292" s="137" t="s">
        <v>175</v>
      </c>
      <c r="BR292" s="137" t="s">
        <v>175</v>
      </c>
      <c r="BS292" s="137" t="s">
        <v>175</v>
      </c>
      <c r="BT292" s="138">
        <f t="shared" si="141"/>
        <v>6.4310999859999995</v>
      </c>
      <c r="BU292" s="138">
        <f t="shared" si="142"/>
        <v>0.53938654043274015</v>
      </c>
      <c r="BV292" s="138">
        <f t="shared" si="143"/>
        <v>0.53938654043274015</v>
      </c>
      <c r="BW292" s="53" t="s">
        <v>175</v>
      </c>
      <c r="BX292" s="53" t="s">
        <v>175</v>
      </c>
      <c r="BY292" s="53" t="s">
        <v>175</v>
      </c>
      <c r="BZ292" s="53" t="s">
        <v>175</v>
      </c>
      <c r="CA292" s="147">
        <v>1</v>
      </c>
      <c r="CB292" s="54">
        <v>0</v>
      </c>
    </row>
    <row r="293" spans="1:80">
      <c r="A293" s="123" t="s">
        <v>558</v>
      </c>
      <c r="B293" s="124" t="s">
        <v>960</v>
      </c>
      <c r="C293" s="148" t="s">
        <v>674</v>
      </c>
      <c r="D293" s="126" t="s">
        <v>743</v>
      </c>
      <c r="E293" s="127">
        <v>23.26042</v>
      </c>
      <c r="F293" s="127">
        <v>112.39035</v>
      </c>
      <c r="G293" s="128" t="s">
        <v>168</v>
      </c>
      <c r="H293" s="145">
        <v>3665</v>
      </c>
      <c r="I293" s="145">
        <v>30</v>
      </c>
      <c r="J293" s="129">
        <v>3994</v>
      </c>
      <c r="K293" s="129">
        <v>93</v>
      </c>
      <c r="L293" s="129">
        <v>94</v>
      </c>
      <c r="M293" s="149" t="s">
        <v>550</v>
      </c>
      <c r="N293" s="146" t="s">
        <v>528</v>
      </c>
      <c r="O293" s="149" t="s">
        <v>551</v>
      </c>
      <c r="P293" s="130" t="s">
        <v>552</v>
      </c>
      <c r="Q293" s="130" t="s">
        <v>172</v>
      </c>
      <c r="R293" s="131">
        <v>4.01</v>
      </c>
      <c r="S293" s="131" t="s">
        <v>175</v>
      </c>
      <c r="T293" s="130">
        <v>1</v>
      </c>
      <c r="U293" s="132" t="s">
        <v>173</v>
      </c>
      <c r="V293" s="133">
        <v>0.05</v>
      </c>
      <c r="W293" s="132" t="s">
        <v>174</v>
      </c>
      <c r="X293" s="133">
        <v>0.05</v>
      </c>
      <c r="Y293" s="133">
        <v>2.5000000000000001E-2</v>
      </c>
      <c r="Z293" s="133">
        <v>0.01</v>
      </c>
      <c r="AA293" s="133">
        <v>0.15</v>
      </c>
      <c r="AB293" s="133">
        <f t="shared" si="149"/>
        <v>8.0199999999999994E-2</v>
      </c>
      <c r="AC293" s="134">
        <v>0</v>
      </c>
      <c r="AD293" s="134">
        <v>0</v>
      </c>
      <c r="AE293" s="134">
        <v>0.5</v>
      </c>
      <c r="AF293" s="134">
        <v>0</v>
      </c>
      <c r="AG293" s="134">
        <v>0.1</v>
      </c>
      <c r="AH293" s="134">
        <v>0</v>
      </c>
      <c r="AI293" s="134">
        <v>0</v>
      </c>
      <c r="AJ293" s="134">
        <v>0</v>
      </c>
      <c r="AK293" s="134" t="s">
        <v>175</v>
      </c>
      <c r="AL293" s="122" t="s">
        <v>175</v>
      </c>
      <c r="AM293" s="122">
        <v>5.99</v>
      </c>
      <c r="AN293" s="134" t="s">
        <v>176</v>
      </c>
      <c r="AO293" s="122" t="s">
        <v>177</v>
      </c>
      <c r="AP293" s="135">
        <f t="shared" si="144"/>
        <v>0.53819795614624921</v>
      </c>
      <c r="AQ293" s="135">
        <f t="shared" si="150"/>
        <v>0.53819795614624921</v>
      </c>
      <c r="AR293" s="117">
        <v>-1.462728161</v>
      </c>
      <c r="AS293" s="117">
        <v>0</v>
      </c>
      <c r="AT293" s="117">
        <v>0</v>
      </c>
      <c r="AU293" s="117">
        <v>-0.94190761999999995</v>
      </c>
      <c r="AV293" s="117">
        <v>-0.62313843199999996</v>
      </c>
      <c r="AW293" s="117">
        <v>-4.1099985999999998E-2</v>
      </c>
      <c r="AX293" s="117">
        <v>0.52583589200000003</v>
      </c>
      <c r="AY293" s="117">
        <v>0.874810215</v>
      </c>
      <c r="AZ293" s="117">
        <v>0</v>
      </c>
      <c r="BA293" s="117">
        <v>0</v>
      </c>
      <c r="BB293" s="117">
        <v>1.695630757</v>
      </c>
      <c r="BC293" s="136" t="str">
        <f t="shared" si="140"/>
        <v>1</v>
      </c>
      <c r="BD293" s="136" t="s">
        <v>178</v>
      </c>
      <c r="BE293" s="136" t="s">
        <v>697</v>
      </c>
      <c r="BF293" s="136" t="s">
        <v>698</v>
      </c>
      <c r="BG293" s="120" t="s">
        <v>660</v>
      </c>
      <c r="BH293" s="136" t="str">
        <f t="shared" si="145"/>
        <v>&gt;MTL</v>
      </c>
      <c r="BI293" s="136">
        <f t="shared" si="146"/>
        <v>-4.1099985999999998E-2</v>
      </c>
      <c r="BJ293" s="136" t="str">
        <f t="shared" si="147"/>
        <v>Nil</v>
      </c>
      <c r="BK293" s="136">
        <f t="shared" si="148"/>
        <v>0.05</v>
      </c>
      <c r="BL293" s="136" t="s">
        <v>736</v>
      </c>
      <c r="BM293" s="136" t="s">
        <v>175</v>
      </c>
      <c r="BN293" s="136" t="s">
        <v>175</v>
      </c>
      <c r="BO293" s="136" t="s">
        <v>736</v>
      </c>
      <c r="BP293" s="137" t="s">
        <v>175</v>
      </c>
      <c r="BQ293" s="137" t="s">
        <v>175</v>
      </c>
      <c r="BR293" s="137" t="s">
        <v>175</v>
      </c>
      <c r="BS293" s="137" t="s">
        <v>175</v>
      </c>
      <c r="BT293" s="138">
        <f t="shared" si="141"/>
        <v>6.0310999860000001</v>
      </c>
      <c r="BU293" s="138">
        <f t="shared" si="142"/>
        <v>0.54051553169173594</v>
      </c>
      <c r="BV293" s="138">
        <f t="shared" si="143"/>
        <v>0.54051553169173594</v>
      </c>
      <c r="BW293" s="53" t="s">
        <v>175</v>
      </c>
      <c r="BX293" s="53" t="s">
        <v>175</v>
      </c>
      <c r="BY293" s="53" t="s">
        <v>175</v>
      </c>
      <c r="BZ293" s="53" t="s">
        <v>175</v>
      </c>
      <c r="CA293" s="147">
        <v>1</v>
      </c>
      <c r="CB293" s="54">
        <v>0</v>
      </c>
    </row>
    <row r="294" spans="1:80">
      <c r="A294" s="123" t="s">
        <v>559</v>
      </c>
      <c r="B294" s="124" t="s">
        <v>960</v>
      </c>
      <c r="C294" s="148" t="s">
        <v>674</v>
      </c>
      <c r="D294" s="126" t="s">
        <v>743</v>
      </c>
      <c r="E294" s="127">
        <v>23.26042</v>
      </c>
      <c r="F294" s="127">
        <v>112.39035</v>
      </c>
      <c r="G294" s="128" t="s">
        <v>168</v>
      </c>
      <c r="H294" s="145">
        <v>3813</v>
      </c>
      <c r="I294" s="145">
        <v>31</v>
      </c>
      <c r="J294" s="129">
        <v>4200</v>
      </c>
      <c r="K294" s="129">
        <v>153</v>
      </c>
      <c r="L294" s="129">
        <v>110</v>
      </c>
      <c r="M294" s="149" t="s">
        <v>550</v>
      </c>
      <c r="N294" s="146" t="s">
        <v>528</v>
      </c>
      <c r="O294" s="149" t="s">
        <v>551</v>
      </c>
      <c r="P294" s="130" t="s">
        <v>552</v>
      </c>
      <c r="Q294" s="130" t="s">
        <v>172</v>
      </c>
      <c r="R294" s="131">
        <v>4.41</v>
      </c>
      <c r="S294" s="131" t="s">
        <v>175</v>
      </c>
      <c r="T294" s="130">
        <v>1</v>
      </c>
      <c r="U294" s="132" t="s">
        <v>173</v>
      </c>
      <c r="V294" s="133">
        <v>0.05</v>
      </c>
      <c r="W294" s="132" t="s">
        <v>174</v>
      </c>
      <c r="X294" s="133">
        <v>0.05</v>
      </c>
      <c r="Y294" s="133">
        <v>2.5000000000000001E-2</v>
      </c>
      <c r="Z294" s="133">
        <v>0.01</v>
      </c>
      <c r="AA294" s="133">
        <v>0.15</v>
      </c>
      <c r="AB294" s="133">
        <f t="shared" si="149"/>
        <v>8.8200000000000001E-2</v>
      </c>
      <c r="AC294" s="134">
        <v>0</v>
      </c>
      <c r="AD294" s="134">
        <v>0</v>
      </c>
      <c r="AE294" s="134">
        <v>0.5</v>
      </c>
      <c r="AF294" s="134">
        <v>0</v>
      </c>
      <c r="AG294" s="134">
        <v>0.1</v>
      </c>
      <c r="AH294" s="134">
        <v>0</v>
      </c>
      <c r="AI294" s="134">
        <v>0</v>
      </c>
      <c r="AJ294" s="134">
        <v>0</v>
      </c>
      <c r="AK294" s="134" t="s">
        <v>175</v>
      </c>
      <c r="AL294" s="122" t="s">
        <v>175</v>
      </c>
      <c r="AM294" s="122">
        <v>5.59</v>
      </c>
      <c r="AN294" s="134" t="s">
        <v>176</v>
      </c>
      <c r="AO294" s="122" t="s">
        <v>177</v>
      </c>
      <c r="AP294" s="135">
        <f t="shared" si="144"/>
        <v>0.53944808832731994</v>
      </c>
      <c r="AQ294" s="135">
        <f t="shared" si="150"/>
        <v>0.53944808832731994</v>
      </c>
      <c r="AR294" s="117">
        <v>-1.462728161</v>
      </c>
      <c r="AS294" s="117">
        <v>0</v>
      </c>
      <c r="AT294" s="117">
        <v>0</v>
      </c>
      <c r="AU294" s="117">
        <v>-0.94190761999999995</v>
      </c>
      <c r="AV294" s="117">
        <v>-0.62313843199999996</v>
      </c>
      <c r="AW294" s="117">
        <v>-4.1099985999999998E-2</v>
      </c>
      <c r="AX294" s="117">
        <v>0.52583589200000003</v>
      </c>
      <c r="AY294" s="117">
        <v>0.874810215</v>
      </c>
      <c r="AZ294" s="117">
        <v>0</v>
      </c>
      <c r="BA294" s="117">
        <v>0</v>
      </c>
      <c r="BB294" s="117">
        <v>1.695630757</v>
      </c>
      <c r="BC294" s="136" t="str">
        <f t="shared" si="140"/>
        <v>1</v>
      </c>
      <c r="BD294" s="136" t="s">
        <v>178</v>
      </c>
      <c r="BE294" s="136" t="s">
        <v>697</v>
      </c>
      <c r="BF294" s="136" t="s">
        <v>698</v>
      </c>
      <c r="BG294" s="120" t="s">
        <v>660</v>
      </c>
      <c r="BH294" s="136" t="str">
        <f t="shared" si="145"/>
        <v>&gt;MTL</v>
      </c>
      <c r="BI294" s="136">
        <f t="shared" si="146"/>
        <v>-4.1099985999999998E-2</v>
      </c>
      <c r="BJ294" s="136" t="str">
        <f t="shared" si="147"/>
        <v>Nil</v>
      </c>
      <c r="BK294" s="136">
        <f t="shared" si="148"/>
        <v>0.05</v>
      </c>
      <c r="BL294" s="136" t="s">
        <v>736</v>
      </c>
      <c r="BM294" s="136" t="s">
        <v>175</v>
      </c>
      <c r="BN294" s="136" t="s">
        <v>175</v>
      </c>
      <c r="BO294" s="136" t="s">
        <v>736</v>
      </c>
      <c r="BP294" s="137" t="s">
        <v>175</v>
      </c>
      <c r="BQ294" s="137" t="s">
        <v>175</v>
      </c>
      <c r="BR294" s="137" t="s">
        <v>175</v>
      </c>
      <c r="BS294" s="137" t="s">
        <v>175</v>
      </c>
      <c r="BT294" s="138">
        <f t="shared" si="141"/>
        <v>5.6310999859999997</v>
      </c>
      <c r="BU294" s="138">
        <f t="shared" si="142"/>
        <v>0.54176031600699581</v>
      </c>
      <c r="BV294" s="138">
        <f t="shared" si="143"/>
        <v>0.54176031600699581</v>
      </c>
      <c r="BW294" s="53" t="s">
        <v>175</v>
      </c>
      <c r="BX294" s="53" t="s">
        <v>175</v>
      </c>
      <c r="BY294" s="53" t="s">
        <v>175</v>
      </c>
      <c r="BZ294" s="53" t="s">
        <v>175</v>
      </c>
      <c r="CA294" s="147">
        <v>1</v>
      </c>
      <c r="CB294" s="54">
        <v>0</v>
      </c>
    </row>
    <row r="295" spans="1:80" ht="17" customHeight="1">
      <c r="A295" s="123" t="s">
        <v>560</v>
      </c>
      <c r="B295" s="124" t="s">
        <v>960</v>
      </c>
      <c r="C295" s="148" t="s">
        <v>674</v>
      </c>
      <c r="D295" s="126" t="s">
        <v>743</v>
      </c>
      <c r="E295" s="127">
        <v>23.26042</v>
      </c>
      <c r="F295" s="127">
        <v>112.39035</v>
      </c>
      <c r="G295" s="128" t="s">
        <v>168</v>
      </c>
      <c r="H295" s="145">
        <v>4544</v>
      </c>
      <c r="I295" s="145">
        <v>33</v>
      </c>
      <c r="J295" s="129">
        <v>5161</v>
      </c>
      <c r="K295" s="129">
        <v>156</v>
      </c>
      <c r="L295" s="129">
        <v>110</v>
      </c>
      <c r="M295" s="149" t="s">
        <v>550</v>
      </c>
      <c r="N295" s="146" t="s">
        <v>528</v>
      </c>
      <c r="O295" s="149" t="s">
        <v>551</v>
      </c>
      <c r="P295" s="130" t="s">
        <v>552</v>
      </c>
      <c r="Q295" s="130" t="s">
        <v>172</v>
      </c>
      <c r="R295" s="131">
        <v>4.8099999999999996</v>
      </c>
      <c r="S295" s="131" t="s">
        <v>175</v>
      </c>
      <c r="T295" s="130">
        <v>1</v>
      </c>
      <c r="U295" s="132" t="s">
        <v>173</v>
      </c>
      <c r="V295" s="133">
        <v>0.05</v>
      </c>
      <c r="W295" s="132" t="s">
        <v>174</v>
      </c>
      <c r="X295" s="133">
        <v>0.05</v>
      </c>
      <c r="Y295" s="133">
        <v>2.5000000000000001E-2</v>
      </c>
      <c r="Z295" s="133">
        <v>0.01</v>
      </c>
      <c r="AA295" s="133">
        <v>0.15</v>
      </c>
      <c r="AB295" s="133">
        <f>0.02*R295</f>
        <v>9.6199999999999994E-2</v>
      </c>
      <c r="AC295" s="134">
        <v>0</v>
      </c>
      <c r="AD295" s="134">
        <v>0</v>
      </c>
      <c r="AE295" s="134">
        <v>0.5</v>
      </c>
      <c r="AF295" s="134">
        <v>0</v>
      </c>
      <c r="AG295" s="134">
        <v>0.1</v>
      </c>
      <c r="AH295" s="134">
        <v>0</v>
      </c>
      <c r="AI295" s="134">
        <v>0</v>
      </c>
      <c r="AJ295" s="134">
        <v>0</v>
      </c>
      <c r="AK295" s="134" t="s">
        <v>175</v>
      </c>
      <c r="AL295" s="122" t="s">
        <v>175</v>
      </c>
      <c r="AM295" s="122">
        <v>5.19</v>
      </c>
      <c r="AN295" s="134" t="s">
        <v>176</v>
      </c>
      <c r="AO295" s="122" t="s">
        <v>177</v>
      </c>
      <c r="AP295" s="135">
        <f t="shared" si="144"/>
        <v>0.5408136832588466</v>
      </c>
      <c r="AQ295" s="135">
        <f t="shared" si="150"/>
        <v>0.5408136832588466</v>
      </c>
      <c r="AR295" s="117">
        <v>-1.462728161</v>
      </c>
      <c r="AS295" s="117">
        <v>0</v>
      </c>
      <c r="AT295" s="117">
        <v>0</v>
      </c>
      <c r="AU295" s="117">
        <v>-0.94190761999999995</v>
      </c>
      <c r="AV295" s="117">
        <v>-0.62313843199999996</v>
      </c>
      <c r="AW295" s="117">
        <v>-4.1099985999999998E-2</v>
      </c>
      <c r="AX295" s="117">
        <v>0.52583589200000003</v>
      </c>
      <c r="AY295" s="117">
        <v>0.874810215</v>
      </c>
      <c r="AZ295" s="117">
        <v>0</v>
      </c>
      <c r="BA295" s="117">
        <v>0</v>
      </c>
      <c r="BB295" s="117">
        <v>1.695630757</v>
      </c>
      <c r="BC295" s="136" t="str">
        <f t="shared" si="140"/>
        <v>1</v>
      </c>
      <c r="BD295" s="136" t="s">
        <v>178</v>
      </c>
      <c r="BE295" s="136" t="s">
        <v>697</v>
      </c>
      <c r="BF295" s="136" t="s">
        <v>698</v>
      </c>
      <c r="BG295" s="120" t="s">
        <v>660</v>
      </c>
      <c r="BH295" s="136" t="str">
        <f t="shared" si="145"/>
        <v>&gt;MTL</v>
      </c>
      <c r="BI295" s="136">
        <f t="shared" si="146"/>
        <v>-4.1099985999999998E-2</v>
      </c>
      <c r="BJ295" s="136" t="str">
        <f t="shared" si="147"/>
        <v>Nil</v>
      </c>
      <c r="BK295" s="136">
        <f t="shared" si="148"/>
        <v>0.05</v>
      </c>
      <c r="BL295" s="136" t="s">
        <v>736</v>
      </c>
      <c r="BM295" s="136" t="s">
        <v>175</v>
      </c>
      <c r="BN295" s="136" t="s">
        <v>175</v>
      </c>
      <c r="BO295" s="136" t="s">
        <v>736</v>
      </c>
      <c r="BP295" s="137" t="s">
        <v>175</v>
      </c>
      <c r="BQ295" s="137" t="s">
        <v>175</v>
      </c>
      <c r="BR295" s="137" t="s">
        <v>175</v>
      </c>
      <c r="BS295" s="137" t="s">
        <v>175</v>
      </c>
      <c r="BT295" s="138">
        <f t="shared" si="141"/>
        <v>5.2310999860000003</v>
      </c>
      <c r="BU295" s="138">
        <f t="shared" si="142"/>
        <v>0.54312009721607613</v>
      </c>
      <c r="BV295" s="138">
        <f t="shared" si="143"/>
        <v>0.54312009721607613</v>
      </c>
      <c r="BW295" s="53" t="s">
        <v>175</v>
      </c>
      <c r="BX295" s="53" t="s">
        <v>175</v>
      </c>
      <c r="BY295" s="53" t="s">
        <v>175</v>
      </c>
      <c r="BZ295" s="53" t="s">
        <v>175</v>
      </c>
      <c r="CA295" s="147">
        <v>1</v>
      </c>
      <c r="CB295" s="54">
        <v>0</v>
      </c>
    </row>
  </sheetData>
  <sheetProtection formatCells="0" formatColumns="0" formatRows="0" insertColumns="0" insertRows="0" sort="0" autoFilter="0"/>
  <sortState xmlns:xlrd2="http://schemas.microsoft.com/office/spreadsheetml/2017/richdata2" ref="A4:CH295">
    <sortCondition descending="1" ref="F4:F295"/>
  </sortState>
  <mergeCells count="11">
    <mergeCell ref="CA1:CD1"/>
    <mergeCell ref="AC1:AQ1"/>
    <mergeCell ref="A1:B1"/>
    <mergeCell ref="C1:F1"/>
    <mergeCell ref="G1:L1"/>
    <mergeCell ref="M1:T1"/>
    <mergeCell ref="U1:AB1"/>
    <mergeCell ref="AR1:BB1"/>
    <mergeCell ref="BC1:BO1"/>
    <mergeCell ref="BP1:BS1"/>
    <mergeCell ref="BT1:BZ1"/>
  </mergeCells>
  <phoneticPr fontId="22" type="noConversion"/>
  <dataValidations count="2">
    <dataValidation type="list" allowBlank="1" showInputMessage="1" showErrorMessage="1" errorTitle="If dating method not listed" error="please select '9 = Other' and specify the dating method in the 'Notes' field" sqref="G4:G295" xr:uid="{00000000-0002-0000-0100-000001000000}">
      <formula1>DatingMeth</formula1>
    </dataValidation>
    <dataValidation type="list" errorStyle="warning" allowBlank="1" showInputMessage="1" showErrorMessage="1" errorTitle="Warning" error="Entry doesn't appear in list" promptTitle="Please enter primary type." prompt="1) Coral reefs, 2) Other bioconstructed reefs, 3) Fixed biological indicators, 4) Archeological, 5) Sedimentary (e.g., deltaic, estuarine, wetland, lacustrine, marine facies), 6) Beach rock, 7) Isolation basin, 8) Marine terrace, 9) Raised/storm beach_x000a_" sqref="BD4:BD295" xr:uid="{00000000-0002-0000-0100-000000000000}">
      <formula1>PrimaryIndicator</formula1>
    </dataValidation>
  </dataValidations>
  <pageMargins left="0.7" right="0.7" top="0.75" bottom="0.75" header="0.3" footer="0.3"/>
  <pageSetup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I299"/>
  <sheetViews>
    <sheetView workbookViewId="0">
      <selection activeCell="J297" sqref="J297"/>
    </sheetView>
    <sheetView workbookViewId="1"/>
  </sheetViews>
  <sheetFormatPr baseColWidth="10" defaultColWidth="11" defaultRowHeight="16"/>
  <cols>
    <col min="1" max="3" width="10.83203125" customWidth="1"/>
    <col min="5" max="6" width="10.83203125" style="55" customWidth="1"/>
    <col min="7" max="7" width="8.5" customWidth="1"/>
    <col min="8" max="8" width="11.33203125" style="56" customWidth="1"/>
    <col min="9" max="9" width="12.5" style="56" customWidth="1"/>
    <col min="10" max="10" width="11" style="56"/>
    <col min="11" max="13" width="11.83203125" style="56" customWidth="1"/>
    <col min="14" max="14" width="11" style="55"/>
    <col min="15" max="20" width="13.5" style="55" customWidth="1"/>
    <col min="21" max="21" width="6.33203125" customWidth="1"/>
    <col min="24" max="24" width="11.6640625" customWidth="1"/>
    <col min="26" max="26" width="6.5" style="55" customWidth="1"/>
    <col min="27" max="27" width="13.6640625" style="55" customWidth="1"/>
    <col min="28" max="28" width="12.83203125" style="55" customWidth="1"/>
    <col min="29" max="29" width="10.83203125" style="55" customWidth="1"/>
    <col min="30" max="30" width="12" style="55" customWidth="1"/>
    <col min="31" max="31" width="11.6640625" style="55" customWidth="1"/>
    <col min="35" max="35" width="10.83203125" customWidth="1"/>
  </cols>
  <sheetData>
    <row r="1" spans="1:35" s="8" customFormat="1" ht="85">
      <c r="A1" s="3" t="s">
        <v>6</v>
      </c>
      <c r="B1" s="3" t="s">
        <v>9</v>
      </c>
      <c r="C1" s="3" t="s">
        <v>11</v>
      </c>
      <c r="D1" s="3" t="s">
        <v>13</v>
      </c>
      <c r="E1" s="3" t="s">
        <v>14</v>
      </c>
      <c r="F1" s="3" t="s">
        <v>16</v>
      </c>
      <c r="G1" s="3" t="s">
        <v>18</v>
      </c>
      <c r="H1" s="4" t="s">
        <v>111</v>
      </c>
      <c r="I1" s="4" t="s">
        <v>112</v>
      </c>
      <c r="J1" s="3" t="s">
        <v>113</v>
      </c>
      <c r="K1" s="3" t="s">
        <v>114</v>
      </c>
      <c r="L1" s="3" t="s">
        <v>629</v>
      </c>
      <c r="M1" s="3" t="s">
        <v>35</v>
      </c>
      <c r="N1" s="17" t="s">
        <v>630</v>
      </c>
      <c r="O1" s="17" t="s">
        <v>631</v>
      </c>
      <c r="P1" s="17" t="s">
        <v>39</v>
      </c>
      <c r="Q1" s="3" t="s">
        <v>632</v>
      </c>
      <c r="R1" s="3" t="s">
        <v>134</v>
      </c>
      <c r="S1" s="3" t="s">
        <v>135</v>
      </c>
      <c r="T1" s="3" t="s">
        <v>136</v>
      </c>
      <c r="U1" s="7" t="s">
        <v>82</v>
      </c>
      <c r="V1" s="7" t="s">
        <v>83</v>
      </c>
      <c r="W1" s="7" t="s">
        <v>84</v>
      </c>
      <c r="X1" s="7" t="s">
        <v>85</v>
      </c>
      <c r="Y1" s="7" t="s">
        <v>86</v>
      </c>
      <c r="Z1" s="3" t="s">
        <v>159</v>
      </c>
      <c r="AA1" s="4" t="s">
        <v>160</v>
      </c>
      <c r="AB1" s="4" t="s">
        <v>161</v>
      </c>
      <c r="AC1" s="4" t="s">
        <v>633</v>
      </c>
      <c r="AD1" s="4" t="s">
        <v>634</v>
      </c>
      <c r="AE1" s="4" t="s">
        <v>635</v>
      </c>
      <c r="AF1" s="4" t="s">
        <v>636</v>
      </c>
      <c r="AG1" s="4" t="s">
        <v>108</v>
      </c>
      <c r="AH1" s="4" t="s">
        <v>637</v>
      </c>
      <c r="AI1" s="4" t="s">
        <v>110</v>
      </c>
    </row>
    <row r="2" spans="1:35" s="8" customFormat="1" ht="17">
      <c r="A2" s="3">
        <v>1</v>
      </c>
      <c r="B2" s="3">
        <v>2</v>
      </c>
      <c r="C2" s="3">
        <v>3</v>
      </c>
      <c r="D2" s="3">
        <v>4</v>
      </c>
      <c r="E2" s="3">
        <v>5</v>
      </c>
      <c r="F2" s="3">
        <v>6</v>
      </c>
      <c r="G2" s="3">
        <v>7</v>
      </c>
      <c r="H2" s="3">
        <v>8</v>
      </c>
      <c r="I2" s="3">
        <v>9</v>
      </c>
      <c r="J2" s="3">
        <v>10</v>
      </c>
      <c r="K2" s="3">
        <v>11</v>
      </c>
      <c r="L2" s="3">
        <v>12</v>
      </c>
      <c r="M2" s="3">
        <v>16</v>
      </c>
      <c r="N2" s="17">
        <v>17</v>
      </c>
      <c r="O2" s="17">
        <v>18</v>
      </c>
      <c r="P2" s="17">
        <v>19</v>
      </c>
      <c r="Q2" s="3" t="s">
        <v>62</v>
      </c>
      <c r="R2" s="3" t="s">
        <v>64</v>
      </c>
      <c r="S2" s="3">
        <v>40</v>
      </c>
      <c r="T2" s="3">
        <v>41</v>
      </c>
      <c r="U2" s="3">
        <v>52</v>
      </c>
      <c r="V2" s="3">
        <v>53</v>
      </c>
      <c r="W2" s="3">
        <v>54</v>
      </c>
      <c r="X2" s="3">
        <v>55</v>
      </c>
      <c r="Y2" s="3">
        <v>56</v>
      </c>
      <c r="Z2" s="3">
        <v>68</v>
      </c>
      <c r="AA2" s="3">
        <v>69</v>
      </c>
      <c r="AB2" s="3">
        <v>70</v>
      </c>
      <c r="AC2" s="3">
        <v>71</v>
      </c>
      <c r="AD2" s="3">
        <v>72</v>
      </c>
      <c r="AE2" s="3">
        <v>73</v>
      </c>
      <c r="AF2" s="3">
        <v>74</v>
      </c>
      <c r="AG2" s="17">
        <v>75</v>
      </c>
      <c r="AH2" s="17">
        <v>76</v>
      </c>
      <c r="AI2" s="3">
        <v>77</v>
      </c>
    </row>
    <row r="3" spans="1:35">
      <c r="A3" t="str">
        <f>'Long-form'!A4</f>
        <v>LFA27</v>
      </c>
      <c r="B3" t="str">
        <f>'Long-form'!B4</f>
        <v>Huang et al. 1986</v>
      </c>
      <c r="C3" t="str">
        <f>'Long-form'!C4</f>
        <v>9a</v>
      </c>
      <c r="D3" t="str">
        <f>'Long-form'!D4</f>
        <v>Hong Kong</v>
      </c>
      <c r="E3" s="55">
        <f>'Long-form'!E4</f>
        <v>22.887930000000001</v>
      </c>
      <c r="F3" s="55">
        <f>'Long-form'!F4</f>
        <v>115.67025</v>
      </c>
      <c r="G3" t="str">
        <f>'Long-form'!G4</f>
        <v>1 = Radiocarbon</v>
      </c>
      <c r="H3" s="56">
        <f>'Long-form'!H4</f>
        <v>8720.681864716249</v>
      </c>
      <c r="I3" s="56">
        <f>'Long-form'!I4</f>
        <v>203.03459607662927</v>
      </c>
      <c r="J3" s="56">
        <f>'Long-form'!J4</f>
        <v>9192</v>
      </c>
      <c r="K3" s="56">
        <f>'Long-form'!K4</f>
        <v>544</v>
      </c>
      <c r="L3" s="56">
        <f>'Long-form'!L4</f>
        <v>605</v>
      </c>
      <c r="M3" s="56" t="str">
        <f>'Long-form'!Q4</f>
        <v>regressive</v>
      </c>
      <c r="N3" s="55">
        <f>'Long-form'!R4</f>
        <v>24.9</v>
      </c>
      <c r="O3" s="55" t="str">
        <f>'Long-form'!S4</f>
        <v>nd</v>
      </c>
      <c r="P3" s="55">
        <f>'Long-form'!T4</f>
        <v>1</v>
      </c>
      <c r="Q3" s="55">
        <f>'Long-form'!AM4</f>
        <v>-17.8</v>
      </c>
      <c r="R3" s="55" t="str">
        <f>'Long-form'!AN4</f>
        <v>YSD</v>
      </c>
      <c r="S3" s="55">
        <f>'Long-form'!AP4</f>
        <v>0.73013971265778987</v>
      </c>
      <c r="T3" s="55">
        <f>'Long-form'!AQ4</f>
        <v>0.73013971265778987</v>
      </c>
      <c r="U3" t="str">
        <f>'Long-form'!BC4</f>
        <v>-1</v>
      </c>
      <c r="V3" t="str">
        <f>'Long-form'!BD4</f>
        <v>5 = Sedimentary (e.g., deltaic, estuarine, wetland, lacustrine, marine facies)</v>
      </c>
      <c r="W3" t="str">
        <f>'Long-form'!BE4</f>
        <v>Subtidal deposit</v>
      </c>
      <c r="X3" t="str">
        <f>'Long-form'!BF4</f>
        <v>Shell-bearing muddy sediment (author interpretation only)</v>
      </c>
      <c r="Y3" t="str">
        <f>'Long-form'!BH4</f>
        <v>&lt;MTL</v>
      </c>
      <c r="Z3" s="55">
        <f>'Long-form'!BT4</f>
        <v>-17.802694257999999</v>
      </c>
      <c r="AA3" s="55">
        <f>'Long-form'!BU4</f>
        <v>0.73184971134789678</v>
      </c>
      <c r="AB3" s="55">
        <f>'Long-form'!BV4</f>
        <v>0.73184971134789678</v>
      </c>
      <c r="AC3" s="55" t="str">
        <f>'Long-form'!BW4</f>
        <v>nd</v>
      </c>
      <c r="AD3" s="55" t="str">
        <f>'Long-form'!BX4</f>
        <v>nd</v>
      </c>
      <c r="AE3" s="55" t="str">
        <f>'Long-form'!BY4</f>
        <v>nd</v>
      </c>
      <c r="AF3" t="str">
        <f>'Long-form'!BZ4</f>
        <v>nd</v>
      </c>
      <c r="AG3">
        <f>'Long-form'!CB4</f>
        <v>0</v>
      </c>
      <c r="AH3">
        <f>'Long-form'!CD4</f>
        <v>0</v>
      </c>
      <c r="AI3" t="e">
        <f>'Long-form'!#REF!</f>
        <v>#REF!</v>
      </c>
    </row>
    <row r="4" spans="1:35">
      <c r="A4" t="str">
        <f>'Long-form'!A5</f>
        <v>MF-ML</v>
      </c>
      <c r="B4" t="str">
        <f>'Long-form'!B5</f>
        <v>Huang et al. 1986</v>
      </c>
      <c r="C4" t="str">
        <f>'Long-form'!C5</f>
        <v>9a</v>
      </c>
      <c r="D4" t="str">
        <f>'Long-form'!D5</f>
        <v>Hong Kong</v>
      </c>
      <c r="E4" s="55">
        <f>'Long-form'!E5</f>
        <v>22.825800000000001</v>
      </c>
      <c r="F4" s="55">
        <f>'Long-form'!F5</f>
        <v>115.18684</v>
      </c>
      <c r="G4" t="str">
        <f>'Long-form'!G5</f>
        <v>1 = Radiocarbon</v>
      </c>
      <c r="H4" s="56">
        <f>'Long-form'!H5</f>
        <v>4370.6818647162481</v>
      </c>
      <c r="I4" s="56">
        <f>'Long-form'!I5</f>
        <v>182.61447698361707</v>
      </c>
      <c r="J4" s="56">
        <f>'Long-form'!J5</f>
        <v>4333</v>
      </c>
      <c r="K4" s="56">
        <f>'Long-form'!K5</f>
        <v>515</v>
      </c>
      <c r="L4" s="56">
        <f>'Long-form'!L5</f>
        <v>526</v>
      </c>
      <c r="M4" s="56" t="str">
        <f>'Long-form'!Q5</f>
        <v>transgressive</v>
      </c>
      <c r="N4" s="55">
        <f>'Long-form'!R5</f>
        <v>2.82</v>
      </c>
      <c r="O4" s="55" t="str">
        <f>'Long-form'!S5</f>
        <v>nd</v>
      </c>
      <c r="P4" s="55">
        <f>'Long-form'!T5</f>
        <v>1</v>
      </c>
      <c r="Q4" s="55">
        <f>'Long-form'!AM5</f>
        <v>3</v>
      </c>
      <c r="R4" s="55" t="str">
        <f>'Long-form'!AN5</f>
        <v>YSD</v>
      </c>
      <c r="S4" s="55">
        <f>'Long-form'!AP5</f>
        <v>0.53691801981308096</v>
      </c>
      <c r="T4" s="55">
        <f>'Long-form'!AQ5</f>
        <v>0.53691801981308096</v>
      </c>
      <c r="U4" t="str">
        <f>'Long-form'!BC5</f>
        <v xml:space="preserve">1 </v>
      </c>
      <c r="V4" t="str">
        <f>'Long-form'!BD5</f>
        <v>5 = Sedimentary (e.g., deltaic, estuarine, wetland, lacustrine, marine facies)</v>
      </c>
      <c r="W4" t="str">
        <f>'Long-form'!BE5</f>
        <v>Shell ridge</v>
      </c>
      <c r="X4" t="str">
        <f>'Long-form'!BF5</f>
        <v>author interpretation only</v>
      </c>
      <c r="Y4" t="str">
        <f>'Long-form'!BH5</f>
        <v>&gt;MLLW</v>
      </c>
      <c r="Z4" s="55">
        <f>'Long-form'!BT5</f>
        <v>3.521650132</v>
      </c>
      <c r="AA4" s="55">
        <f>'Long-form'!BU5</f>
        <v>0.66953787047485225</v>
      </c>
      <c r="AB4" s="55">
        <f>'Long-form'!BV5</f>
        <v>0.66953787047485225</v>
      </c>
      <c r="AC4" s="55" t="str">
        <f>'Long-form'!BW5</f>
        <v>nd</v>
      </c>
      <c r="AD4" s="55" t="str">
        <f>'Long-form'!BX5</f>
        <v>nd</v>
      </c>
      <c r="AE4" s="55" t="str">
        <f>'Long-form'!BY5</f>
        <v>nd</v>
      </c>
      <c r="AF4" t="str">
        <f>'Long-form'!BZ5</f>
        <v>nd</v>
      </c>
      <c r="AG4">
        <f>'Long-form'!CB5</f>
        <v>0</v>
      </c>
      <c r="AH4">
        <f>'Long-form'!CD5</f>
        <v>0</v>
      </c>
      <c r="AI4" t="e">
        <f>'Long-form'!#REF!</f>
        <v>#REF!</v>
      </c>
    </row>
    <row r="5" spans="1:35">
      <c r="A5" t="str">
        <f>'Long-form'!A6</f>
        <v>HDBSS</v>
      </c>
      <c r="B5" t="str">
        <f>'Long-form'!B6</f>
        <v>Huang et al. 1986</v>
      </c>
      <c r="C5" t="str">
        <f>'Long-form'!C6</f>
        <v>9a</v>
      </c>
      <c r="D5" t="str">
        <f>'Long-form'!D6</f>
        <v>Hong Kong</v>
      </c>
      <c r="E5" s="55">
        <f>'Long-form'!E6</f>
        <v>22.74587</v>
      </c>
      <c r="F5" s="55">
        <f>'Long-form'!F6</f>
        <v>114.75836</v>
      </c>
      <c r="G5" t="str">
        <f>'Long-form'!G6</f>
        <v>1 = Radiocarbon</v>
      </c>
      <c r="H5" s="56">
        <f>'Long-form'!H6</f>
        <v>1861.2776368064237</v>
      </c>
      <c r="I5" s="56">
        <f>'Long-form'!I6</f>
        <v>141.74950401380599</v>
      </c>
      <c r="J5" s="56">
        <f>'Long-form'!J6</f>
        <v>1779</v>
      </c>
      <c r="K5" s="56">
        <f>'Long-form'!K6</f>
        <v>342</v>
      </c>
      <c r="L5" s="56">
        <f>'Long-form'!L6</f>
        <v>365</v>
      </c>
      <c r="M5" s="56" t="str">
        <f>'Long-form'!Q6</f>
        <v>transgressive</v>
      </c>
      <c r="N5" s="55">
        <f>'Long-form'!R6</f>
        <v>4.57</v>
      </c>
      <c r="O5" s="55" t="str">
        <f>'Long-form'!S6</f>
        <v>nd</v>
      </c>
      <c r="P5" s="55">
        <f>'Long-form'!T6</f>
        <v>1</v>
      </c>
      <c r="Q5" s="55">
        <f>'Long-form'!AM6</f>
        <v>1.5</v>
      </c>
      <c r="R5" s="55" t="str">
        <f>'Long-form'!AN6</f>
        <v>YSD</v>
      </c>
      <c r="S5" s="55">
        <f>'Long-form'!AP6</f>
        <v>0.5417139097346495</v>
      </c>
      <c r="T5" s="55">
        <f>'Long-form'!AQ6</f>
        <v>0.5417139097346495</v>
      </c>
      <c r="U5" t="str">
        <f>'Long-form'!BC6</f>
        <v xml:space="preserve">-1 </v>
      </c>
      <c r="V5" t="str">
        <f>'Long-form'!BD6</f>
        <v>5 = Sedimentary (e.g., deltaic, estuarine, wetland, lacustrine, marine facies)</v>
      </c>
      <c r="W5" t="str">
        <f>'Long-form'!BE6</f>
        <v>Lagoon deposit</v>
      </c>
      <c r="X5" t="str">
        <f>'Long-form'!BF6</f>
        <v>Rotten wood and muddy sediment (Author interpretation)</v>
      </c>
      <c r="Y5" t="str">
        <f>'Long-form'!BH6</f>
        <v>&lt;HAT</v>
      </c>
      <c r="Z5" s="55">
        <f>'Long-form'!BT6</f>
        <v>0.30675288700000003</v>
      </c>
      <c r="AA5" s="55">
        <f>'Long-form'!BU6</f>
        <v>0.57083619366679961</v>
      </c>
      <c r="AB5" s="55">
        <f>'Long-form'!BV6</f>
        <v>0.57083619366679961</v>
      </c>
      <c r="AC5" s="55" t="str">
        <f>'Long-form'!BW6</f>
        <v>nd</v>
      </c>
      <c r="AD5" s="55" t="str">
        <f>'Long-form'!BX6</f>
        <v>nd</v>
      </c>
      <c r="AE5" s="55" t="str">
        <f>'Long-form'!BY6</f>
        <v>nd</v>
      </c>
      <c r="AF5" t="str">
        <f>'Long-form'!BZ6</f>
        <v>nd</v>
      </c>
      <c r="AG5">
        <f>'Long-form'!CB6</f>
        <v>0</v>
      </c>
      <c r="AH5">
        <f>'Long-form'!CD6</f>
        <v>0</v>
      </c>
      <c r="AI5" t="e">
        <f>'Long-form'!#REF!</f>
        <v>#REF!</v>
      </c>
    </row>
    <row r="6" spans="1:35">
      <c r="A6" t="str">
        <f>'Long-form'!A7</f>
        <v>Huang8301</v>
      </c>
      <c r="B6" t="str">
        <f>'Long-form'!B7</f>
        <v>Huang et al. 1983; Huang et al. 1986</v>
      </c>
      <c r="C6" t="str">
        <f>'Long-form'!C7</f>
        <v>9a</v>
      </c>
      <c r="D6" t="str">
        <f>'Long-form'!D7</f>
        <v>Hong Kong</v>
      </c>
      <c r="E6" s="55">
        <f>'Long-form'!E7</f>
        <v>22.45</v>
      </c>
      <c r="F6" s="55">
        <f>'Long-form'!F7</f>
        <v>114.5</v>
      </c>
      <c r="G6" t="str">
        <f>'Long-form'!G7</f>
        <v>1 = Radiocarbon</v>
      </c>
      <c r="H6" s="56">
        <f>'Long-form'!H7</f>
        <v>2560.6818647162481</v>
      </c>
      <c r="I6" s="56">
        <f>'Long-form'!I7</f>
        <v>97.714109544118543</v>
      </c>
      <c r="J6" s="56">
        <f>'Long-form'!J7</f>
        <v>2075</v>
      </c>
      <c r="K6" s="56">
        <f>'Long-form'!K7</f>
        <v>311</v>
      </c>
      <c r="L6" s="56">
        <f>'Long-form'!L7</f>
        <v>344</v>
      </c>
      <c r="M6" s="56" t="str">
        <f>'Long-form'!Q7</f>
        <v>regressive</v>
      </c>
      <c r="N6" s="55">
        <f>'Long-form'!R7</f>
        <v>0</v>
      </c>
      <c r="O6" s="55" t="str">
        <f>'Long-form'!S7</f>
        <v>nd</v>
      </c>
      <c r="P6" s="55">
        <f>'Long-form'!T7</f>
        <v>1</v>
      </c>
      <c r="Q6" s="55">
        <f>'Long-form'!AM7</f>
        <v>1.5</v>
      </c>
      <c r="R6" s="55" t="str">
        <f>'Long-form'!AN7</f>
        <v>YSD</v>
      </c>
      <c r="S6" s="55">
        <f>'Long-form'!AP7</f>
        <v>0.51244511901275824</v>
      </c>
      <c r="T6" s="55">
        <f>'Long-form'!AQ7</f>
        <v>0.51244511901275824</v>
      </c>
      <c r="U6" t="str">
        <f>'Long-form'!BC7</f>
        <v>0</v>
      </c>
      <c r="V6" t="str">
        <f>'Long-form'!BD7</f>
        <v>5 = Sedimentary (e.g., deltaic, estuarine, wetland, lacustrine, marine facies)</v>
      </c>
      <c r="W6" t="str">
        <f>'Long-form'!BE7</f>
        <v>Beach deposit</v>
      </c>
      <c r="X6" t="str">
        <f>'Long-form'!BF7</f>
        <v>sedimentary structure and grain size</v>
      </c>
      <c r="Y6" t="str">
        <f>'Long-form'!BH7</f>
        <v>HAT-LAT</v>
      </c>
      <c r="Z6" s="55">
        <f>'Long-form'!BT7</f>
        <v>1.45</v>
      </c>
      <c r="AA6" s="55">
        <f>'Long-form'!BU7</f>
        <v>1.2993339471312104</v>
      </c>
      <c r="AB6" s="55">
        <f>'Long-form'!BV7</f>
        <v>1.2993339471312104</v>
      </c>
      <c r="AC6" s="55" t="str">
        <f>'Long-form'!BW7</f>
        <v>nd</v>
      </c>
      <c r="AD6" s="55" t="str">
        <f>'Long-form'!BX7</f>
        <v>nd</v>
      </c>
      <c r="AE6" s="55" t="str">
        <f>'Long-form'!BY7</f>
        <v>nd</v>
      </c>
      <c r="AF6" t="str">
        <f>'Long-form'!BZ7</f>
        <v>nd</v>
      </c>
      <c r="AG6">
        <f>'Long-form'!CB7</f>
        <v>0</v>
      </c>
      <c r="AH6">
        <f>'Long-form'!CD7</f>
        <v>0</v>
      </c>
      <c r="AI6" t="e">
        <f>'Long-form'!#REF!</f>
        <v>#REF!</v>
      </c>
    </row>
    <row r="7" spans="1:35">
      <c r="A7" t="str">
        <f>'Long-form'!A8</f>
        <v>KWG-1056</v>
      </c>
      <c r="B7" t="str">
        <f>'Long-form'!B8</f>
        <v>Huang et al. 1983; Huang et al. 1986</v>
      </c>
      <c r="C7" t="str">
        <f>'Long-form'!C8</f>
        <v>9a</v>
      </c>
      <c r="D7" t="str">
        <f>'Long-form'!D8</f>
        <v>Hong Kong</v>
      </c>
      <c r="E7" s="55">
        <f>'Long-form'!E8</f>
        <v>22.45</v>
      </c>
      <c r="F7" s="55">
        <f>'Long-form'!F8</f>
        <v>114.5</v>
      </c>
      <c r="G7" t="str">
        <f>'Long-form'!G8</f>
        <v>1 = Radiocarbon</v>
      </c>
      <c r="H7" s="56">
        <f>'Long-form'!H8</f>
        <v>3750.6818647162481</v>
      </c>
      <c r="I7" s="56">
        <f>'Long-form'!I8</f>
        <v>129.317621397859</v>
      </c>
      <c r="J7" s="56">
        <f>'Long-form'!J8</f>
        <v>3535</v>
      </c>
      <c r="K7" s="56">
        <f>'Long-form'!K8</f>
        <v>404</v>
      </c>
      <c r="L7" s="56">
        <f>'Long-form'!L8</f>
        <v>387</v>
      </c>
      <c r="M7" s="56" t="str">
        <f>'Long-form'!Q8</f>
        <v>regressive</v>
      </c>
      <c r="N7" s="55">
        <f>'Long-form'!R8</f>
        <v>5.66</v>
      </c>
      <c r="O7" s="55">
        <f>'Long-form'!S8</f>
        <v>4.62</v>
      </c>
      <c r="P7" s="55">
        <f>'Long-form'!T8</f>
        <v>1</v>
      </c>
      <c r="Q7" s="55">
        <f>'Long-form'!AM8</f>
        <v>-4.4000000000000004</v>
      </c>
      <c r="R7" s="55" t="str">
        <f>'Long-form'!AN8</f>
        <v>YSD</v>
      </c>
      <c r="S7" s="55">
        <f>'Long-form'!AP8</f>
        <v>0.54581520682370144</v>
      </c>
      <c r="T7" s="55">
        <f>'Long-form'!AQ8</f>
        <v>0.54581520682370144</v>
      </c>
      <c r="U7" t="str">
        <f>'Long-form'!BC8</f>
        <v>-1</v>
      </c>
      <c r="V7" t="str">
        <f>'Long-form'!BD8</f>
        <v>5 = Sedimentary (e.g., deltaic, estuarine, wetland, lacustrine, marine facies)</v>
      </c>
      <c r="W7" t="str">
        <f>'Long-form'!BE8</f>
        <v>Subtidal deposit</v>
      </c>
      <c r="X7" t="str">
        <f>'Long-form'!BF8</f>
        <v>sediment texture, mollusc fossil</v>
      </c>
      <c r="Y7" t="str">
        <f>'Long-form'!BH8</f>
        <v>&lt;MTL</v>
      </c>
      <c r="Z7" s="55">
        <f>'Long-form'!BT8</f>
        <v>-4.4243997070000001</v>
      </c>
      <c r="AA7" s="55">
        <f>'Long-form'!BU8</f>
        <v>0.54810057471234241</v>
      </c>
      <c r="AB7" s="55">
        <f>'Long-form'!BV8</f>
        <v>0.54810057471234241</v>
      </c>
      <c r="AC7" s="55" t="str">
        <f>'Long-form'!BW8</f>
        <v>nd</v>
      </c>
      <c r="AD7" s="55" t="str">
        <f>'Long-form'!BX8</f>
        <v>nd</v>
      </c>
      <c r="AE7" s="55" t="str">
        <f>'Long-form'!BY8</f>
        <v>nd</v>
      </c>
      <c r="AF7" t="str">
        <f>'Long-form'!BZ8</f>
        <v>nd</v>
      </c>
      <c r="AG7">
        <f>'Long-form'!CB8</f>
        <v>0</v>
      </c>
      <c r="AH7">
        <f>'Long-form'!CD8</f>
        <v>0</v>
      </c>
      <c r="AI7" t="e">
        <f>'Long-form'!#REF!</f>
        <v>#REF!</v>
      </c>
    </row>
    <row r="8" spans="1:35">
      <c r="A8" t="str">
        <f>'Long-form'!A9</f>
        <v>KWG-1057</v>
      </c>
      <c r="B8" t="str">
        <f>'Long-form'!B9</f>
        <v>Huang et al. 1983; Huang et al. 1986</v>
      </c>
      <c r="C8" t="str">
        <f>'Long-form'!C9</f>
        <v>9a</v>
      </c>
      <c r="D8" t="str">
        <f>'Long-form'!D9</f>
        <v>Hong Kong</v>
      </c>
      <c r="E8" s="55">
        <f>'Long-form'!E9</f>
        <v>22.45</v>
      </c>
      <c r="F8" s="55">
        <f>'Long-form'!F9</f>
        <v>114.5</v>
      </c>
      <c r="G8" t="str">
        <f>'Long-form'!G9</f>
        <v>1 = Radiocarbon</v>
      </c>
      <c r="H8" s="56">
        <f>'Long-form'!H9</f>
        <v>4368.8105623511901</v>
      </c>
      <c r="I8" s="56">
        <f>'Long-form'!I9</f>
        <v>172.23393710447482</v>
      </c>
      <c r="J8" s="56">
        <f>'Long-form'!J9</f>
        <v>4331</v>
      </c>
      <c r="K8" s="56">
        <f>'Long-form'!K9</f>
        <v>493</v>
      </c>
      <c r="L8" s="56">
        <f>'Long-form'!L9</f>
        <v>499</v>
      </c>
      <c r="M8" s="56" t="str">
        <f>'Long-form'!Q9</f>
        <v>transgressive</v>
      </c>
      <c r="N8" s="55">
        <f>'Long-form'!R9</f>
        <v>8</v>
      </c>
      <c r="O8" s="55" t="str">
        <f>'Long-form'!S9</f>
        <v>nd</v>
      </c>
      <c r="P8" s="55">
        <f>'Long-form'!T9</f>
        <v>1</v>
      </c>
      <c r="Q8" s="55">
        <f>'Long-form'!AM9</f>
        <v>-7</v>
      </c>
      <c r="R8" s="55" t="str">
        <f>'Long-form'!AN9</f>
        <v>YSD</v>
      </c>
      <c r="S8" s="55">
        <f>'Long-form'!AP9</f>
        <v>0.55740470037487133</v>
      </c>
      <c r="T8" s="55">
        <f>'Long-form'!AQ9</f>
        <v>0.55740470037487133</v>
      </c>
      <c r="U8" t="str">
        <f>'Long-form'!BC9</f>
        <v>-1</v>
      </c>
      <c r="V8" t="str">
        <f>'Long-form'!BD9</f>
        <v>5 = Sedimentary (e.g., deltaic, estuarine, wetland, lacustrine, marine facies)</v>
      </c>
      <c r="W8" t="str">
        <f>'Long-form'!BE9</f>
        <v>Subtidal deposit</v>
      </c>
      <c r="X8" t="str">
        <f>'Long-form'!BF9</f>
        <v>sediment texture</v>
      </c>
      <c r="Y8" t="str">
        <f>'Long-form'!BH9</f>
        <v>&lt;MTL</v>
      </c>
      <c r="Z8" s="55">
        <f>'Long-form'!BT9</f>
        <v>-7.0243997069999997</v>
      </c>
      <c r="AA8" s="55">
        <f>'Long-form'!BU9</f>
        <v>0.55964274318532903</v>
      </c>
      <c r="AB8" s="55">
        <f>'Long-form'!BV9</f>
        <v>0.55964274318532903</v>
      </c>
      <c r="AC8" s="55" t="str">
        <f>'Long-form'!BW9</f>
        <v>nd</v>
      </c>
      <c r="AD8" s="55" t="str">
        <f>'Long-form'!BX9</f>
        <v>nd</v>
      </c>
      <c r="AE8" s="55" t="str">
        <f>'Long-form'!BY9</f>
        <v>nd</v>
      </c>
      <c r="AF8" t="str">
        <f>'Long-form'!BZ9</f>
        <v>nd</v>
      </c>
      <c r="AG8">
        <f>'Long-form'!CB9</f>
        <v>0</v>
      </c>
      <c r="AH8">
        <f>'Long-form'!CD9</f>
        <v>0</v>
      </c>
      <c r="AI8" t="e">
        <f>'Long-form'!#REF!</f>
        <v>#REF!</v>
      </c>
    </row>
    <row r="9" spans="1:35">
      <c r="A9" t="str">
        <f>'Long-form'!A10</f>
        <v>KWG-252</v>
      </c>
      <c r="B9" t="str">
        <f>'Long-form'!B10</f>
        <v>Huang et al. 1983; Li et al. 1991; Zong 2004</v>
      </c>
      <c r="C9" t="str">
        <f>'Long-form'!C10</f>
        <v>9a</v>
      </c>
      <c r="D9" t="str">
        <f>'Long-form'!D10</f>
        <v>Hong Kong</v>
      </c>
      <c r="E9" s="55">
        <f>'Long-form'!E10</f>
        <v>22.45</v>
      </c>
      <c r="F9" s="55">
        <f>'Long-form'!F10</f>
        <v>114.5</v>
      </c>
      <c r="G9" t="str">
        <f>'Long-form'!G10</f>
        <v>1 = Radiocarbon</v>
      </c>
      <c r="H9" s="56">
        <f>'Long-form'!H10</f>
        <v>3888.8105623511883</v>
      </c>
      <c r="I9" s="56">
        <f>'Long-form'!I10</f>
        <v>148.87756409381564</v>
      </c>
      <c r="J9" s="56">
        <f>'Long-form'!J10</f>
        <v>4310</v>
      </c>
      <c r="K9" s="56">
        <f>'Long-form'!K10</f>
        <v>503</v>
      </c>
      <c r="L9" s="56">
        <f>'Long-form'!L10</f>
        <v>407</v>
      </c>
      <c r="M9" s="56" t="str">
        <f>'Long-form'!Q10</f>
        <v>transgressive</v>
      </c>
      <c r="N9" s="55">
        <f>'Long-form'!R10</f>
        <v>4.4000000000000004</v>
      </c>
      <c r="O9" s="55" t="str">
        <f>'Long-form'!S10</f>
        <v>nd</v>
      </c>
      <c r="P9" s="55">
        <f>'Long-form'!T10</f>
        <v>1</v>
      </c>
      <c r="Q9" s="55">
        <f>'Long-form'!AM10</f>
        <v>-5.6</v>
      </c>
      <c r="R9" s="55" t="str">
        <f>'Long-form'!AN10</f>
        <v>YSD</v>
      </c>
      <c r="S9" s="55">
        <f>'Long-form'!AP10</f>
        <v>0.54115062598134356</v>
      </c>
      <c r="T9" s="55">
        <f>'Long-form'!AQ10</f>
        <v>0.54115062598134356</v>
      </c>
      <c r="U9" t="str">
        <f>'Long-form'!BC10</f>
        <v>-1</v>
      </c>
      <c r="V9" t="str">
        <f>'Long-form'!BD10</f>
        <v>5 = Sedimentary (e.g., deltaic, estuarine, wetland, lacustrine, marine facies)</v>
      </c>
      <c r="W9" t="str">
        <f>'Long-form'!BE10</f>
        <v>Subtidal deposit</v>
      </c>
      <c r="X9" t="str">
        <f>'Long-form'!BF10</f>
        <v>sediment texture</v>
      </c>
      <c r="Y9" t="str">
        <f>'Long-form'!BH10</f>
        <v>&lt;MTL</v>
      </c>
      <c r="Z9" s="55">
        <f>'Long-form'!BT10</f>
        <v>-5.6243997069999994</v>
      </c>
      <c r="AA9" s="55">
        <f>'Long-form'!BU10</f>
        <v>0.5434556099627641</v>
      </c>
      <c r="AB9" s="55">
        <f>'Long-form'!BV10</f>
        <v>0.5434556099627641</v>
      </c>
      <c r="AC9" s="55" t="str">
        <f>'Long-form'!BW10</f>
        <v>nd</v>
      </c>
      <c r="AD9" s="55" t="str">
        <f>'Long-form'!BX10</f>
        <v>nd</v>
      </c>
      <c r="AE9" s="55" t="str">
        <f>'Long-form'!BY10</f>
        <v>nd</v>
      </c>
      <c r="AF9" t="str">
        <f>'Long-form'!BZ10</f>
        <v>nd</v>
      </c>
      <c r="AG9">
        <f>'Long-form'!CB10</f>
        <v>0</v>
      </c>
      <c r="AH9">
        <f>'Long-form'!CD10</f>
        <v>0</v>
      </c>
      <c r="AI9" t="e">
        <f>'Long-form'!#REF!</f>
        <v>#REF!</v>
      </c>
    </row>
    <row r="10" spans="1:35">
      <c r="A10" t="str">
        <f>'Long-form'!A11</f>
        <v>OxA-5400</v>
      </c>
      <c r="B10" t="str">
        <f>'Long-form'!B11</f>
        <v>Davis 1999; Fyfe et al 1999</v>
      </c>
      <c r="C10" t="str">
        <f>'Long-form'!C11</f>
        <v>9a</v>
      </c>
      <c r="D10" t="str">
        <f>'Long-form'!D11</f>
        <v>Hong Kong</v>
      </c>
      <c r="E10" s="55">
        <f>'Long-form'!E11</f>
        <v>22.152553989000001</v>
      </c>
      <c r="F10" s="55">
        <f>'Long-form'!F11</f>
        <v>114.44853539</v>
      </c>
      <c r="G10" t="str">
        <f>'Long-form'!G11</f>
        <v>1 = Radiocarbon</v>
      </c>
      <c r="H10" s="56">
        <f>'Long-form'!H11</f>
        <v>2025</v>
      </c>
      <c r="I10" s="56">
        <f>'Long-form'!I11</f>
        <v>65</v>
      </c>
      <c r="J10" s="56">
        <f>'Long-form'!J11</f>
        <v>1441</v>
      </c>
      <c r="K10" s="56">
        <f>'Long-form'!K11</f>
        <v>255</v>
      </c>
      <c r="L10" s="56">
        <f>'Long-form'!L11</f>
        <v>218</v>
      </c>
      <c r="M10" s="56" t="str">
        <f>'Long-form'!Q11</f>
        <v>transgressive</v>
      </c>
      <c r="N10" s="55">
        <f>'Long-form'!R11</f>
        <v>7.05</v>
      </c>
      <c r="O10" s="55" t="str">
        <f>'Long-form'!S11</f>
        <v>&gt;53.2</v>
      </c>
      <c r="P10" s="55">
        <f>'Long-form'!T11</f>
        <v>1</v>
      </c>
      <c r="Q10" s="55">
        <f>'Long-form'!AM11</f>
        <v>-35.880000000000003</v>
      </c>
      <c r="R10" s="55" t="str">
        <f>'Long-form'!AN11</f>
        <v>YSD</v>
      </c>
      <c r="S10" s="55">
        <f>'Long-form'!AP11</f>
        <v>0.55000545451840743</v>
      </c>
      <c r="T10" s="55">
        <f>'Long-form'!AQ11</f>
        <v>0.55000545451840743</v>
      </c>
      <c r="U10" t="str">
        <f>'Long-form'!BC11</f>
        <v>-1</v>
      </c>
      <c r="V10" t="str">
        <f>'Long-form'!BD11</f>
        <v>5 = Sedimentary (e.g., deltaic, estuarine, wetland, lacustrine, marine facies)</v>
      </c>
      <c r="W10" t="str">
        <f>'Long-form'!BE11</f>
        <v>Marine deposit</v>
      </c>
      <c r="X10" t="str">
        <f>'Long-form'!BF11</f>
        <v>sediment texture, grain size, diatom and foraminifera assemblage</v>
      </c>
      <c r="Y10" t="str">
        <f>'Long-form'!BH11</f>
        <v>&lt;MTL</v>
      </c>
      <c r="Z10" s="55">
        <f>'Long-form'!BT11</f>
        <v>-35.965366334000002</v>
      </c>
      <c r="AA10" s="55">
        <f>'Long-form'!BU11</f>
        <v>0.5522734829774103</v>
      </c>
      <c r="AB10" s="55">
        <f>'Long-form'!BV11</f>
        <v>0.5522734829774103</v>
      </c>
      <c r="AC10" s="55" t="str">
        <f>'Long-form'!BW11</f>
        <v>nd</v>
      </c>
      <c r="AD10" s="55" t="str">
        <f>'Long-form'!BX11</f>
        <v>nd</v>
      </c>
      <c r="AE10" s="55" t="str">
        <f>'Long-form'!BY11</f>
        <v>nd</v>
      </c>
      <c r="AF10" t="str">
        <f>'Long-form'!BZ11</f>
        <v>nd</v>
      </c>
      <c r="AG10">
        <f>'Long-form'!CB11</f>
        <v>0</v>
      </c>
      <c r="AH10">
        <f>'Long-form'!CD11</f>
        <v>0</v>
      </c>
      <c r="AI10" t="e">
        <f>'Long-form'!#REF!</f>
        <v>#REF!</v>
      </c>
    </row>
    <row r="11" spans="1:35">
      <c r="A11" t="str">
        <f>'Long-form'!A12</f>
        <v>OxA-5401</v>
      </c>
      <c r="B11" t="str">
        <f>'Long-form'!B12</f>
        <v>Davis 1999; Fyfe et al 1999</v>
      </c>
      <c r="C11" t="str">
        <f>'Long-form'!C12</f>
        <v>9a</v>
      </c>
      <c r="D11" t="str">
        <f>'Long-form'!D12</f>
        <v>Hong Kong</v>
      </c>
      <c r="E11" s="55">
        <f>'Long-form'!E12</f>
        <v>22.152553989000001</v>
      </c>
      <c r="F11" s="55">
        <f>'Long-form'!F12</f>
        <v>114.44853539</v>
      </c>
      <c r="G11" t="str">
        <f>'Long-form'!G12</f>
        <v>1 = Radiocarbon</v>
      </c>
      <c r="H11" s="56">
        <f>'Long-form'!H12</f>
        <v>3575</v>
      </c>
      <c r="I11" s="56">
        <f>'Long-form'!I12</f>
        <v>60</v>
      </c>
      <c r="J11" s="56">
        <f>'Long-form'!J12</f>
        <v>3314</v>
      </c>
      <c r="K11" s="56">
        <f>'Long-form'!K12</f>
        <v>263</v>
      </c>
      <c r="L11" s="56">
        <f>'Long-form'!L12</f>
        <v>276</v>
      </c>
      <c r="M11" s="56" t="str">
        <f>'Long-form'!Q12</f>
        <v>transgressive</v>
      </c>
      <c r="N11" s="55">
        <f>'Long-form'!R12</f>
        <v>8.5500000000000007</v>
      </c>
      <c r="O11" s="55" t="str">
        <f>'Long-form'!S12</f>
        <v>&gt;51.7</v>
      </c>
      <c r="P11" s="55">
        <f>'Long-form'!T12</f>
        <v>1</v>
      </c>
      <c r="Q11" s="55">
        <f>'Long-form'!AM12</f>
        <v>-37.380000000000003</v>
      </c>
      <c r="R11" s="55" t="str">
        <f>'Long-form'!AN12</f>
        <v>YSD</v>
      </c>
      <c r="S11" s="55">
        <f>'Long-form'!AP12</f>
        <v>0.55844963962742422</v>
      </c>
      <c r="T11" s="55">
        <f>'Long-form'!AQ12</f>
        <v>0.55844963962742422</v>
      </c>
      <c r="U11" t="str">
        <f>'Long-form'!BC12</f>
        <v>-1</v>
      </c>
      <c r="V11" t="str">
        <f>'Long-form'!BD12</f>
        <v>5 = Sedimentary (e.g., deltaic, estuarine, wetland, lacustrine, marine facies)</v>
      </c>
      <c r="W11" t="str">
        <f>'Long-form'!BE12</f>
        <v>Marine deposit</v>
      </c>
      <c r="X11" t="str">
        <f>'Long-form'!BF12</f>
        <v>sediment texture, grain size, diatom and foraminifera assemblage</v>
      </c>
      <c r="Y11" t="str">
        <f>'Long-form'!BH12</f>
        <v>&lt;MTL</v>
      </c>
      <c r="Z11" s="55">
        <f>'Long-form'!BT12</f>
        <v>-37.465366334000002</v>
      </c>
      <c r="AA11" s="55">
        <f>'Long-form'!BU12</f>
        <v>0.56068351143938588</v>
      </c>
      <c r="AB11" s="55">
        <f>'Long-form'!BV12</f>
        <v>0.56068351143938588</v>
      </c>
      <c r="AC11" s="55" t="str">
        <f>'Long-form'!BW12</f>
        <v>nd</v>
      </c>
      <c r="AD11" s="55" t="str">
        <f>'Long-form'!BX12</f>
        <v>nd</v>
      </c>
      <c r="AE11" s="55" t="str">
        <f>'Long-form'!BY12</f>
        <v>nd</v>
      </c>
      <c r="AF11" t="str">
        <f>'Long-form'!BZ12</f>
        <v>nd</v>
      </c>
      <c r="AG11">
        <f>'Long-form'!CB12</f>
        <v>0</v>
      </c>
      <c r="AH11">
        <f>'Long-form'!CD12</f>
        <v>0</v>
      </c>
      <c r="AI11" t="e">
        <f>'Long-form'!#REF!</f>
        <v>#REF!</v>
      </c>
    </row>
    <row r="12" spans="1:35">
      <c r="A12" t="str">
        <f>'Long-form'!A13</f>
        <v>OxA-5402</v>
      </c>
      <c r="B12" t="str">
        <f>'Long-form'!B13</f>
        <v>Davis 1999; Fyfe et al 1999</v>
      </c>
      <c r="C12" t="str">
        <f>'Long-form'!C13</f>
        <v>9a</v>
      </c>
      <c r="D12" t="str">
        <f>'Long-form'!D13</f>
        <v>Hong Kong</v>
      </c>
      <c r="E12" s="55">
        <f>'Long-form'!E13</f>
        <v>22.152553989000001</v>
      </c>
      <c r="F12" s="55">
        <f>'Long-form'!F13</f>
        <v>114.44853539</v>
      </c>
      <c r="G12" t="str">
        <f>'Long-form'!G13</f>
        <v>1 = Radiocarbon</v>
      </c>
      <c r="H12" s="56">
        <f>'Long-form'!H13</f>
        <v>4870</v>
      </c>
      <c r="I12" s="56">
        <f>'Long-form'!I13</f>
        <v>75</v>
      </c>
      <c r="J12" s="56">
        <f>'Long-form'!J13</f>
        <v>4983</v>
      </c>
      <c r="K12" s="56">
        <f>'Long-form'!K13</f>
        <v>307</v>
      </c>
      <c r="L12" s="56">
        <f>'Long-form'!L13</f>
        <v>290</v>
      </c>
      <c r="M12" s="56" t="str">
        <f>'Long-form'!Q13</f>
        <v>transgressive</v>
      </c>
      <c r="N12" s="55">
        <f>'Long-form'!R13</f>
        <v>12.05</v>
      </c>
      <c r="O12" s="55" t="str">
        <f>'Long-form'!S13</f>
        <v>&gt;48.2</v>
      </c>
      <c r="P12" s="55">
        <f>'Long-form'!T13</f>
        <v>1</v>
      </c>
      <c r="Q12" s="55">
        <f>'Long-form'!AM13</f>
        <v>-40.880000000000003</v>
      </c>
      <c r="R12" s="55" t="str">
        <f>'Long-form'!AN13</f>
        <v>YSD</v>
      </c>
      <c r="S12" s="55">
        <f>'Long-form'!AP13</f>
        <v>0.5837002655473098</v>
      </c>
      <c r="T12" s="55">
        <f>'Long-form'!AQ13</f>
        <v>0.5837002655473098</v>
      </c>
      <c r="U12" t="str">
        <f>'Long-form'!BC13</f>
        <v>-1</v>
      </c>
      <c r="V12" t="str">
        <f>'Long-form'!BD13</f>
        <v>5 = Sedimentary (e.g., deltaic, estuarine, wetland, lacustrine, marine facies)</v>
      </c>
      <c r="W12" t="str">
        <f>'Long-form'!BE13</f>
        <v>Marine deposit</v>
      </c>
      <c r="X12" t="str">
        <f>'Long-form'!BF13</f>
        <v>sediment texture, grain size, diatom and foraminifera assemblage</v>
      </c>
      <c r="Y12" t="str">
        <f>'Long-form'!BH13</f>
        <v>&lt;MTL</v>
      </c>
      <c r="Z12" s="55">
        <f>'Long-form'!BT13</f>
        <v>-40.965366334000002</v>
      </c>
      <c r="AA12" s="55">
        <f>'Long-form'!BU13</f>
        <v>0.58583786152825601</v>
      </c>
      <c r="AB12" s="55">
        <f>'Long-form'!BV13</f>
        <v>0.58583786152825601</v>
      </c>
      <c r="AC12" s="55" t="str">
        <f>'Long-form'!BW13</f>
        <v>nd</v>
      </c>
      <c r="AD12" s="55" t="str">
        <f>'Long-form'!BX13</f>
        <v>nd</v>
      </c>
      <c r="AE12" s="55" t="str">
        <f>'Long-form'!BY13</f>
        <v>nd</v>
      </c>
      <c r="AF12" t="str">
        <f>'Long-form'!BZ13</f>
        <v>nd</v>
      </c>
      <c r="AG12">
        <f>'Long-form'!CB13</f>
        <v>0</v>
      </c>
      <c r="AH12">
        <f>'Long-form'!CD13</f>
        <v>0</v>
      </c>
      <c r="AI12" t="e">
        <f>'Long-form'!#REF!</f>
        <v>#REF!</v>
      </c>
    </row>
    <row r="13" spans="1:35">
      <c r="A13" t="str">
        <f>'Long-form'!A14</f>
        <v>Owen98A</v>
      </c>
      <c r="B13" t="str">
        <f>'Long-form'!B14</f>
        <v>Owen et al 1998</v>
      </c>
      <c r="C13" t="str">
        <f>'Long-form'!C14</f>
        <v>9a</v>
      </c>
      <c r="D13" t="str">
        <f>'Long-form'!D14</f>
        <v>Hong Kong</v>
      </c>
      <c r="E13" s="55">
        <f>'Long-form'!E14</f>
        <v>22.217997</v>
      </c>
      <c r="F13" s="55">
        <f>'Long-form'!F14</f>
        <v>114.38223600000001</v>
      </c>
      <c r="G13" t="str">
        <f>'Long-form'!G14</f>
        <v>1 = Radiocarbon</v>
      </c>
      <c r="H13" s="56">
        <f>'Long-form'!H14</f>
        <v>4520.681864716249</v>
      </c>
      <c r="I13" s="56">
        <f>'Long-form'!I14</f>
        <v>441.71884231188625</v>
      </c>
      <c r="J13" s="56">
        <f>'Long-form'!J14</f>
        <v>4513</v>
      </c>
      <c r="K13" s="56">
        <f>'Long-form'!K14</f>
        <v>1069</v>
      </c>
      <c r="L13" s="56">
        <f>'Long-form'!L14</f>
        <v>1119</v>
      </c>
      <c r="M13" s="56" t="str">
        <f>'Long-form'!Q14</f>
        <v>transgressive</v>
      </c>
      <c r="N13" s="55">
        <f>'Long-form'!R14</f>
        <v>5.6</v>
      </c>
      <c r="O13" s="55" t="str">
        <f>'Long-form'!S14</f>
        <v>&gt;75</v>
      </c>
      <c r="P13" s="55">
        <f>'Long-form'!T14</f>
        <v>1</v>
      </c>
      <c r="Q13" s="55">
        <f>'Long-form'!AM14</f>
        <v>-36.580000000000005</v>
      </c>
      <c r="R13" s="55" t="str">
        <f>'Long-form'!AN14</f>
        <v>YSD</v>
      </c>
      <c r="S13" s="55">
        <f>'Long-form'!AP14</f>
        <v>0.54329457939500925</v>
      </c>
      <c r="T13" s="55">
        <f>'Long-form'!AQ14</f>
        <v>0.54329457939500925</v>
      </c>
      <c r="U13" t="str">
        <f>'Long-form'!BC14</f>
        <v>-1</v>
      </c>
      <c r="V13" t="str">
        <f>'Long-form'!BD14</f>
        <v>5 = Sedimentary (e.g., deltaic, estuarine, wetland, lacustrine, marine facies)</v>
      </c>
      <c r="W13" t="str">
        <f>'Long-form'!BE14</f>
        <v>Marine deposit</v>
      </c>
      <c r="X13" t="str">
        <f>'Long-form'!BF14</f>
        <v>sediment texture and diatom assemblage</v>
      </c>
      <c r="Y13" t="str">
        <f>'Long-form'!BH14</f>
        <v>&lt;MTL</v>
      </c>
      <c r="Z13" s="55">
        <f>'Long-form'!BT14</f>
        <v>-36.669883422000005</v>
      </c>
      <c r="AA13" s="55">
        <f>'Long-form'!BU14</f>
        <v>0.54559050578249624</v>
      </c>
      <c r="AB13" s="55">
        <f>'Long-form'!BV14</f>
        <v>0.54559050578249624</v>
      </c>
      <c r="AC13" s="55" t="str">
        <f>'Long-form'!BW14</f>
        <v>nd</v>
      </c>
      <c r="AD13" s="55" t="str">
        <f>'Long-form'!BX14</f>
        <v>nd</v>
      </c>
      <c r="AE13" s="55" t="str">
        <f>'Long-form'!BY14</f>
        <v>nd</v>
      </c>
      <c r="AF13" t="str">
        <f>'Long-form'!BZ14</f>
        <v>nd</v>
      </c>
      <c r="AG13">
        <f>'Long-form'!CB14</f>
        <v>0</v>
      </c>
      <c r="AH13">
        <f>'Long-form'!CD14</f>
        <v>0</v>
      </c>
      <c r="AI13" t="e">
        <f>'Long-form'!#REF!</f>
        <v>#REF!</v>
      </c>
    </row>
    <row r="14" spans="1:35">
      <c r="A14" t="str">
        <f>'Long-form'!A15</f>
        <v>KWG-286</v>
      </c>
      <c r="B14" t="str">
        <f>'Long-form'!B15</f>
        <v>Yim 1984</v>
      </c>
      <c r="C14" t="str">
        <f>'Long-form'!C15</f>
        <v>9a</v>
      </c>
      <c r="D14" t="str">
        <f>'Long-form'!D15</f>
        <v>Hong Kong</v>
      </c>
      <c r="E14" s="55">
        <f>'Long-form'!E15</f>
        <v>22.36232</v>
      </c>
      <c r="F14" s="55">
        <f>'Long-form'!F15</f>
        <v>114.374207</v>
      </c>
      <c r="G14" t="str">
        <f>'Long-form'!G15</f>
        <v>1 = Radiocarbon</v>
      </c>
      <c r="H14" s="56">
        <f>'Long-form'!H15</f>
        <v>5913.9526305170129</v>
      </c>
      <c r="I14" s="56">
        <f>'Long-form'!I15</f>
        <v>182.3082471898625</v>
      </c>
      <c r="J14" s="56">
        <f>'Long-form'!J15</f>
        <v>6750</v>
      </c>
      <c r="K14" s="56">
        <f>'Long-form'!K15</f>
        <v>415</v>
      </c>
      <c r="L14" s="56">
        <f>'Long-form'!L15</f>
        <v>435</v>
      </c>
      <c r="M14" s="56" t="str">
        <f>'Long-form'!Q15</f>
        <v>transgressive</v>
      </c>
      <c r="N14" s="55">
        <f>'Long-form'!R15</f>
        <v>6.08</v>
      </c>
      <c r="O14" s="55">
        <f>'Long-form'!S15</f>
        <v>19.95</v>
      </c>
      <c r="P14" s="55">
        <f>'Long-form'!T15</f>
        <v>1</v>
      </c>
      <c r="Q14" s="55">
        <f>'Long-form'!AM15</f>
        <v>-12.88</v>
      </c>
      <c r="R14" s="55" t="str">
        <f>'Long-form'!AN15</f>
        <v>YSD</v>
      </c>
      <c r="S14" s="55">
        <f>'Long-form'!AP15</f>
        <v>0.5476189916356079</v>
      </c>
      <c r="T14" s="55">
        <f>'Long-form'!AQ15</f>
        <v>0.5476189916356079</v>
      </c>
      <c r="U14" t="str">
        <f>'Long-form'!BC15</f>
        <v xml:space="preserve">-1 </v>
      </c>
      <c r="V14" t="str">
        <f>'Long-form'!BD15</f>
        <v>5 = Sedimentary (e.g., deltaic, estuarine, wetland, lacustrine, marine facies)</v>
      </c>
      <c r="W14" t="str">
        <f>'Long-form'!BE15</f>
        <v>Intertidal deposit</v>
      </c>
      <c r="X14" t="str">
        <f>'Long-form'!BF15</f>
        <v>Sediment description, mollusc fossil</v>
      </c>
      <c r="Y14" t="str">
        <f>'Long-form'!BH15</f>
        <v>&lt;HAT</v>
      </c>
      <c r="Z14" s="55">
        <f>'Long-form'!BT15</f>
        <v>-14.051723780000001</v>
      </c>
      <c r="AA14" s="55">
        <f>'Long-form'!BU15</f>
        <v>0.57644302407089631</v>
      </c>
      <c r="AB14" s="55">
        <f>'Long-form'!BV15</f>
        <v>0.57644302407089631</v>
      </c>
      <c r="AC14" s="55" t="str">
        <f>'Long-form'!BW15</f>
        <v>nd</v>
      </c>
      <c r="AD14" s="55" t="str">
        <f>'Long-form'!BX15</f>
        <v>nd</v>
      </c>
      <c r="AE14" s="55" t="str">
        <f>'Long-form'!BY15</f>
        <v>nd</v>
      </c>
      <c r="AF14" t="str">
        <f>'Long-form'!BZ15</f>
        <v>nd</v>
      </c>
      <c r="AG14">
        <f>'Long-form'!CB15</f>
        <v>0</v>
      </c>
      <c r="AH14">
        <f>'Long-form'!CD15</f>
        <v>0</v>
      </c>
      <c r="AI14" t="e">
        <f>'Long-form'!#REF!</f>
        <v>#REF!</v>
      </c>
    </row>
    <row r="15" spans="1:35">
      <c r="A15" t="str">
        <f>'Long-form'!A16</f>
        <v>HAR-868</v>
      </c>
      <c r="B15" t="str">
        <f>'Long-form'!B16</f>
        <v>Kendall 1976</v>
      </c>
      <c r="C15" t="str">
        <f>'Long-form'!C16</f>
        <v>9a</v>
      </c>
      <c r="D15" t="str">
        <f>'Long-form'!D16</f>
        <v>Hong Kong</v>
      </c>
      <c r="E15" s="55">
        <f>'Long-form'!E16</f>
        <v>22.373881000000001</v>
      </c>
      <c r="F15" s="55">
        <f>'Long-form'!F16</f>
        <v>114.34049400000001</v>
      </c>
      <c r="G15" t="str">
        <f>'Long-form'!G16</f>
        <v>1 = Radiocarbon</v>
      </c>
      <c r="H15" s="56">
        <f>'Long-form'!H16</f>
        <v>6595.4478223201995</v>
      </c>
      <c r="I15" s="56">
        <f>'Long-form'!I16</f>
        <v>104.09753596238481</v>
      </c>
      <c r="J15" s="56">
        <f>'Long-form'!J16</f>
        <v>7486</v>
      </c>
      <c r="K15" s="56">
        <f>'Long-form'!K16</f>
        <v>178</v>
      </c>
      <c r="L15" s="56">
        <f>'Long-form'!L16</f>
        <v>174</v>
      </c>
      <c r="M15" s="56" t="str">
        <f>'Long-form'!Q16</f>
        <v>transgressive</v>
      </c>
      <c r="N15" s="55">
        <f>'Long-form'!R16</f>
        <v>12.63</v>
      </c>
      <c r="O15" s="55">
        <f>'Long-form'!S16</f>
        <v>9.870000000000001</v>
      </c>
      <c r="P15" s="55">
        <f>'Long-form'!T16</f>
        <v>1</v>
      </c>
      <c r="Q15" s="55">
        <f>'Long-form'!AM16</f>
        <v>-17.009999999999998</v>
      </c>
      <c r="R15" s="55" t="str">
        <f>'Long-form'!AN16</f>
        <v>YSD</v>
      </c>
      <c r="S15" s="55">
        <f>'Long-form'!AP16</f>
        <v>0.59068329923911</v>
      </c>
      <c r="T15" s="55">
        <f>'Long-form'!AQ16</f>
        <v>0.59068329923911</v>
      </c>
      <c r="U15" t="str">
        <f>'Long-form'!BC16</f>
        <v>0</v>
      </c>
      <c r="V15" t="str">
        <f>'Long-form'!BD16</f>
        <v>5 = Sedimentary (e.g., deltaic, estuarine, wetland, lacustrine, marine facies)</v>
      </c>
      <c r="W15" t="str">
        <f>'Long-form'!BE16</f>
        <v>Mangrove deposit</v>
      </c>
      <c r="X15" t="str">
        <f>'Long-form'!BF16</f>
        <v>sediment texture, leave fragments, mollusc fossil</v>
      </c>
      <c r="Y15" t="str">
        <f>'Long-form'!BH16</f>
        <v>HAT-MTL</v>
      </c>
      <c r="Z15" s="55">
        <f>'Long-form'!BT16</f>
        <v>-17.576466461499997</v>
      </c>
      <c r="AA15" s="55">
        <f>'Long-form'!BU16</f>
        <v>0.96094362540159661</v>
      </c>
      <c r="AB15" s="55">
        <f>'Long-form'!BV16</f>
        <v>0.96094362540159661</v>
      </c>
      <c r="AC15" s="55" t="str">
        <f>'Long-form'!BW16</f>
        <v>nd</v>
      </c>
      <c r="AD15" s="55" t="str">
        <f>'Long-form'!BX16</f>
        <v>nd</v>
      </c>
      <c r="AE15" s="55" t="str">
        <f>'Long-form'!BY16</f>
        <v>nd</v>
      </c>
      <c r="AF15" t="str">
        <f>'Long-form'!BZ16</f>
        <v>nd</v>
      </c>
      <c r="AG15">
        <f>'Long-form'!CB16</f>
        <v>1</v>
      </c>
      <c r="AH15">
        <f>'Long-form'!CD16</f>
        <v>0</v>
      </c>
      <c r="AI15" t="e">
        <f>'Long-form'!#REF!</f>
        <v>#REF!</v>
      </c>
    </row>
    <row r="16" spans="1:35">
      <c r="A16" t="str">
        <f>'Long-form'!A17</f>
        <v>HAR-869</v>
      </c>
      <c r="B16" t="str">
        <f>'Long-form'!B17</f>
        <v>Kendall 1976</v>
      </c>
      <c r="C16" t="str">
        <f>'Long-form'!C17</f>
        <v>9a</v>
      </c>
      <c r="D16" t="str">
        <f>'Long-form'!D17</f>
        <v>Hong Kong</v>
      </c>
      <c r="E16" s="55">
        <f>'Long-form'!E17</f>
        <v>22.373881000000001</v>
      </c>
      <c r="F16" s="55">
        <f>'Long-form'!F17</f>
        <v>114.34049400000001</v>
      </c>
      <c r="G16" t="str">
        <f>'Long-form'!G17</f>
        <v>1 = Radiocarbon</v>
      </c>
      <c r="H16" s="56">
        <f>'Long-form'!H17</f>
        <v>7760.6431238619889</v>
      </c>
      <c r="I16" s="56">
        <f>'Long-form'!I17</f>
        <v>142.95557699313449</v>
      </c>
      <c r="J16" s="56">
        <f>'Long-form'!J17</f>
        <v>8580</v>
      </c>
      <c r="K16" s="56">
        <f>'Long-form'!K17</f>
        <v>417</v>
      </c>
      <c r="L16" s="56">
        <f>'Long-form'!L17</f>
        <v>252</v>
      </c>
      <c r="M16" s="56" t="str">
        <f>'Long-form'!Q17</f>
        <v>transgressive</v>
      </c>
      <c r="N16" s="55">
        <f>'Long-form'!R17</f>
        <v>14.03</v>
      </c>
      <c r="O16" s="55">
        <f>'Long-form'!S17</f>
        <v>8.9700000000000006</v>
      </c>
      <c r="P16" s="55">
        <f>'Long-form'!T17</f>
        <v>1</v>
      </c>
      <c r="Q16" s="55">
        <f>'Long-form'!AM17</f>
        <v>-17.909999999999997</v>
      </c>
      <c r="R16" s="55" t="str">
        <f>'Long-form'!AN17</f>
        <v>YSD</v>
      </c>
      <c r="S16" s="55">
        <f>'Long-form'!AP17</f>
        <v>0.60318849458523327</v>
      </c>
      <c r="T16" s="55">
        <f>'Long-form'!AQ17</f>
        <v>0.60318849458523327</v>
      </c>
      <c r="U16" t="str">
        <f>'Long-form'!BC17</f>
        <v>0</v>
      </c>
      <c r="V16" t="str">
        <f>'Long-form'!BD17</f>
        <v>5 = Sedimentary (e.g., deltaic, estuarine, wetland, lacustrine, marine facies)</v>
      </c>
      <c r="W16" t="str">
        <f>'Long-form'!BE17</f>
        <v>Mangrove deposit</v>
      </c>
      <c r="X16" t="str">
        <f>'Long-form'!BF17</f>
        <v>sediment texture, leave fragments, mollusc fossil</v>
      </c>
      <c r="Y16" t="str">
        <f>'Long-form'!BH17</f>
        <v>HAT-MTL</v>
      </c>
      <c r="Z16" s="55">
        <f>'Long-form'!BT17</f>
        <v>-18.476466461499996</v>
      </c>
      <c r="AA16" s="55">
        <f>'Long-form'!BU17</f>
        <v>0.8892524996987875</v>
      </c>
      <c r="AB16" s="55">
        <f>'Long-form'!BV17</f>
        <v>0.8892524996987875</v>
      </c>
      <c r="AC16" s="55" t="str">
        <f>'Long-form'!BW17</f>
        <v>nd</v>
      </c>
      <c r="AD16" s="55" t="str">
        <f>'Long-form'!BX17</f>
        <v>nd</v>
      </c>
      <c r="AE16" s="55" t="str">
        <f>'Long-form'!BY17</f>
        <v>nd</v>
      </c>
      <c r="AF16" t="str">
        <f>'Long-form'!BZ17</f>
        <v>nd</v>
      </c>
      <c r="AG16">
        <f>'Long-form'!CB17</f>
        <v>0</v>
      </c>
      <c r="AH16">
        <f>'Long-form'!CD17</f>
        <v>0</v>
      </c>
      <c r="AI16" t="e">
        <f>'Long-form'!#REF!</f>
        <v>#REF!</v>
      </c>
    </row>
    <row r="17" spans="1:35">
      <c r="A17" t="str">
        <f>'Long-form'!A18</f>
        <v>HAR-870</v>
      </c>
      <c r="B17" t="str">
        <f>'Long-form'!B18</f>
        <v>Kendall 1976</v>
      </c>
      <c r="C17" t="str">
        <f>'Long-form'!C18</f>
        <v>9a</v>
      </c>
      <c r="D17" t="str">
        <f>'Long-form'!D18</f>
        <v>Hong Kong</v>
      </c>
      <c r="E17" s="55">
        <f>'Long-form'!E18</f>
        <v>22.373881000000001</v>
      </c>
      <c r="F17" s="55">
        <f>'Long-form'!F18</f>
        <v>114.34049400000001</v>
      </c>
      <c r="G17" t="str">
        <f>'Long-form'!G18</f>
        <v>1 = Radiocarbon</v>
      </c>
      <c r="H17" s="56">
        <f>'Long-form'!H18</f>
        <v>8180.6818647162472</v>
      </c>
      <c r="I17" s="56">
        <f>'Long-form'!I18</f>
        <v>448.0128744281256</v>
      </c>
      <c r="J17" s="56">
        <f>'Long-form'!J18</f>
        <v>8574</v>
      </c>
      <c r="K17" s="56">
        <f>'Long-form'!K18</f>
        <v>1049</v>
      </c>
      <c r="L17" s="56">
        <f>'Long-form'!L18</f>
        <v>1015</v>
      </c>
      <c r="M17" s="56" t="str">
        <f>'Long-form'!Q18</f>
        <v>transgressive</v>
      </c>
      <c r="N17" s="55">
        <f>'Long-form'!R18</f>
        <v>12.63</v>
      </c>
      <c r="O17" s="55">
        <f>'Long-form'!S18</f>
        <v>9.870000000000001</v>
      </c>
      <c r="P17" s="55">
        <f>'Long-form'!T18</f>
        <v>1</v>
      </c>
      <c r="Q17" s="55">
        <f>'Long-form'!AM18</f>
        <v>-17.009999999999998</v>
      </c>
      <c r="R17" s="55" t="str">
        <f>'Long-form'!AN18</f>
        <v>YSD</v>
      </c>
      <c r="S17" s="55">
        <f>'Long-form'!AP18</f>
        <v>0.59068329923911</v>
      </c>
      <c r="T17" s="55">
        <f>'Long-form'!AQ18</f>
        <v>0.59068329923911</v>
      </c>
      <c r="U17" t="str">
        <f>'Long-form'!BC18</f>
        <v>0</v>
      </c>
      <c r="V17" t="str">
        <f>'Long-form'!BD18</f>
        <v>5 = Sedimentary (e.g., deltaic, estuarine, wetland, lacustrine, marine facies)</v>
      </c>
      <c r="W17" t="str">
        <f>'Long-form'!BE18</f>
        <v>Mangrove deposit</v>
      </c>
      <c r="X17" t="str">
        <f>'Long-form'!BF18</f>
        <v>sediment texture, leave fragments, mollusc fossil</v>
      </c>
      <c r="Y17" t="str">
        <f>'Long-form'!BH18</f>
        <v>HAT-MTL</v>
      </c>
      <c r="Z17" s="55">
        <f>'Long-form'!BT18</f>
        <v>-17.576466461499997</v>
      </c>
      <c r="AA17" s="55">
        <f>'Long-form'!BU18</f>
        <v>0.88081803354639721</v>
      </c>
      <c r="AB17" s="55">
        <f>'Long-form'!BV18</f>
        <v>0.88081803354639721</v>
      </c>
      <c r="AC17" s="55" t="str">
        <f>'Long-form'!BW18</f>
        <v>nd</v>
      </c>
      <c r="AD17" s="55" t="str">
        <f>'Long-form'!BX18</f>
        <v>nd</v>
      </c>
      <c r="AE17" s="55" t="str">
        <f>'Long-form'!BY18</f>
        <v>nd</v>
      </c>
      <c r="AF17" t="str">
        <f>'Long-form'!BZ18</f>
        <v>nd</v>
      </c>
      <c r="AG17">
        <f>'Long-form'!CB18</f>
        <v>0</v>
      </c>
      <c r="AH17">
        <f>'Long-form'!CD18</f>
        <v>0</v>
      </c>
      <c r="AI17" t="e">
        <f>'Long-form'!#REF!</f>
        <v>#REF!</v>
      </c>
    </row>
    <row r="18" spans="1:35">
      <c r="A18" t="str">
        <f>'Long-form'!A19</f>
        <v>HAR-871</v>
      </c>
      <c r="B18" t="str">
        <f>'Long-form'!B19</f>
        <v>Kendall 1976</v>
      </c>
      <c r="C18" t="str">
        <f>'Long-form'!C19</f>
        <v>9a</v>
      </c>
      <c r="D18" t="str">
        <f>'Long-form'!D19</f>
        <v>Hong Kong</v>
      </c>
      <c r="E18" s="55">
        <f>'Long-form'!E19</f>
        <v>22.373881000000001</v>
      </c>
      <c r="F18" s="55">
        <f>'Long-form'!F19</f>
        <v>114.34049400000001</v>
      </c>
      <c r="G18" t="str">
        <f>'Long-form'!G19</f>
        <v>1 = Radiocarbon</v>
      </c>
      <c r="H18" s="56">
        <f>'Long-form'!H19</f>
        <v>8289.7615432346574</v>
      </c>
      <c r="I18" s="56">
        <f>'Long-form'!I19</f>
        <v>432.19229491156301</v>
      </c>
      <c r="J18" s="56">
        <f>'Long-form'!J19</f>
        <v>8696</v>
      </c>
      <c r="K18" s="56">
        <f>'Long-form'!K19</f>
        <v>1033</v>
      </c>
      <c r="L18" s="56">
        <f>'Long-form'!L19</f>
        <v>1014</v>
      </c>
      <c r="M18" s="56" t="str">
        <f>'Long-form'!Q19</f>
        <v>transgressive</v>
      </c>
      <c r="N18" s="55">
        <f>'Long-form'!R19</f>
        <v>14.43</v>
      </c>
      <c r="O18" s="55">
        <f>'Long-form'!S19</f>
        <v>8.57</v>
      </c>
      <c r="P18" s="55">
        <f>'Long-form'!T19</f>
        <v>1</v>
      </c>
      <c r="Q18" s="55">
        <f>'Long-form'!AM19</f>
        <v>-18.309999999999999</v>
      </c>
      <c r="R18" s="55" t="str">
        <f>'Long-form'!AN19</f>
        <v>YSD</v>
      </c>
      <c r="S18" s="55">
        <f>'Long-form'!AP19</f>
        <v>0.60695136543219019</v>
      </c>
      <c r="T18" s="55">
        <f>'Long-form'!AQ19</f>
        <v>0.60695136543219019</v>
      </c>
      <c r="U18" t="str">
        <f>'Long-form'!BC19</f>
        <v>0</v>
      </c>
      <c r="V18" t="str">
        <f>'Long-form'!BD19</f>
        <v>5 = Sedimentary (e.g., deltaic, estuarine, wetland, lacustrine, marine facies)</v>
      </c>
      <c r="W18" t="str">
        <f>'Long-form'!BE19</f>
        <v>Mangrove deposit</v>
      </c>
      <c r="X18" t="str">
        <f>'Long-form'!BF19</f>
        <v>sediment texture, leave fragments, mollusc fossil</v>
      </c>
      <c r="Y18" t="str">
        <f>'Long-form'!BH19</f>
        <v>HAT-MTL</v>
      </c>
      <c r="Z18" s="55">
        <f>'Long-form'!BT19</f>
        <v>-18.876466461499998</v>
      </c>
      <c r="AA18" s="55">
        <f>'Long-form'!BU19</f>
        <v>0.89587814777408203</v>
      </c>
      <c r="AB18" s="55">
        <f>'Long-form'!BV19</f>
        <v>0.89587814777408203</v>
      </c>
      <c r="AC18" s="55" t="str">
        <f>'Long-form'!BW19</f>
        <v>nd</v>
      </c>
      <c r="AD18" s="55" t="str">
        <f>'Long-form'!BX19</f>
        <v>nd</v>
      </c>
      <c r="AE18" s="55" t="str">
        <f>'Long-form'!BY19</f>
        <v>nd</v>
      </c>
      <c r="AF18" t="str">
        <f>'Long-form'!BZ19</f>
        <v>nd</v>
      </c>
      <c r="AG18">
        <f>'Long-form'!CB19</f>
        <v>0</v>
      </c>
      <c r="AH18">
        <f>'Long-form'!CD19</f>
        <v>0</v>
      </c>
      <c r="AI18" t="e">
        <f>'Long-form'!#REF!</f>
        <v>#REF!</v>
      </c>
    </row>
    <row r="19" spans="1:35">
      <c r="A19" t="str">
        <f>'Long-form'!A20</f>
        <v>CS-619</v>
      </c>
      <c r="B19" t="str">
        <f>'Long-form'!B20</f>
        <v>Strange and Shaw 1986; Yim 1999</v>
      </c>
      <c r="C19" t="str">
        <f>'Long-form'!C20</f>
        <v>9a</v>
      </c>
      <c r="D19" t="str">
        <f>'Long-form'!D20</f>
        <v>Hong Kong</v>
      </c>
      <c r="E19" s="55">
        <f>'Long-form'!E20</f>
        <v>22.300999999999998</v>
      </c>
      <c r="F19" s="55">
        <f>'Long-form'!F20</f>
        <v>114.26</v>
      </c>
      <c r="G19" t="str">
        <f>'Long-form'!G20</f>
        <v>1 = Radiocarbon</v>
      </c>
      <c r="H19" s="56">
        <f>'Long-form'!H20</f>
        <v>8470.681864716249</v>
      </c>
      <c r="I19" s="56">
        <f>'Long-form'!I20</f>
        <v>457.72867034232519</v>
      </c>
      <c r="J19" s="56">
        <f>'Long-form'!J20</f>
        <v>8906</v>
      </c>
      <c r="K19" s="56">
        <f>'Long-form'!K20</f>
        <v>1178</v>
      </c>
      <c r="L19" s="56">
        <f>'Long-form'!L20</f>
        <v>1044</v>
      </c>
      <c r="M19" s="56" t="str">
        <f>'Long-form'!Q20</f>
        <v>transgressive</v>
      </c>
      <c r="N19" s="55">
        <f>'Long-form'!R20</f>
        <v>11.6</v>
      </c>
      <c r="O19" s="55">
        <f>'Long-form'!S20</f>
        <v>20.100000000000001</v>
      </c>
      <c r="P19" s="55">
        <f>'Long-form'!T20</f>
        <v>1</v>
      </c>
      <c r="Q19" s="55">
        <f>'Long-form'!AM20</f>
        <v>-19.7</v>
      </c>
      <c r="R19" s="55" t="str">
        <f>'Long-form'!AN20</f>
        <v>YSD</v>
      </c>
      <c r="S19" s="55">
        <f>'Long-form'!AP20</f>
        <v>0.6102859985285588</v>
      </c>
      <c r="T19" s="55">
        <f>'Long-form'!AQ20</f>
        <v>0.6102859985285588</v>
      </c>
      <c r="U19">
        <f>'Long-form'!BC20</f>
        <v>-1</v>
      </c>
      <c r="V19" t="str">
        <f>'Long-form'!BD20</f>
        <v>5 = Sedimentary (e.g., deltaic, estuarine, wetland, lacustrine, marine facies)</v>
      </c>
      <c r="W19" t="str">
        <f>'Long-form'!BE20</f>
        <v>Marine deposit</v>
      </c>
      <c r="X19" t="str">
        <f>'Long-form'!BF20</f>
        <v xml:space="preserve">sediment  texture, pollen, ostracod and foraminifera assemblage </v>
      </c>
      <c r="Y19" t="str">
        <f>'Long-form'!BH20</f>
        <v>&lt;MTL</v>
      </c>
      <c r="Z19" s="55">
        <f>'Long-form'!BT20</f>
        <v>-19.723405566</v>
      </c>
      <c r="AA19" s="55">
        <f>'Long-form'!BU20</f>
        <v>0.62943462954541096</v>
      </c>
      <c r="AB19" s="55">
        <f>'Long-form'!BV20</f>
        <v>0.62943462954541096</v>
      </c>
      <c r="AC19" s="55" t="str">
        <f>'Long-form'!BW20</f>
        <v>nd</v>
      </c>
      <c r="AD19" s="55" t="str">
        <f>'Long-form'!BX20</f>
        <v>nd</v>
      </c>
      <c r="AE19" s="55" t="str">
        <f>'Long-form'!BY20</f>
        <v>nd</v>
      </c>
      <c r="AF19" t="str">
        <f>'Long-form'!BZ20</f>
        <v>nd</v>
      </c>
      <c r="AG19">
        <f>'Long-form'!CB20</f>
        <v>0</v>
      </c>
      <c r="AH19">
        <f>'Long-form'!CD20</f>
        <v>0</v>
      </c>
      <c r="AI19" t="e">
        <f>'Long-form'!#REF!</f>
        <v>#REF!</v>
      </c>
    </row>
    <row r="20" spans="1:35">
      <c r="A20" t="str">
        <f>'Long-form'!A21</f>
        <v>ANU-76214</v>
      </c>
      <c r="B20" t="str">
        <f>'Long-form'!B21</f>
        <v>Yu et al. 2025</v>
      </c>
      <c r="C20" t="str">
        <f>'Long-form'!C21</f>
        <v>9a</v>
      </c>
      <c r="D20" t="str">
        <f>'Long-form'!D21</f>
        <v>Hong Kong</v>
      </c>
      <c r="E20" s="55">
        <f>'Long-form'!E21</f>
        <v>22.245605999999999</v>
      </c>
      <c r="F20" s="55">
        <f>'Long-form'!F21</f>
        <v>114.246</v>
      </c>
      <c r="G20" t="str">
        <f>'Long-form'!G21</f>
        <v>1 = Radiocarbon</v>
      </c>
      <c r="H20" s="56">
        <f>'Long-form'!H21</f>
        <v>4217</v>
      </c>
      <c r="I20" s="56">
        <f>'Long-form'!I21</f>
        <v>33</v>
      </c>
      <c r="J20" s="56">
        <f>'Long-form'!J21</f>
        <v>4135</v>
      </c>
      <c r="K20" s="56">
        <f>'Long-form'!K21</f>
        <v>258</v>
      </c>
      <c r="L20" s="56">
        <f>'Long-form'!L21</f>
        <v>251</v>
      </c>
      <c r="M20" s="56" t="str">
        <f>'Long-form'!Q21</f>
        <v>nd</v>
      </c>
      <c r="N20" s="55" t="str">
        <f>'Long-form'!R21</f>
        <v>nd</v>
      </c>
      <c r="O20" s="55" t="str">
        <f>'Long-form'!S21</f>
        <v>nd</v>
      </c>
      <c r="P20" s="55">
        <f>'Long-form'!T21</f>
        <v>0</v>
      </c>
      <c r="Q20" s="55">
        <f>'Long-form'!AM21</f>
        <v>2.7270000000000003</v>
      </c>
      <c r="R20" s="55" t="str">
        <f>'Long-form'!AN21</f>
        <v>YSD</v>
      </c>
      <c r="S20" s="55">
        <f>'Long-form'!AP21</f>
        <v>0.18309833423600555</v>
      </c>
      <c r="T20" s="55">
        <f>'Long-form'!AQ21</f>
        <v>0.18309833423600555</v>
      </c>
      <c r="U20" t="str">
        <f>'Long-form'!BC21</f>
        <v>0</v>
      </c>
      <c r="V20" t="str">
        <f>'Long-form'!BD21</f>
        <v>3 = Fixed biological indicators</v>
      </c>
      <c r="W20" t="str">
        <f>'Long-form'!BE21</f>
        <v>intertidal rocky shore</v>
      </c>
      <c r="X20" t="str">
        <f>'Long-form'!BF21</f>
        <v>Saccostrea cucullata fossil</v>
      </c>
      <c r="Y20" t="str">
        <f>'Long-form'!BH21</f>
        <v>MHHW-MLLW</v>
      </c>
      <c r="Z20" s="55">
        <f>'Long-form'!BT21</f>
        <v>2.6382354700000006</v>
      </c>
      <c r="AA20" s="55">
        <f>'Long-form'!BU21</f>
        <v>0.53722217537912964</v>
      </c>
      <c r="AB20" s="55">
        <f>'Long-form'!BV21</f>
        <v>0.53722217537912964</v>
      </c>
      <c r="AC20" s="55" t="str">
        <f>'Long-form'!BW21</f>
        <v>nd</v>
      </c>
      <c r="AD20" s="55" t="str">
        <f>'Long-form'!BX21</f>
        <v>nd</v>
      </c>
      <c r="AE20" s="55" t="str">
        <f>'Long-form'!BY21</f>
        <v>nd</v>
      </c>
      <c r="AF20" t="str">
        <f>'Long-form'!BZ21</f>
        <v>nd</v>
      </c>
      <c r="AG20">
        <f>'Long-form'!CB21</f>
        <v>0</v>
      </c>
      <c r="AH20">
        <f>'Long-form'!CD21</f>
        <v>0</v>
      </c>
      <c r="AI20" t="e">
        <f>'Long-form'!#REF!</f>
        <v>#REF!</v>
      </c>
    </row>
    <row r="21" spans="1:35">
      <c r="A21" t="str">
        <f>'Long-form'!A22</f>
        <v>ANU-76216</v>
      </c>
      <c r="B21" t="str">
        <f>'Long-form'!B22</f>
        <v>Yu et al. 2025</v>
      </c>
      <c r="C21" t="str">
        <f>'Long-form'!C22</f>
        <v>9a</v>
      </c>
      <c r="D21" t="str">
        <f>'Long-form'!D22</f>
        <v>Hong Kong</v>
      </c>
      <c r="E21" s="55">
        <f>'Long-form'!E22</f>
        <v>22.245605999999999</v>
      </c>
      <c r="F21" s="55">
        <f>'Long-form'!F22</f>
        <v>114.246</v>
      </c>
      <c r="G21" t="str">
        <f>'Long-form'!G22</f>
        <v>1 = Radiocarbon</v>
      </c>
      <c r="H21" s="56">
        <f>'Long-form'!H22</f>
        <v>3827</v>
      </c>
      <c r="I21" s="56">
        <f>'Long-form'!I22</f>
        <v>27</v>
      </c>
      <c r="J21" s="56">
        <f>'Long-form'!J22</f>
        <v>3621</v>
      </c>
      <c r="K21" s="56">
        <f>'Long-form'!K22</f>
        <v>235</v>
      </c>
      <c r="L21" s="56">
        <f>'Long-form'!L22</f>
        <v>230</v>
      </c>
      <c r="M21" s="56" t="str">
        <f>'Long-form'!Q22</f>
        <v>nd</v>
      </c>
      <c r="N21" s="55" t="str">
        <f>'Long-form'!R22</f>
        <v>nd</v>
      </c>
      <c r="O21" s="55" t="str">
        <f>'Long-form'!S22</f>
        <v>nd</v>
      </c>
      <c r="P21" s="55">
        <f>'Long-form'!T22</f>
        <v>0</v>
      </c>
      <c r="Q21" s="55">
        <f>'Long-form'!AM22</f>
        <v>2.3440000000000003</v>
      </c>
      <c r="R21" s="55" t="str">
        <f>'Long-form'!AN22</f>
        <v>YSD</v>
      </c>
      <c r="S21" s="55">
        <f>'Long-form'!AP22</f>
        <v>0.18309833423600555</v>
      </c>
      <c r="T21" s="55">
        <f>'Long-form'!AQ22</f>
        <v>0.18309833423600555</v>
      </c>
      <c r="U21" t="str">
        <f>'Long-form'!BC22</f>
        <v>0</v>
      </c>
      <c r="V21" t="str">
        <f>'Long-form'!BD22</f>
        <v>3 = Fixed biological indicators</v>
      </c>
      <c r="W21" t="str">
        <f>'Long-form'!BE22</f>
        <v>intertidal rocky shore</v>
      </c>
      <c r="X21" t="str">
        <f>'Long-form'!BF22</f>
        <v>Saccostrea cucullata fossil</v>
      </c>
      <c r="Y21" t="str">
        <f>'Long-form'!BH22</f>
        <v>MHHW-MLLW</v>
      </c>
      <c r="Z21" s="55">
        <f>'Long-form'!BT22</f>
        <v>2.2552354700000006</v>
      </c>
      <c r="AA21" s="55">
        <f>'Long-form'!BU22</f>
        <v>0.53852377117442141</v>
      </c>
      <c r="AB21" s="55">
        <f>'Long-form'!BV22</f>
        <v>0.53852377117442141</v>
      </c>
      <c r="AC21" s="55" t="str">
        <f>'Long-form'!BW22</f>
        <v>nd</v>
      </c>
      <c r="AD21" s="55" t="str">
        <f>'Long-form'!BX22</f>
        <v>nd</v>
      </c>
      <c r="AE21" s="55" t="str">
        <f>'Long-form'!BY22</f>
        <v>nd</v>
      </c>
      <c r="AF21" t="str">
        <f>'Long-form'!BZ22</f>
        <v>nd</v>
      </c>
      <c r="AG21">
        <f>'Long-form'!CB22</f>
        <v>0</v>
      </c>
      <c r="AH21">
        <f>'Long-form'!CD22</f>
        <v>0</v>
      </c>
      <c r="AI21" t="e">
        <f>'Long-form'!#REF!</f>
        <v>#REF!</v>
      </c>
    </row>
    <row r="22" spans="1:35">
      <c r="A22" t="str">
        <f>'Long-form'!A23</f>
        <v>YASIC-66120.1.1</v>
      </c>
      <c r="B22" t="str">
        <f>'Long-form'!B23</f>
        <v>Yu et al. 2025</v>
      </c>
      <c r="C22" t="str">
        <f>'Long-form'!C23</f>
        <v>9a</v>
      </c>
      <c r="D22" t="str">
        <f>'Long-form'!D23</f>
        <v>Hong Kong</v>
      </c>
      <c r="E22" s="55">
        <f>'Long-form'!E23</f>
        <v>22.245605999999999</v>
      </c>
      <c r="F22" s="55">
        <f>'Long-form'!F23</f>
        <v>114.246</v>
      </c>
      <c r="G22" t="str">
        <f>'Long-form'!G23</f>
        <v>1 = Radiocarbon</v>
      </c>
      <c r="H22" s="56">
        <f>'Long-form'!H23</f>
        <v>3489</v>
      </c>
      <c r="I22" s="56">
        <f>'Long-form'!I23</f>
        <v>19</v>
      </c>
      <c r="J22" s="56">
        <f>'Long-form'!J23</f>
        <v>3214</v>
      </c>
      <c r="K22" s="56">
        <f>'Long-form'!K23</f>
        <v>217</v>
      </c>
      <c r="L22" s="56">
        <f>'Long-form'!L23</f>
        <v>235</v>
      </c>
      <c r="M22" s="56" t="str">
        <f>'Long-form'!Q23</f>
        <v>nd</v>
      </c>
      <c r="N22" s="55" t="str">
        <f>'Long-form'!R23</f>
        <v>nd</v>
      </c>
      <c r="O22" s="55" t="str">
        <f>'Long-form'!S23</f>
        <v>nd</v>
      </c>
      <c r="P22" s="55">
        <f>'Long-form'!T23</f>
        <v>0</v>
      </c>
      <c r="Q22" s="55">
        <f>'Long-form'!AM23</f>
        <v>2.0760000000000005</v>
      </c>
      <c r="R22" s="55" t="str">
        <f>'Long-form'!AN23</f>
        <v>YSD</v>
      </c>
      <c r="S22" s="55">
        <f>'Long-form'!AP23</f>
        <v>0.18309833423600555</v>
      </c>
      <c r="T22" s="55">
        <f>'Long-form'!AQ23</f>
        <v>0.18309833423600555</v>
      </c>
      <c r="U22" t="str">
        <f>'Long-form'!BC23</f>
        <v>0</v>
      </c>
      <c r="V22" t="str">
        <f>'Long-form'!BD23</f>
        <v>3 = Fixed biological indicators</v>
      </c>
      <c r="W22" t="str">
        <f>'Long-form'!BE23</f>
        <v>intertidal rocky shore</v>
      </c>
      <c r="X22" t="str">
        <f>'Long-form'!BF23</f>
        <v>Saccostrea cucullata fossil</v>
      </c>
      <c r="Y22" t="str">
        <f>'Long-form'!BH23</f>
        <v>MHHW-MLLW</v>
      </c>
      <c r="Z22" s="55">
        <f>'Long-form'!BT23</f>
        <v>1.9872354700000006</v>
      </c>
      <c r="AA22" s="55">
        <f>'Long-form'!BU23</f>
        <v>0.53852377117442141</v>
      </c>
      <c r="AB22" s="55">
        <f>'Long-form'!BV23</f>
        <v>0.53852377117442141</v>
      </c>
      <c r="AC22" s="55" t="str">
        <f>'Long-form'!BW23</f>
        <v>nd</v>
      </c>
      <c r="AD22" s="55" t="str">
        <f>'Long-form'!BX23</f>
        <v>nd</v>
      </c>
      <c r="AE22" s="55" t="str">
        <f>'Long-form'!BY23</f>
        <v>nd</v>
      </c>
      <c r="AF22" t="str">
        <f>'Long-form'!BZ23</f>
        <v>nd</v>
      </c>
      <c r="AG22">
        <f>'Long-form'!CB23</f>
        <v>0</v>
      </c>
      <c r="AH22">
        <f>'Long-form'!CD23</f>
        <v>0</v>
      </c>
      <c r="AI22" t="e">
        <f>'Long-form'!#REF!</f>
        <v>#REF!</v>
      </c>
    </row>
    <row r="23" spans="1:35">
      <c r="A23" t="str">
        <f>'Long-form'!A24</f>
        <v>YASIC-66121.1.1</v>
      </c>
      <c r="B23" t="str">
        <f>'Long-form'!B24</f>
        <v>Yu et al. 2025</v>
      </c>
      <c r="C23" t="str">
        <f>'Long-form'!C24</f>
        <v>9a</v>
      </c>
      <c r="D23" t="str">
        <f>'Long-form'!D24</f>
        <v>Hong Kong</v>
      </c>
      <c r="E23" s="55">
        <f>'Long-form'!E24</f>
        <v>22.245605999999999</v>
      </c>
      <c r="F23" s="55">
        <f>'Long-form'!F24</f>
        <v>114.246</v>
      </c>
      <c r="G23" t="str">
        <f>'Long-form'!G24</f>
        <v>1 = Radiocarbon</v>
      </c>
      <c r="H23" s="56">
        <f>'Long-form'!H24</f>
        <v>4960</v>
      </c>
      <c r="I23" s="56">
        <f>'Long-form'!I24</f>
        <v>21</v>
      </c>
      <c r="J23" s="56">
        <f>'Long-form'!J24</f>
        <v>5090</v>
      </c>
      <c r="K23" s="56">
        <f>'Long-form'!K24</f>
        <v>216</v>
      </c>
      <c r="L23" s="56">
        <f>'Long-form'!L24</f>
        <v>242</v>
      </c>
      <c r="M23" s="56" t="str">
        <f>'Long-form'!Q24</f>
        <v>nd</v>
      </c>
      <c r="N23" s="55" t="str">
        <f>'Long-form'!R24</f>
        <v>nd</v>
      </c>
      <c r="O23" s="55" t="str">
        <f>'Long-form'!S24</f>
        <v>nd</v>
      </c>
      <c r="P23" s="55">
        <f>'Long-form'!T24</f>
        <v>0</v>
      </c>
      <c r="Q23" s="55">
        <f>'Long-form'!AM24</f>
        <v>2.2930000000000001</v>
      </c>
      <c r="R23" s="55" t="str">
        <f>'Long-form'!AN24</f>
        <v>YSD</v>
      </c>
      <c r="S23" s="55">
        <f>'Long-form'!AP24</f>
        <v>0.18309833423600555</v>
      </c>
      <c r="T23" s="55">
        <f>'Long-form'!AQ24</f>
        <v>0.18309833423600555</v>
      </c>
      <c r="U23" t="str">
        <f>'Long-form'!BC24</f>
        <v>0</v>
      </c>
      <c r="V23" t="str">
        <f>'Long-form'!BD24</f>
        <v>3 = Fixed biological indicators</v>
      </c>
      <c r="W23" t="str">
        <f>'Long-form'!BE24</f>
        <v>intertidal rocky shore</v>
      </c>
      <c r="X23" t="str">
        <f>'Long-form'!BF24</f>
        <v>Saccostrea cucullata fossil</v>
      </c>
      <c r="Y23" t="str">
        <f>'Long-form'!BH24</f>
        <v>MHHW-MLLW</v>
      </c>
      <c r="Z23" s="55">
        <f>'Long-form'!BT24</f>
        <v>2.2042354700000004</v>
      </c>
      <c r="AA23" s="55">
        <f>'Long-form'!BU24</f>
        <v>0.53824106018866347</v>
      </c>
      <c r="AB23" s="55">
        <f>'Long-form'!BV24</f>
        <v>0.53824106018866347</v>
      </c>
      <c r="AC23" s="55" t="str">
        <f>'Long-form'!BW24</f>
        <v>nd</v>
      </c>
      <c r="AD23" s="55" t="str">
        <f>'Long-form'!BX24</f>
        <v>nd</v>
      </c>
      <c r="AE23" s="55" t="str">
        <f>'Long-form'!BY24</f>
        <v>nd</v>
      </c>
      <c r="AF23" t="str">
        <f>'Long-form'!BZ24</f>
        <v>nd</v>
      </c>
      <c r="AG23">
        <f>'Long-form'!CB24</f>
        <v>0</v>
      </c>
      <c r="AH23">
        <f>'Long-form'!CD24</f>
        <v>0</v>
      </c>
      <c r="AI23" t="e">
        <f>'Long-form'!#REF!</f>
        <v>#REF!</v>
      </c>
    </row>
    <row r="24" spans="1:35">
      <c r="A24" t="str">
        <f>'Long-form'!A25</f>
        <v>YASIC-66122.1.1</v>
      </c>
      <c r="B24" t="str">
        <f>'Long-form'!B25</f>
        <v>Yu et al. 2025</v>
      </c>
      <c r="C24" t="str">
        <f>'Long-form'!C25</f>
        <v>9a</v>
      </c>
      <c r="D24" t="str">
        <f>'Long-form'!D25</f>
        <v>Hong Kong</v>
      </c>
      <c r="E24" s="55">
        <f>'Long-form'!E25</f>
        <v>22.245605999999999</v>
      </c>
      <c r="F24" s="55">
        <f>'Long-form'!F25</f>
        <v>114.246</v>
      </c>
      <c r="G24" t="str">
        <f>'Long-form'!G25</f>
        <v>1 = Radiocarbon</v>
      </c>
      <c r="H24" s="56">
        <f>'Long-form'!H25</f>
        <v>4975</v>
      </c>
      <c r="I24" s="56">
        <f>'Long-form'!I25</f>
        <v>23</v>
      </c>
      <c r="J24" s="56">
        <f>'Long-form'!J25</f>
        <v>5108</v>
      </c>
      <c r="K24" s="56">
        <f>'Long-form'!K25</f>
        <v>211</v>
      </c>
      <c r="L24" s="56">
        <f>'Long-form'!L25</f>
        <v>257</v>
      </c>
      <c r="M24" s="56" t="str">
        <f>'Long-form'!Q25</f>
        <v>nd</v>
      </c>
      <c r="N24" s="55" t="str">
        <f>'Long-form'!R25</f>
        <v>nd</v>
      </c>
      <c r="O24" s="55" t="str">
        <f>'Long-form'!S25</f>
        <v>nd</v>
      </c>
      <c r="P24" s="55">
        <f>'Long-form'!T25</f>
        <v>0</v>
      </c>
      <c r="Q24" s="55">
        <f>'Long-form'!AM25</f>
        <v>2.3650000000000002</v>
      </c>
      <c r="R24" s="55" t="str">
        <f>'Long-form'!AN25</f>
        <v>YSD</v>
      </c>
      <c r="S24" s="55">
        <f>'Long-form'!AP25</f>
        <v>0.18309833423600555</v>
      </c>
      <c r="T24" s="55">
        <f>'Long-form'!AQ25</f>
        <v>0.18309833423600555</v>
      </c>
      <c r="U24" t="str">
        <f>'Long-form'!BC25</f>
        <v>0</v>
      </c>
      <c r="V24" t="str">
        <f>'Long-form'!BD25</f>
        <v>3 = Fixed biological indicators</v>
      </c>
      <c r="W24" t="str">
        <f>'Long-form'!BE25</f>
        <v>intertidal rocky shore</v>
      </c>
      <c r="X24" t="str">
        <f>'Long-form'!BF25</f>
        <v>Saccostrea cucullata fossil</v>
      </c>
      <c r="Y24" t="str">
        <f>'Long-form'!BH25</f>
        <v>MHHW-MLLW</v>
      </c>
      <c r="Z24" s="55">
        <f>'Long-form'!BT25</f>
        <v>2.2762354700000005</v>
      </c>
      <c r="AA24" s="55">
        <f>'Long-form'!BU25</f>
        <v>0.53824106018866347</v>
      </c>
      <c r="AB24" s="55">
        <f>'Long-form'!BV25</f>
        <v>0.53824106018866347</v>
      </c>
      <c r="AC24" s="55" t="str">
        <f>'Long-form'!BW25</f>
        <v>nd</v>
      </c>
      <c r="AD24" s="55" t="str">
        <f>'Long-form'!BX25</f>
        <v>nd</v>
      </c>
      <c r="AE24" s="55" t="str">
        <f>'Long-form'!BY25</f>
        <v>nd</v>
      </c>
      <c r="AF24" t="str">
        <f>'Long-form'!BZ25</f>
        <v>nd</v>
      </c>
      <c r="AG24">
        <f>'Long-form'!CB25</f>
        <v>0</v>
      </c>
      <c r="AH24">
        <f>'Long-form'!CD25</f>
        <v>0</v>
      </c>
      <c r="AI24" t="e">
        <f>'Long-form'!#REF!</f>
        <v>#REF!</v>
      </c>
    </row>
    <row r="25" spans="1:35">
      <c r="A25" t="str">
        <f>'Long-form'!A26</f>
        <v>YASIC-66123.1.1</v>
      </c>
      <c r="B25" t="str">
        <f>'Long-form'!B26</f>
        <v>Yu et al. 2025</v>
      </c>
      <c r="C25" t="str">
        <f>'Long-form'!C26</f>
        <v>9a</v>
      </c>
      <c r="D25" t="str">
        <f>'Long-form'!D26</f>
        <v>Hong Kong</v>
      </c>
      <c r="E25" s="55">
        <f>'Long-form'!E26</f>
        <v>22.245605999999999</v>
      </c>
      <c r="F25" s="55">
        <f>'Long-form'!F26</f>
        <v>114.246</v>
      </c>
      <c r="G25" t="str">
        <f>'Long-form'!G26</f>
        <v>1 = Radiocarbon</v>
      </c>
      <c r="H25" s="56">
        <f>'Long-form'!H26</f>
        <v>5110</v>
      </c>
      <c r="I25" s="56">
        <f>'Long-form'!I26</f>
        <v>24</v>
      </c>
      <c r="J25" s="56">
        <f>'Long-form'!J26</f>
        <v>5277</v>
      </c>
      <c r="K25" s="56">
        <f>'Long-form'!K26</f>
        <v>230</v>
      </c>
      <c r="L25" s="56">
        <f>'Long-form'!L26</f>
        <v>259</v>
      </c>
      <c r="M25" s="56" t="str">
        <f>'Long-form'!Q26</f>
        <v>nd</v>
      </c>
      <c r="N25" s="55" t="str">
        <f>'Long-form'!R26</f>
        <v>nd</v>
      </c>
      <c r="O25" s="55" t="str">
        <f>'Long-form'!S26</f>
        <v>nd</v>
      </c>
      <c r="P25" s="55">
        <f>'Long-form'!T26</f>
        <v>0</v>
      </c>
      <c r="Q25" s="55">
        <f>'Long-form'!AM26</f>
        <v>2.8310000000000004</v>
      </c>
      <c r="R25" s="55" t="str">
        <f>'Long-form'!AN26</f>
        <v>YSD</v>
      </c>
      <c r="S25" s="55">
        <f>'Long-form'!AP26</f>
        <v>0.18309833423600555</v>
      </c>
      <c r="T25" s="55">
        <f>'Long-form'!AQ26</f>
        <v>0.18309833423600555</v>
      </c>
      <c r="U25" t="str">
        <f>'Long-form'!BC26</f>
        <v>0</v>
      </c>
      <c r="V25" t="str">
        <f>'Long-form'!BD26</f>
        <v>3 = Fixed biological indicators</v>
      </c>
      <c r="W25" t="str">
        <f>'Long-form'!BE26</f>
        <v>intertidal rocky shore</v>
      </c>
      <c r="X25" t="str">
        <f>'Long-form'!BF26</f>
        <v>Saccostrea cucullata fossil</v>
      </c>
      <c r="Y25" t="str">
        <f>'Long-form'!BH26</f>
        <v>MHHW-MLLW</v>
      </c>
      <c r="Z25" s="55">
        <f>'Long-form'!BT26</f>
        <v>2.7422354700000007</v>
      </c>
      <c r="AA25" s="55">
        <f>'Long-form'!BU26</f>
        <v>0.53824106018866347</v>
      </c>
      <c r="AB25" s="55">
        <f>'Long-form'!BV26</f>
        <v>0.53824106018866347</v>
      </c>
      <c r="AC25" s="55" t="str">
        <f>'Long-form'!BW26</f>
        <v>nd</v>
      </c>
      <c r="AD25" s="55" t="str">
        <f>'Long-form'!BX26</f>
        <v>nd</v>
      </c>
      <c r="AE25" s="55" t="str">
        <f>'Long-form'!BY26</f>
        <v>nd</v>
      </c>
      <c r="AF25" t="str">
        <f>'Long-form'!BZ26</f>
        <v>nd</v>
      </c>
      <c r="AG25">
        <f>'Long-form'!CB26</f>
        <v>0</v>
      </c>
      <c r="AH25">
        <f>'Long-form'!CD26</f>
        <v>0</v>
      </c>
      <c r="AI25" t="e">
        <f>'Long-form'!#REF!</f>
        <v>#REF!</v>
      </c>
    </row>
    <row r="26" spans="1:35">
      <c r="A26" t="str">
        <f>'Long-form'!A27</f>
        <v>Beta-145816</v>
      </c>
      <c r="B26" t="str">
        <f>'Long-form'!B27</f>
        <v>Davis et al 2000</v>
      </c>
      <c r="C26" t="str">
        <f>'Long-form'!C27</f>
        <v>9a</v>
      </c>
      <c r="D26" t="str">
        <f>'Long-form'!D27</f>
        <v>Hong Kong</v>
      </c>
      <c r="E26" s="55">
        <f>'Long-form'!E27</f>
        <v>22.245605999999999</v>
      </c>
      <c r="F26" s="55">
        <f>'Long-form'!F27</f>
        <v>114.246</v>
      </c>
      <c r="G26" t="str">
        <f>'Long-form'!G27</f>
        <v>1 = Radiocarbon</v>
      </c>
      <c r="H26" s="56">
        <f>'Long-form'!H27</f>
        <v>5140</v>
      </c>
      <c r="I26" s="56">
        <f>'Long-form'!I27</f>
        <v>50</v>
      </c>
      <c r="J26" s="56">
        <f>'Long-form'!J27</f>
        <v>5313</v>
      </c>
      <c r="K26" s="56">
        <f>'Long-form'!K27</f>
        <v>242</v>
      </c>
      <c r="L26" s="56">
        <f>'Long-form'!L27</f>
        <v>272</v>
      </c>
      <c r="M26" s="56" t="str">
        <f>'Long-form'!Q27</f>
        <v>nd</v>
      </c>
      <c r="N26" s="55" t="str">
        <f>'Long-form'!R27</f>
        <v>nd</v>
      </c>
      <c r="O26" s="55" t="str">
        <f>'Long-form'!S27</f>
        <v>nd</v>
      </c>
      <c r="P26" s="55">
        <f>'Long-form'!T27</f>
        <v>0</v>
      </c>
      <c r="Q26" s="55">
        <f>'Long-form'!AM27</f>
        <v>2.8</v>
      </c>
      <c r="R26" s="55" t="str">
        <f>'Long-form'!AN27</f>
        <v>YSD</v>
      </c>
      <c r="S26" s="55">
        <f>'Long-form'!AP27</f>
        <v>1.2542932563233331</v>
      </c>
      <c r="T26" s="55">
        <f>'Long-form'!AQ27</f>
        <v>1.2542932563233331</v>
      </c>
      <c r="U26" t="str">
        <f>'Long-form'!BC27</f>
        <v>0</v>
      </c>
      <c r="V26" t="str">
        <f>'Long-form'!BD27</f>
        <v>3 = Fixed biological indicators</v>
      </c>
      <c r="W26" t="str">
        <f>'Long-form'!BE27</f>
        <v>intertidal rocky shore</v>
      </c>
      <c r="X26" t="str">
        <f>'Long-form'!BF27</f>
        <v>Saccostrea cucullata fossil</v>
      </c>
      <c r="Y26" t="str">
        <f>'Long-form'!BH27</f>
        <v>MHHW-MLLW</v>
      </c>
      <c r="Z26" s="55">
        <f>'Long-form'!BT27</f>
        <v>2.7112354700000001</v>
      </c>
      <c r="AA26" s="55">
        <f>'Long-form'!BU27</f>
        <v>1.3525642357134862</v>
      </c>
      <c r="AB26" s="55">
        <f>'Long-form'!BV27</f>
        <v>1.3525642357134862</v>
      </c>
      <c r="AC26" s="55" t="str">
        <f>'Long-form'!BW27</f>
        <v>nd</v>
      </c>
      <c r="AD26" s="55" t="str">
        <f>'Long-form'!BX27</f>
        <v>nd</v>
      </c>
      <c r="AE26" s="55" t="str">
        <f>'Long-form'!BY27</f>
        <v>nd</v>
      </c>
      <c r="AF26" t="str">
        <f>'Long-form'!BZ27</f>
        <v>nd</v>
      </c>
      <c r="AG26">
        <f>'Long-form'!CB27</f>
        <v>0</v>
      </c>
      <c r="AH26">
        <f>'Long-form'!CD27</f>
        <v>0</v>
      </c>
      <c r="AI26" t="e">
        <f>'Long-form'!#REF!</f>
        <v>#REF!</v>
      </c>
    </row>
    <row r="27" spans="1:35">
      <c r="A27" t="str">
        <f>'Long-form'!A28</f>
        <v>GF9379</v>
      </c>
      <c r="B27" t="str">
        <f>'Long-form'!B28</f>
        <v>Lai and Shaw 1996</v>
      </c>
      <c r="C27" t="str">
        <f>'Long-form'!C28</f>
        <v>9a</v>
      </c>
      <c r="D27" t="str">
        <f>'Long-form'!D28</f>
        <v>Hong Kong</v>
      </c>
      <c r="E27" s="55">
        <f>'Long-form'!E28</f>
        <v>22.464210477999998</v>
      </c>
      <c r="F27" s="55">
        <f>'Long-form'!F28</f>
        <v>114.207645047</v>
      </c>
      <c r="G27" t="str">
        <f>'Long-form'!G28</f>
        <v>1 = Radiocarbon</v>
      </c>
      <c r="H27" s="56">
        <f>'Long-form'!H28</f>
        <v>626.46950426133219</v>
      </c>
      <c r="I27" s="56">
        <f>'Long-form'!I28</f>
        <v>121.27869156010786</v>
      </c>
      <c r="J27" s="56">
        <f>'Long-form'!J28</f>
        <v>605</v>
      </c>
      <c r="K27" s="56">
        <f>'Long-form'!K28</f>
        <v>186</v>
      </c>
      <c r="L27" s="56">
        <f>'Long-form'!L28</f>
        <v>275</v>
      </c>
      <c r="M27" s="56" t="str">
        <f>'Long-form'!Q28</f>
        <v>nd</v>
      </c>
      <c r="N27" s="55" t="str">
        <f>'Long-form'!R28</f>
        <v>nd</v>
      </c>
      <c r="O27" s="55" t="str">
        <f>'Long-form'!S28</f>
        <v>nd</v>
      </c>
      <c r="P27" s="55">
        <f>'Long-form'!T28</f>
        <v>1</v>
      </c>
      <c r="Q27" s="55">
        <f>'Long-form'!AM28</f>
        <v>-1.38</v>
      </c>
      <c r="R27" s="55" t="str">
        <f>'Long-form'!AN28</f>
        <v>YSD</v>
      </c>
      <c r="S27" s="55">
        <f>'Long-form'!AP28</f>
        <v>0.56852880314017507</v>
      </c>
      <c r="T27" s="55">
        <f>'Long-form'!AQ28</f>
        <v>0.56852880314017507</v>
      </c>
      <c r="U27" t="str">
        <f>'Long-form'!BC28</f>
        <v xml:space="preserve">-1 </v>
      </c>
      <c r="V27" t="str">
        <f>'Long-form'!BD28</f>
        <v>5 = Sedimentary (e.g., deltaic, estuarine, wetland, lacustrine, marine facies)</v>
      </c>
      <c r="W27" t="str">
        <f>'Long-form'!BE28</f>
        <v>Tidal flat deposit</v>
      </c>
      <c r="X27" t="str">
        <f>'Long-form'!BF28</f>
        <v>sediment color, texture</v>
      </c>
      <c r="Y27" t="str">
        <f>'Long-form'!BH28</f>
        <v>&lt;HAT</v>
      </c>
      <c r="Z27" s="55">
        <f>'Long-form'!BT28</f>
        <v>-2.7240874009999998</v>
      </c>
      <c r="AA27" s="55">
        <f>'Long-form'!BU28</f>
        <v>0.59634302209382806</v>
      </c>
      <c r="AB27" s="55">
        <f>'Long-form'!BV28</f>
        <v>0.59634302209382806</v>
      </c>
      <c r="AC27" s="55" t="str">
        <f>'Long-form'!BW28</f>
        <v>nd</v>
      </c>
      <c r="AD27" s="55" t="str">
        <f>'Long-form'!BX28</f>
        <v>nd</v>
      </c>
      <c r="AE27" s="55" t="str">
        <f>'Long-form'!BY28</f>
        <v>nd</v>
      </c>
      <c r="AF27" t="str">
        <f>'Long-form'!BZ28</f>
        <v>nd</v>
      </c>
      <c r="AG27">
        <f>'Long-form'!CB28</f>
        <v>0</v>
      </c>
      <c r="AH27">
        <f>'Long-form'!CD28</f>
        <v>0</v>
      </c>
      <c r="AI27" t="e">
        <f>'Long-form'!#REF!</f>
        <v>#REF!</v>
      </c>
    </row>
    <row r="28" spans="1:35">
      <c r="A28" t="str">
        <f>'Long-form'!A29</f>
        <v>GF9380</v>
      </c>
      <c r="B28" t="str">
        <f>'Long-form'!B29</f>
        <v>Lai and Shaw 1996</v>
      </c>
      <c r="C28" t="str">
        <f>'Long-form'!C29</f>
        <v>9a</v>
      </c>
      <c r="D28" t="str">
        <f>'Long-form'!D29</f>
        <v>Hong Kong</v>
      </c>
      <c r="E28" s="55">
        <f>'Long-form'!E29</f>
        <v>22.464210477999998</v>
      </c>
      <c r="F28" s="55">
        <f>'Long-form'!F29</f>
        <v>114.207645047</v>
      </c>
      <c r="G28" t="str">
        <f>'Long-form'!G29</f>
        <v>1 = Radiocarbon</v>
      </c>
      <c r="H28" s="56">
        <f>'Long-form'!H29</f>
        <v>1000.6818647162495</v>
      </c>
      <c r="I28" s="56">
        <f>'Long-form'!I29</f>
        <v>441.7188423118867</v>
      </c>
      <c r="J28" s="56">
        <f>'Long-form'!J29</f>
        <v>523</v>
      </c>
      <c r="K28" s="56">
        <f>'Long-form'!K29</f>
        <v>702</v>
      </c>
      <c r="L28" s="56">
        <f>'Long-form'!L29</f>
        <v>522</v>
      </c>
      <c r="M28" s="56" t="str">
        <f>'Long-form'!Q29</f>
        <v>nd</v>
      </c>
      <c r="N28" s="55" t="str">
        <f>'Long-form'!R29</f>
        <v>nd</v>
      </c>
      <c r="O28" s="55" t="str">
        <f>'Long-form'!S29</f>
        <v>nd</v>
      </c>
      <c r="P28" s="55">
        <f>'Long-form'!T29</f>
        <v>1</v>
      </c>
      <c r="Q28" s="55">
        <f>'Long-form'!AM29</f>
        <v>-1.38</v>
      </c>
      <c r="R28" s="55" t="str">
        <f>'Long-form'!AN29</f>
        <v>YSD</v>
      </c>
      <c r="S28" s="55">
        <f>'Long-form'!AP29</f>
        <v>0.56800088028100804</v>
      </c>
      <c r="T28" s="55">
        <f>'Long-form'!AQ29</f>
        <v>0.56800088028100804</v>
      </c>
      <c r="U28" t="str">
        <f>'Long-form'!BC29</f>
        <v xml:space="preserve">-1 </v>
      </c>
      <c r="V28" t="str">
        <f>'Long-form'!BD29</f>
        <v>5 = Sedimentary (e.g., deltaic, estuarine, wetland, lacustrine, marine facies)</v>
      </c>
      <c r="W28" t="str">
        <f>'Long-form'!BE29</f>
        <v>Tidal flat deposit</v>
      </c>
      <c r="X28" t="str">
        <f>'Long-form'!BF29</f>
        <v>sediment color, texture</v>
      </c>
      <c r="Y28" t="str">
        <f>'Long-form'!BH29</f>
        <v>&lt;HAT</v>
      </c>
      <c r="Z28" s="55">
        <f>'Long-form'!BT29</f>
        <v>-2.7240874009999998</v>
      </c>
      <c r="AA28" s="55">
        <f>'Long-form'!BU29</f>
        <v>0.5958397435552617</v>
      </c>
      <c r="AB28" s="55">
        <f>'Long-form'!BV29</f>
        <v>0.5958397435552617</v>
      </c>
      <c r="AC28" s="55" t="str">
        <f>'Long-form'!BW29</f>
        <v>nd</v>
      </c>
      <c r="AD28" s="55" t="str">
        <f>'Long-form'!BX29</f>
        <v>nd</v>
      </c>
      <c r="AE28" s="55" t="str">
        <f>'Long-form'!BY29</f>
        <v>nd</v>
      </c>
      <c r="AF28" t="str">
        <f>'Long-form'!BZ29</f>
        <v>nd</v>
      </c>
      <c r="AG28">
        <f>'Long-form'!CB29</f>
        <v>0</v>
      </c>
      <c r="AH28">
        <f>'Long-form'!CD29</f>
        <v>0</v>
      </c>
      <c r="AI28" t="e">
        <f>'Long-form'!#REF!</f>
        <v>#REF!</v>
      </c>
    </row>
    <row r="29" spans="1:35">
      <c r="A29" t="str">
        <f>'Long-form'!A30</f>
        <v>I-8830</v>
      </c>
      <c r="B29" t="str">
        <f>'Long-form'!B30</f>
        <v>Bard 1975</v>
      </c>
      <c r="C29" t="str">
        <f>'Long-form'!C30</f>
        <v>9a</v>
      </c>
      <c r="D29" t="str">
        <f>'Long-form'!D30</f>
        <v>Hong Kong</v>
      </c>
      <c r="E29" s="55">
        <f>'Long-form'!E30</f>
        <v>22.216999999999999</v>
      </c>
      <c r="F29" s="55">
        <f>'Long-form'!F30</f>
        <v>114.202</v>
      </c>
      <c r="G29" t="str">
        <f>'Long-form'!G30</f>
        <v>1 = Radiocarbon</v>
      </c>
      <c r="H29" s="56">
        <f>'Long-form'!H30</f>
        <v>5388.9526305170139</v>
      </c>
      <c r="I29" s="56">
        <f>'Long-form'!I30</f>
        <v>111.37113931289798</v>
      </c>
      <c r="J29" s="56">
        <f>'Long-form'!J30</f>
        <v>6161</v>
      </c>
      <c r="K29" s="56">
        <f>'Long-form'!K30</f>
        <v>232</v>
      </c>
      <c r="L29" s="56">
        <f>'Long-form'!L30</f>
        <v>231</v>
      </c>
      <c r="M29" s="56" t="str">
        <f>'Long-form'!Q30</f>
        <v>transgressive</v>
      </c>
      <c r="N29" s="55">
        <f>'Long-form'!R30</f>
        <v>0.46</v>
      </c>
      <c r="O29" s="55" t="str">
        <f>'Long-form'!S30</f>
        <v>nd</v>
      </c>
      <c r="P29" s="55">
        <f>'Long-form'!T30</f>
        <v>1</v>
      </c>
      <c r="Q29" s="55">
        <f>'Long-form'!AM30</f>
        <v>0.31999999999999995</v>
      </c>
      <c r="R29" s="55" t="str">
        <f>'Long-form'!AN30</f>
        <v>YSD</v>
      </c>
      <c r="S29" s="55">
        <f>'Long-form'!AP30</f>
        <v>0.5340268158060979</v>
      </c>
      <c r="T29" s="55">
        <f>'Long-form'!AQ30</f>
        <v>0.5340268158060979</v>
      </c>
      <c r="U29" t="str">
        <f>'Long-form'!BC30</f>
        <v xml:space="preserve">1 </v>
      </c>
      <c r="V29" t="str">
        <f>'Long-form'!BD30</f>
        <v>5 = Sedimentary (e.g., deltaic, estuarine, wetland, lacustrine, marine facies)</v>
      </c>
      <c r="W29" t="str">
        <f>'Long-form'!BE30</f>
        <v>Fluvial deposit</v>
      </c>
      <c r="X29" t="str">
        <f>'Long-form'!BF30</f>
        <v>sediment color, texture and grain size</v>
      </c>
      <c r="Y29" t="str">
        <f>'Long-form'!BH30</f>
        <v>&gt;MTL</v>
      </c>
      <c r="Z29" s="55">
        <f>'Long-form'!BT30</f>
        <v>0.28825671799999997</v>
      </c>
      <c r="AA29" s="55">
        <f>'Long-form'!BU30</f>
        <v>0.53636241479059654</v>
      </c>
      <c r="AB29" s="55">
        <f>'Long-form'!BV30</f>
        <v>0.53636241479059654</v>
      </c>
      <c r="AC29" s="55" t="str">
        <f>'Long-form'!BW30</f>
        <v>nd</v>
      </c>
      <c r="AD29" s="55" t="str">
        <f>'Long-form'!BX30</f>
        <v>nd</v>
      </c>
      <c r="AE29" s="55" t="str">
        <f>'Long-form'!BY30</f>
        <v>nd</v>
      </c>
      <c r="AF29" t="str">
        <f>'Long-form'!BZ30</f>
        <v>nd</v>
      </c>
      <c r="AG29">
        <f>'Long-form'!CB30</f>
        <v>0</v>
      </c>
      <c r="AH29">
        <f>'Long-form'!CD30</f>
        <v>0</v>
      </c>
      <c r="AI29" t="e">
        <f>'Long-form'!#REF!</f>
        <v>#REF!</v>
      </c>
    </row>
    <row r="30" spans="1:35">
      <c r="A30" t="str">
        <f>'Long-form'!A31</f>
        <v>GIF-4813</v>
      </c>
      <c r="B30" t="str">
        <f>'Long-form'!B31</f>
        <v>Meacham 1980</v>
      </c>
      <c r="C30" t="str">
        <f>'Long-form'!C31</f>
        <v>9a</v>
      </c>
      <c r="D30" t="str">
        <f>'Long-form'!D31</f>
        <v>Hong Kong</v>
      </c>
      <c r="E30" s="55">
        <f>'Long-form'!E31</f>
        <v>22.319334999999999</v>
      </c>
      <c r="F30" s="55">
        <f>'Long-form'!F31</f>
        <v>114.169303</v>
      </c>
      <c r="G30" t="str">
        <f>'Long-form'!G31</f>
        <v>1 = Radiocarbon</v>
      </c>
      <c r="H30" s="56">
        <f>'Long-form'!H31</f>
        <v>7411</v>
      </c>
      <c r="I30" s="56">
        <f>'Long-form'!I31</f>
        <v>467.13545749959275</v>
      </c>
      <c r="J30" s="56">
        <f>'Long-form'!J31</f>
        <v>7727</v>
      </c>
      <c r="K30" s="56">
        <f>'Long-form'!K31</f>
        <v>1059</v>
      </c>
      <c r="L30" s="56">
        <f>'Long-form'!L31</f>
        <v>1042</v>
      </c>
      <c r="M30" s="56" t="str">
        <f>'Long-form'!Q31</f>
        <v>nd</v>
      </c>
      <c r="N30" s="55" t="str">
        <f>'Long-form'!R31</f>
        <v>nd</v>
      </c>
      <c r="O30" s="55" t="str">
        <f>'Long-form'!S31</f>
        <v>nd</v>
      </c>
      <c r="P30" s="55">
        <f>'Long-form'!T31</f>
        <v>1</v>
      </c>
      <c r="Q30" s="55">
        <f>'Long-form'!AM31</f>
        <v>-11.88</v>
      </c>
      <c r="R30" s="55" t="str">
        <f>'Long-form'!AN31</f>
        <v>YSD</v>
      </c>
      <c r="S30" s="55">
        <f>'Long-form'!AP31</f>
        <v>0.56800088028100804</v>
      </c>
      <c r="T30" s="55">
        <f>'Long-form'!AQ31</f>
        <v>0.56800088028100804</v>
      </c>
      <c r="U30" t="str">
        <f>'Long-form'!BC31</f>
        <v>-1</v>
      </c>
      <c r="V30" t="str">
        <f>'Long-form'!BD31</f>
        <v>5 = Sedimentary (e.g., deltaic, estuarine, wetland, lacustrine, marine facies)</v>
      </c>
      <c r="W30" t="str">
        <f>'Long-form'!BE31</f>
        <v>Marine deposit</v>
      </c>
      <c r="X30" t="str">
        <f>'Long-form'!BF31</f>
        <v>sediment texture</v>
      </c>
      <c r="Y30" t="str">
        <f>'Long-form'!BH31</f>
        <v>&lt;MTL</v>
      </c>
      <c r="Z30" s="55">
        <f>'Long-form'!BT31</f>
        <v>-11.920407612</v>
      </c>
      <c r="AA30" s="55">
        <f>'Long-form'!BU31</f>
        <v>0.57019733426244645</v>
      </c>
      <c r="AB30" s="55">
        <f>'Long-form'!BV31</f>
        <v>0.57019733426244645</v>
      </c>
      <c r="AC30" s="55" t="str">
        <f>'Long-form'!BW31</f>
        <v>nd</v>
      </c>
      <c r="AD30" s="55" t="str">
        <f>'Long-form'!BX31</f>
        <v>nd</v>
      </c>
      <c r="AE30" s="55" t="str">
        <f>'Long-form'!BY31</f>
        <v>nd</v>
      </c>
      <c r="AF30" t="str">
        <f>'Long-form'!BZ31</f>
        <v>nd</v>
      </c>
      <c r="AG30">
        <f>'Long-form'!CB31</f>
        <v>0</v>
      </c>
      <c r="AH30">
        <f>'Long-form'!CD31</f>
        <v>0</v>
      </c>
      <c r="AI30" t="e">
        <f>'Long-form'!#REF!</f>
        <v>#REF!</v>
      </c>
    </row>
    <row r="31" spans="1:35">
      <c r="A31" t="str">
        <f>'Long-form'!A32</f>
        <v>GIF-4558</v>
      </c>
      <c r="B31" t="str">
        <f>'Long-form'!B32</f>
        <v>Meacham 1979a</v>
      </c>
      <c r="C31" t="str">
        <f>'Long-form'!C32</f>
        <v>9a</v>
      </c>
      <c r="D31" t="str">
        <f>'Long-form'!D32</f>
        <v>Hong Kong</v>
      </c>
      <c r="E31" s="55">
        <f>'Long-form'!E32</f>
        <v>22.325066</v>
      </c>
      <c r="F31" s="55">
        <f>'Long-form'!F32</f>
        <v>114.168454</v>
      </c>
      <c r="G31" t="str">
        <f>'Long-form'!G32</f>
        <v>1 = Radiocarbon</v>
      </c>
      <c r="H31" s="56">
        <f>'Long-form'!H32</f>
        <v>6970.6818647162499</v>
      </c>
      <c r="I31" s="56">
        <f>'Long-form'!I32</f>
        <v>457.7286703423261</v>
      </c>
      <c r="J31" s="56">
        <f>'Long-form'!J32</f>
        <v>7257</v>
      </c>
      <c r="K31" s="56">
        <f>'Long-form'!K32</f>
        <v>959</v>
      </c>
      <c r="L31" s="56">
        <f>'Long-form'!L32</f>
        <v>989</v>
      </c>
      <c r="M31" s="56" t="str">
        <f>'Long-form'!Q32</f>
        <v>nd</v>
      </c>
      <c r="N31" s="55" t="str">
        <f>'Long-form'!R32</f>
        <v>nd</v>
      </c>
      <c r="O31" s="55" t="str">
        <f>'Long-form'!S32</f>
        <v>nd</v>
      </c>
      <c r="P31" s="55">
        <f>'Long-form'!T32</f>
        <v>1</v>
      </c>
      <c r="Q31" s="55">
        <f>'Long-form'!AM32</f>
        <v>-11.88</v>
      </c>
      <c r="R31" s="55" t="str">
        <f>'Long-form'!AN32</f>
        <v>YSD</v>
      </c>
      <c r="S31" s="55">
        <f>'Long-form'!AP32</f>
        <v>0.56800088028100804</v>
      </c>
      <c r="T31" s="55">
        <f>'Long-form'!AQ32</f>
        <v>0.56800088028100804</v>
      </c>
      <c r="U31" t="str">
        <f>'Long-form'!BC32</f>
        <v xml:space="preserve">-1 </v>
      </c>
      <c r="V31" t="str">
        <f>'Long-form'!BD32</f>
        <v>5 = Sedimentary (e.g., deltaic, estuarine, wetland, lacustrine, marine facies)</v>
      </c>
      <c r="W31" t="str">
        <f>'Long-form'!BE32</f>
        <v>Tidal flat deposit</v>
      </c>
      <c r="X31" t="str">
        <f>'Long-form'!BF32</f>
        <v>sediment texture</v>
      </c>
      <c r="Y31" t="str">
        <f>'Long-form'!BH32</f>
        <v>&lt;HAT</v>
      </c>
      <c r="Z31" s="55">
        <f>'Long-form'!BT32</f>
        <v>-13.206264198000001</v>
      </c>
      <c r="AA31" s="55">
        <f>'Long-form'!BU32</f>
        <v>0.5958397435552617</v>
      </c>
      <c r="AB31" s="55">
        <f>'Long-form'!BV32</f>
        <v>0.5958397435552617</v>
      </c>
      <c r="AC31" s="55" t="str">
        <f>'Long-form'!BW32</f>
        <v>nd</v>
      </c>
      <c r="AD31" s="55" t="str">
        <f>'Long-form'!BX32</f>
        <v>nd</v>
      </c>
      <c r="AE31" s="55" t="str">
        <f>'Long-form'!BY32</f>
        <v>nd</v>
      </c>
      <c r="AF31" t="str">
        <f>'Long-form'!BZ32</f>
        <v>nd</v>
      </c>
      <c r="AG31">
        <f>'Long-form'!CB32</f>
        <v>0</v>
      </c>
      <c r="AH31">
        <f>'Long-form'!CD32</f>
        <v>0</v>
      </c>
      <c r="AI31" t="e">
        <f>'Long-form'!#REF!</f>
        <v>#REF!</v>
      </c>
    </row>
    <row r="32" spans="1:35">
      <c r="A32" t="str">
        <f>'Long-form'!A33</f>
        <v>OxA-5406</v>
      </c>
      <c r="B32" t="str">
        <f>'Long-form'!B33</f>
        <v>Davis 1999; Fyfe et al 1999</v>
      </c>
      <c r="C32" t="str">
        <f>'Long-form'!C33</f>
        <v>9a</v>
      </c>
      <c r="D32" t="str">
        <f>'Long-form'!D33</f>
        <v>Hong Kong</v>
      </c>
      <c r="E32" s="55">
        <f>'Long-form'!E33</f>
        <v>22.162769531999999</v>
      </c>
      <c r="F32" s="55">
        <f>'Long-form'!F33</f>
        <v>114.164790904</v>
      </c>
      <c r="G32" t="str">
        <f>'Long-form'!G33</f>
        <v>1 = Radiocarbon</v>
      </c>
      <c r="H32" s="56">
        <f>'Long-form'!H33</f>
        <v>825</v>
      </c>
      <c r="I32" s="56">
        <f>'Long-form'!I33</f>
        <v>65</v>
      </c>
      <c r="J32" s="56">
        <f>'Long-form'!J33</f>
        <v>296</v>
      </c>
      <c r="K32" s="56">
        <f>'Long-form'!K33</f>
        <v>201</v>
      </c>
      <c r="L32" s="56">
        <f>'Long-form'!L33</f>
        <v>239</v>
      </c>
      <c r="M32" s="56" t="str">
        <f>'Long-form'!Q33</f>
        <v>transgressive</v>
      </c>
      <c r="N32" s="55">
        <f>'Long-form'!R33</f>
        <v>0</v>
      </c>
      <c r="O32" s="55" t="str">
        <f>'Long-form'!S33</f>
        <v>&gt;60</v>
      </c>
      <c r="P32" s="55">
        <f>'Long-form'!T33</f>
        <v>1</v>
      </c>
      <c r="Q32" s="55">
        <f>'Long-form'!AM33</f>
        <v>-23.68</v>
      </c>
      <c r="R32" s="55" t="str">
        <f>'Long-form'!AN33</f>
        <v>YSD</v>
      </c>
      <c r="S32" s="55">
        <f>'Long-form'!AP33</f>
        <v>0.53162486774040207</v>
      </c>
      <c r="T32" s="55">
        <f>'Long-form'!AQ33</f>
        <v>0.53162486774040207</v>
      </c>
      <c r="U32" t="str">
        <f>'Long-form'!BC33</f>
        <v>-1</v>
      </c>
      <c r="V32" t="str">
        <f>'Long-form'!BD33</f>
        <v>5 = Sedimentary (e.g., deltaic, estuarine, wetland, lacustrine, marine facies)</v>
      </c>
      <c r="W32" t="str">
        <f>'Long-form'!BE33</f>
        <v>Marine deposit</v>
      </c>
      <c r="X32" t="str">
        <f>'Long-form'!BF33</f>
        <v>sediment texture, grain size, diatom and foraminifera assemblage</v>
      </c>
      <c r="Y32" t="str">
        <f>'Long-form'!BH33</f>
        <v>&lt;MTL</v>
      </c>
      <c r="Z32" s="55">
        <f>'Long-form'!BT33</f>
        <v>-23.681192751000001</v>
      </c>
      <c r="AA32" s="55">
        <f>'Long-form'!BU33</f>
        <v>0.5339709729938511</v>
      </c>
      <c r="AB32" s="55">
        <f>'Long-form'!BV33</f>
        <v>0.5339709729938511</v>
      </c>
      <c r="AC32" s="55" t="str">
        <f>'Long-form'!BW33</f>
        <v>nd</v>
      </c>
      <c r="AD32" s="55" t="str">
        <f>'Long-form'!BX33</f>
        <v>nd</v>
      </c>
      <c r="AE32" s="55" t="str">
        <f>'Long-form'!BY33</f>
        <v>nd</v>
      </c>
      <c r="AF32" t="str">
        <f>'Long-form'!BZ33</f>
        <v>nd</v>
      </c>
      <c r="AG32">
        <f>'Long-form'!CB33</f>
        <v>0</v>
      </c>
      <c r="AH32">
        <f>'Long-form'!CD33</f>
        <v>0</v>
      </c>
      <c r="AI32" t="e">
        <f>'Long-form'!#REF!</f>
        <v>#REF!</v>
      </c>
    </row>
    <row r="33" spans="1:35">
      <c r="A33" t="str">
        <f>'Long-form'!A34</f>
        <v>OxA-5407</v>
      </c>
      <c r="B33" t="str">
        <f>'Long-form'!B34</f>
        <v>Davis 1999; Fyfe et al 1999</v>
      </c>
      <c r="C33" t="str">
        <f>'Long-form'!C34</f>
        <v>9a</v>
      </c>
      <c r="D33" t="str">
        <f>'Long-form'!D34</f>
        <v>Hong Kong</v>
      </c>
      <c r="E33" s="55">
        <f>'Long-form'!E34</f>
        <v>22.162769531999999</v>
      </c>
      <c r="F33" s="55">
        <f>'Long-form'!F34</f>
        <v>114.164790904</v>
      </c>
      <c r="G33" t="str">
        <f>'Long-form'!G34</f>
        <v>1 = Radiocarbon</v>
      </c>
      <c r="H33" s="56">
        <f>'Long-form'!H34</f>
        <v>3935</v>
      </c>
      <c r="I33" s="56">
        <f>'Long-form'!I34</f>
        <v>65</v>
      </c>
      <c r="J33" s="56">
        <f>'Long-form'!J34</f>
        <v>3760</v>
      </c>
      <c r="K33" s="56">
        <f>'Long-form'!K34</f>
        <v>295</v>
      </c>
      <c r="L33" s="56">
        <f>'Long-form'!L34</f>
        <v>284</v>
      </c>
      <c r="M33" s="56" t="str">
        <f>'Long-form'!Q34</f>
        <v>transgressive</v>
      </c>
      <c r="N33" s="55">
        <f>'Long-form'!R34</f>
        <v>2.7</v>
      </c>
      <c r="O33" s="55" t="str">
        <f>'Long-form'!S34</f>
        <v>&gt;57.2</v>
      </c>
      <c r="P33" s="55">
        <f>'Long-form'!T34</f>
        <v>1</v>
      </c>
      <c r="Q33" s="55">
        <f>'Long-form'!AM34</f>
        <v>-26.38</v>
      </c>
      <c r="R33" s="55" t="str">
        <f>'Long-form'!AN34</f>
        <v>YSD</v>
      </c>
      <c r="S33" s="55">
        <f>'Long-form'!AP34</f>
        <v>0.53436036529667874</v>
      </c>
      <c r="T33" s="55">
        <f>'Long-form'!AQ34</f>
        <v>0.53436036529667874</v>
      </c>
      <c r="U33" t="str">
        <f>'Long-form'!BC34</f>
        <v>-1</v>
      </c>
      <c r="V33" t="str">
        <f>'Long-form'!BD34</f>
        <v>5 = Sedimentary (e.g., deltaic, estuarine, wetland, lacustrine, marine facies)</v>
      </c>
      <c r="W33" t="str">
        <f>'Long-form'!BE34</f>
        <v>Marine deposit</v>
      </c>
      <c r="X33" t="str">
        <f>'Long-form'!BF34</f>
        <v>sediment texture, grain size, diatom and foraminifera assemblage</v>
      </c>
      <c r="Y33" t="str">
        <f>'Long-form'!BH34</f>
        <v>&lt;MTL</v>
      </c>
      <c r="Z33" s="55">
        <f>'Long-form'!BT34</f>
        <v>-26.381192751</v>
      </c>
      <c r="AA33" s="55">
        <f>'Long-form'!BU34</f>
        <v>0.53669451273513125</v>
      </c>
      <c r="AB33" s="55">
        <f>'Long-form'!BV34</f>
        <v>0.53669451273513125</v>
      </c>
      <c r="AC33" s="55" t="str">
        <f>'Long-form'!BW34</f>
        <v>nd</v>
      </c>
      <c r="AD33" s="55" t="str">
        <f>'Long-form'!BX34</f>
        <v>nd</v>
      </c>
      <c r="AE33" s="55" t="str">
        <f>'Long-form'!BY34</f>
        <v>nd</v>
      </c>
      <c r="AF33" t="str">
        <f>'Long-form'!BZ34</f>
        <v>nd</v>
      </c>
      <c r="AG33">
        <f>'Long-form'!CB34</f>
        <v>0</v>
      </c>
      <c r="AH33">
        <f>'Long-form'!CD34</f>
        <v>0</v>
      </c>
      <c r="AI33" t="e">
        <f>'Long-form'!#REF!</f>
        <v>#REF!</v>
      </c>
    </row>
    <row r="34" spans="1:35">
      <c r="A34" t="str">
        <f>'Long-form'!A35</f>
        <v>OxA-5408</v>
      </c>
      <c r="B34" t="str">
        <f>'Long-form'!B35</f>
        <v>Davis 1999; Fyfe et al 1999</v>
      </c>
      <c r="C34" t="str">
        <f>'Long-form'!C35</f>
        <v>9a</v>
      </c>
      <c r="D34" t="str">
        <f>'Long-form'!D35</f>
        <v>Hong Kong</v>
      </c>
      <c r="E34" s="55">
        <f>'Long-form'!E35</f>
        <v>22.162769531999999</v>
      </c>
      <c r="F34" s="55">
        <f>'Long-form'!F35</f>
        <v>114.164790904</v>
      </c>
      <c r="G34" t="str">
        <f>'Long-form'!G35</f>
        <v>1 = Radiocarbon</v>
      </c>
      <c r="H34" s="56">
        <f>'Long-form'!H35</f>
        <v>5425</v>
      </c>
      <c r="I34" s="56">
        <f>'Long-form'!I35</f>
        <v>85</v>
      </c>
      <c r="J34" s="56">
        <f>'Long-form'!J35</f>
        <v>5621</v>
      </c>
      <c r="K34" s="56">
        <f>'Long-form'!K35</f>
        <v>270</v>
      </c>
      <c r="L34" s="56">
        <f>'Long-form'!L35</f>
        <v>280</v>
      </c>
      <c r="M34" s="56" t="str">
        <f>'Long-form'!Q35</f>
        <v>transgressive</v>
      </c>
      <c r="N34" s="55">
        <f>'Long-form'!R35</f>
        <v>4.2</v>
      </c>
      <c r="O34" s="55" t="str">
        <f>'Long-form'!S35</f>
        <v>&gt;55.7</v>
      </c>
      <c r="P34" s="55">
        <f>'Long-form'!T35</f>
        <v>1</v>
      </c>
      <c r="Q34" s="55">
        <f>'Long-form'!AM35</f>
        <v>-27.88</v>
      </c>
      <c r="R34" s="55" t="str">
        <f>'Long-form'!AN35</f>
        <v>YSD</v>
      </c>
      <c r="S34" s="55">
        <f>'Long-form'!AP35</f>
        <v>0.53822021515361163</v>
      </c>
      <c r="T34" s="55">
        <f>'Long-form'!AQ35</f>
        <v>0.53822021515361163</v>
      </c>
      <c r="U34" t="str">
        <f>'Long-form'!BC35</f>
        <v>-1</v>
      </c>
      <c r="V34" t="str">
        <f>'Long-form'!BD35</f>
        <v>5 = Sedimentary (e.g., deltaic, estuarine, wetland, lacustrine, marine facies)</v>
      </c>
      <c r="W34" t="str">
        <f>'Long-form'!BE35</f>
        <v>Marine deposit</v>
      </c>
      <c r="X34" t="str">
        <f>'Long-form'!BF35</f>
        <v>sediment texture, grain size, diatom and foraminifera assemblage</v>
      </c>
      <c r="Y34" t="str">
        <f>'Long-form'!BH35</f>
        <v>&lt;MTL</v>
      </c>
      <c r="Z34" s="55">
        <f>'Long-form'!BT35</f>
        <v>-27.881192751</v>
      </c>
      <c r="AA34" s="55">
        <f>'Long-form'!BU35</f>
        <v>0.54053769526278184</v>
      </c>
      <c r="AB34" s="55">
        <f>'Long-form'!BV35</f>
        <v>0.54053769526278184</v>
      </c>
      <c r="AC34" s="55" t="str">
        <f>'Long-form'!BW35</f>
        <v>nd</v>
      </c>
      <c r="AD34" s="55" t="str">
        <f>'Long-form'!BX35</f>
        <v>nd</v>
      </c>
      <c r="AE34" s="55" t="str">
        <f>'Long-form'!BY35</f>
        <v>nd</v>
      </c>
      <c r="AF34" t="str">
        <f>'Long-form'!BZ35</f>
        <v>nd</v>
      </c>
      <c r="AG34">
        <f>'Long-form'!CB35</f>
        <v>0</v>
      </c>
      <c r="AH34">
        <f>'Long-form'!CD35</f>
        <v>0</v>
      </c>
      <c r="AI34" t="e">
        <f>'Long-form'!#REF!</f>
        <v>#REF!</v>
      </c>
    </row>
    <row r="35" spans="1:35">
      <c r="A35" t="str">
        <f>'Long-form'!A36</f>
        <v>OxA-5409</v>
      </c>
      <c r="B35" t="str">
        <f>'Long-form'!B36</f>
        <v>Davis 1999; Fyfe et al 1999</v>
      </c>
      <c r="C35" t="str">
        <f>'Long-form'!C36</f>
        <v>9a</v>
      </c>
      <c r="D35" t="str">
        <f>'Long-form'!D36</f>
        <v>Hong Kong</v>
      </c>
      <c r="E35" s="55">
        <f>'Long-form'!E36</f>
        <v>22.162769531999999</v>
      </c>
      <c r="F35" s="55">
        <f>'Long-form'!F36</f>
        <v>114.164790904</v>
      </c>
      <c r="G35" t="str">
        <f>'Long-form'!G36</f>
        <v>1 = Radiocarbon</v>
      </c>
      <c r="H35" s="56">
        <f>'Long-form'!H36</f>
        <v>8920</v>
      </c>
      <c r="I35" s="56">
        <f>'Long-form'!I36</f>
        <v>90</v>
      </c>
      <c r="J35" s="56">
        <f>'Long-form'!J36</f>
        <v>9438</v>
      </c>
      <c r="K35" s="56">
        <f>'Long-form'!K36</f>
        <v>331</v>
      </c>
      <c r="L35" s="56">
        <f>'Long-form'!L36</f>
        <v>327</v>
      </c>
      <c r="M35" s="56" t="str">
        <f>'Long-form'!Q36</f>
        <v>transgressive</v>
      </c>
      <c r="N35" s="55">
        <f>'Long-form'!R36</f>
        <v>7.2</v>
      </c>
      <c r="O35" s="55" t="str">
        <f>'Long-form'!S36</f>
        <v>&gt;52.7</v>
      </c>
      <c r="P35" s="55">
        <f>'Long-form'!T36</f>
        <v>1</v>
      </c>
      <c r="Q35" s="55">
        <f>'Long-form'!AM36</f>
        <v>-30.88</v>
      </c>
      <c r="R35" s="55" t="str">
        <f>'Long-form'!AN36</f>
        <v>YSD</v>
      </c>
      <c r="S35" s="55">
        <f>'Long-form'!AP36</f>
        <v>0.55078217109852057</v>
      </c>
      <c r="T35" s="55">
        <f>'Long-form'!AQ36</f>
        <v>0.55078217109852057</v>
      </c>
      <c r="U35" t="str">
        <f>'Long-form'!BC36</f>
        <v>-1</v>
      </c>
      <c r="V35" t="str">
        <f>'Long-form'!BD36</f>
        <v>5 = Sedimentary (e.g., deltaic, estuarine, wetland, lacustrine, marine facies)</v>
      </c>
      <c r="W35" t="str">
        <f>'Long-form'!BE36</f>
        <v>Marine deposit</v>
      </c>
      <c r="X35" t="str">
        <f>'Long-form'!BF36</f>
        <v>sediment texture, grain size, diatom and foraminifera assemblage</v>
      </c>
      <c r="Y35" t="str">
        <f>'Long-form'!BH36</f>
        <v>&lt;MTL</v>
      </c>
      <c r="Z35" s="55">
        <f>'Long-form'!BT36</f>
        <v>-30.881192751</v>
      </c>
      <c r="AA35" s="55">
        <f>'Long-form'!BU36</f>
        <v>0.55304701427636327</v>
      </c>
      <c r="AB35" s="55">
        <f>'Long-form'!BV36</f>
        <v>0.55304701427636327</v>
      </c>
      <c r="AC35" s="55" t="str">
        <f>'Long-form'!BW36</f>
        <v>nd</v>
      </c>
      <c r="AD35" s="55" t="str">
        <f>'Long-form'!BX36</f>
        <v>nd</v>
      </c>
      <c r="AE35" s="55" t="str">
        <f>'Long-form'!BY36</f>
        <v>nd</v>
      </c>
      <c r="AF35" t="str">
        <f>'Long-form'!BZ36</f>
        <v>nd</v>
      </c>
      <c r="AG35">
        <f>'Long-form'!CB36</f>
        <v>0</v>
      </c>
      <c r="AH35">
        <f>'Long-form'!CD36</f>
        <v>0</v>
      </c>
      <c r="AI35" t="e">
        <f>'Long-form'!#REF!</f>
        <v>#REF!</v>
      </c>
    </row>
    <row r="36" spans="1:35">
      <c r="A36" t="str">
        <f>'Long-form'!A37</f>
        <v>OxA-5410</v>
      </c>
      <c r="B36" t="str">
        <f>'Long-form'!B37</f>
        <v>Davis 1999; Fyfe et al 1999</v>
      </c>
      <c r="C36" t="str">
        <f>'Long-form'!C37</f>
        <v>9a</v>
      </c>
      <c r="D36" t="str">
        <f>'Long-form'!D37</f>
        <v>Hong Kong</v>
      </c>
      <c r="E36" s="55">
        <f>'Long-form'!E37</f>
        <v>22.162769531999999</v>
      </c>
      <c r="F36" s="55">
        <f>'Long-form'!F37</f>
        <v>114.164790904</v>
      </c>
      <c r="G36" t="str">
        <f>'Long-form'!G37</f>
        <v>1 = Radiocarbon</v>
      </c>
      <c r="H36" s="56">
        <f>'Long-form'!H37</f>
        <v>9310</v>
      </c>
      <c r="I36" s="56">
        <f>'Long-form'!I37</f>
        <v>80</v>
      </c>
      <c r="J36" s="56">
        <f>'Long-form'!J37</f>
        <v>9941</v>
      </c>
      <c r="K36" s="56">
        <f>'Long-form'!K37</f>
        <v>286</v>
      </c>
      <c r="L36" s="56">
        <f>'Long-form'!L37</f>
        <v>351</v>
      </c>
      <c r="M36" s="56" t="str">
        <f>'Long-form'!Q37</f>
        <v>transgressive</v>
      </c>
      <c r="N36" s="55">
        <f>'Long-form'!R37</f>
        <v>11.2</v>
      </c>
      <c r="O36" s="55" t="str">
        <f>'Long-form'!S37</f>
        <v>&gt;48.7</v>
      </c>
      <c r="P36" s="55">
        <f>'Long-form'!T37</f>
        <v>1</v>
      </c>
      <c r="Q36" s="55">
        <f>'Long-form'!AM37</f>
        <v>-34.880000000000003</v>
      </c>
      <c r="R36" s="55" t="str">
        <f>'Long-form'!AN37</f>
        <v>YSD</v>
      </c>
      <c r="S36" s="55">
        <f>'Long-form'!AP37</f>
        <v>0.57688907079264384</v>
      </c>
      <c r="T36" s="55">
        <f>'Long-form'!AQ37</f>
        <v>0.57688907079264384</v>
      </c>
      <c r="U36" t="str">
        <f>'Long-form'!BC37</f>
        <v>0</v>
      </c>
      <c r="V36" t="str">
        <f>'Long-form'!BD37</f>
        <v>5 = Sedimentary (e.g., deltaic, estuarine, wetland, lacustrine, marine facies)</v>
      </c>
      <c r="W36" t="str">
        <f>'Long-form'!BE37</f>
        <v>Intertidal deposit</v>
      </c>
      <c r="X36" t="str">
        <f>'Long-form'!BF37</f>
        <v>Sediment texture, grain size, diatom and foraminifera assemblage</v>
      </c>
      <c r="Y36" t="str">
        <f>'Long-form'!BH37</f>
        <v>HAT-LAT</v>
      </c>
      <c r="Z36" s="55">
        <f>'Long-form'!BT37</f>
        <v>-34.906192750500004</v>
      </c>
      <c r="AA36" s="55">
        <f>'Long-form'!BU37</f>
        <v>1.3912876134754071</v>
      </c>
      <c r="AB36" s="55">
        <f>'Long-form'!BV37</f>
        <v>1.3912876134754071</v>
      </c>
      <c r="AC36" s="55" t="str">
        <f>'Long-form'!BW37</f>
        <v>nd</v>
      </c>
      <c r="AD36" s="55" t="str">
        <f>'Long-form'!BX37</f>
        <v>nd</v>
      </c>
      <c r="AE36" s="55" t="str">
        <f>'Long-form'!BY37</f>
        <v>nd</v>
      </c>
      <c r="AF36" t="str">
        <f>'Long-form'!BZ37</f>
        <v>nd</v>
      </c>
      <c r="AG36">
        <f>'Long-form'!CB37</f>
        <v>0</v>
      </c>
      <c r="AH36">
        <f>'Long-form'!CD37</f>
        <v>0</v>
      </c>
      <c r="AI36" t="e">
        <f>'Long-form'!#REF!</f>
        <v>#REF!</v>
      </c>
    </row>
    <row r="37" spans="1:35">
      <c r="A37" t="str">
        <f>'Long-form'!A38</f>
        <v>GIF-4387</v>
      </c>
      <c r="B37" t="str">
        <f>'Long-form'!B38</f>
        <v>Meacham 1979a</v>
      </c>
      <c r="C37" t="str">
        <f>'Long-form'!C38</f>
        <v>9a</v>
      </c>
      <c r="D37" t="str">
        <f>'Long-form'!D38</f>
        <v>Hong Kong</v>
      </c>
      <c r="E37" s="55">
        <f>'Long-form'!E38</f>
        <v>22.279578000000001</v>
      </c>
      <c r="F37" s="55">
        <f>'Long-form'!F38</f>
        <v>114.164564</v>
      </c>
      <c r="G37" t="str">
        <f>'Long-form'!G38</f>
        <v>1 = Radiocarbon</v>
      </c>
      <c r="H37" s="56">
        <f>'Long-form'!H38</f>
        <v>6453.9526305170139</v>
      </c>
      <c r="I37" s="56">
        <f>'Long-form'!I38</f>
        <v>135.19811637604715</v>
      </c>
      <c r="J37" s="56">
        <f>'Long-form'!J38</f>
        <v>7355</v>
      </c>
      <c r="K37" s="56">
        <f>'Long-form'!K38</f>
        <v>227</v>
      </c>
      <c r="L37" s="56">
        <f>'Long-form'!L38</f>
        <v>336</v>
      </c>
      <c r="M37" s="56" t="str">
        <f>'Long-form'!Q38</f>
        <v>nd</v>
      </c>
      <c r="N37" s="55" t="str">
        <f>'Long-form'!R38</f>
        <v>nd</v>
      </c>
      <c r="O37" s="55" t="str">
        <f>'Long-form'!S38</f>
        <v>nd</v>
      </c>
      <c r="P37" s="55">
        <f>'Long-form'!T38</f>
        <v>1</v>
      </c>
      <c r="Q37" s="55">
        <f>'Long-form'!AM38</f>
        <v>-8.18</v>
      </c>
      <c r="R37" s="55" t="str">
        <f>'Long-form'!AN38</f>
        <v>YSD</v>
      </c>
      <c r="S37" s="55">
        <f>'Long-form'!AP38</f>
        <v>0.57017541160593732</v>
      </c>
      <c r="T37" s="55">
        <f>'Long-form'!AQ38</f>
        <v>0.57017541160593732</v>
      </c>
      <c r="U37" t="str">
        <f>'Long-form'!BC38</f>
        <v xml:space="preserve">-1 </v>
      </c>
      <c r="V37" t="str">
        <f>'Long-form'!BD38</f>
        <v>5 = Sedimentary (e.g., deltaic, estuarine, wetland, lacustrine, marine facies)</v>
      </c>
      <c r="W37" t="str">
        <f>'Long-form'!BE38</f>
        <v>Intertidal deposit</v>
      </c>
      <c r="X37" t="str">
        <f>'Long-form'!BF38</f>
        <v>Sedimentary description</v>
      </c>
      <c r="Y37" t="str">
        <f>'Long-form'!BH38</f>
        <v>&lt;HAT</v>
      </c>
      <c r="Z37" s="55">
        <f>'Long-form'!BT38</f>
        <v>-9.487151385999999</v>
      </c>
      <c r="AA37" s="55">
        <f>'Long-form'!BU38</f>
        <v>0.59791303715506994</v>
      </c>
      <c r="AB37" s="55">
        <f>'Long-form'!BV38</f>
        <v>0.59791303715506994</v>
      </c>
      <c r="AC37" s="55" t="str">
        <f>'Long-form'!BW38</f>
        <v>nd</v>
      </c>
      <c r="AD37" s="55" t="str">
        <f>'Long-form'!BX38</f>
        <v>nd</v>
      </c>
      <c r="AE37" s="55" t="str">
        <f>'Long-form'!BY38</f>
        <v>nd</v>
      </c>
      <c r="AF37" t="str">
        <f>'Long-form'!BZ38</f>
        <v>nd</v>
      </c>
      <c r="AG37">
        <f>'Long-form'!CB38</f>
        <v>0</v>
      </c>
      <c r="AH37">
        <f>'Long-form'!CD38</f>
        <v>0</v>
      </c>
      <c r="AI37" t="e">
        <f>'Long-form'!#REF!</f>
        <v>#REF!</v>
      </c>
    </row>
    <row r="38" spans="1:35">
      <c r="A38" t="str">
        <f>'Long-form'!A39</f>
        <v>KWG-406</v>
      </c>
      <c r="B38" t="str">
        <f>'Long-form'!B39</f>
        <v>Howat 1985</v>
      </c>
      <c r="C38" t="str">
        <f>'Long-form'!C39</f>
        <v>9a</v>
      </c>
      <c r="D38" t="str">
        <f>'Long-form'!D39</f>
        <v>Hong Kong</v>
      </c>
      <c r="E38" s="55">
        <f>'Long-form'!E39</f>
        <v>22.286016</v>
      </c>
      <c r="F38" s="55">
        <f>'Long-form'!F39</f>
        <v>114.151139</v>
      </c>
      <c r="G38" t="str">
        <f>'Long-form'!G39</f>
        <v>1 = Radiocarbon</v>
      </c>
      <c r="H38" s="56">
        <f>'Long-form'!H39</f>
        <v>8465.5305380546779</v>
      </c>
      <c r="I38" s="56">
        <f>'Long-form'!I39</f>
        <v>288.21033025871924</v>
      </c>
      <c r="J38" s="56">
        <f>'Long-form'!J39</f>
        <v>9452</v>
      </c>
      <c r="K38" s="56">
        <f>'Long-form'!K39</f>
        <v>747</v>
      </c>
      <c r="L38" s="56">
        <f>'Long-form'!L39</f>
        <v>800</v>
      </c>
      <c r="M38" s="56" t="str">
        <f>'Long-form'!Q39</f>
        <v>transgressive</v>
      </c>
      <c r="N38" s="55">
        <f>'Long-form'!R39</f>
        <v>18.5</v>
      </c>
      <c r="O38" s="55">
        <f>'Long-form'!S39</f>
        <v>0</v>
      </c>
      <c r="P38" s="55">
        <f>'Long-form'!T39</f>
        <v>0</v>
      </c>
      <c r="Q38" s="55">
        <f>'Long-form'!AM39</f>
        <v>-17.38</v>
      </c>
      <c r="R38" s="55" t="str">
        <f>'Long-form'!AN39</f>
        <v>YSD</v>
      </c>
      <c r="S38" s="55">
        <f>'Long-form'!AP39</f>
        <v>0.64961527075646863</v>
      </c>
      <c r="T38" s="55">
        <f>'Long-form'!AQ39</f>
        <v>0.64961527075646863</v>
      </c>
      <c r="U38" t="str">
        <f>'Long-form'!BC39</f>
        <v xml:space="preserve">1 </v>
      </c>
      <c r="V38" t="str">
        <f>'Long-form'!BD39</f>
        <v>5 = Sedimentary (e.g., deltaic, estuarine, wetland, lacustrine, marine facies)</v>
      </c>
      <c r="W38" t="str">
        <f>'Long-form'!BE39</f>
        <v>Colluvium</v>
      </c>
      <c r="X38" t="str">
        <f>'Long-form'!BF39</f>
        <v>Sediment texture, grain size, diatom and foraminifera assemblage</v>
      </c>
      <c r="Y38" t="str">
        <f>'Long-form'!BH39</f>
        <v>&gt;MTL</v>
      </c>
      <c r="Z38" s="55">
        <f>'Long-form'!BT39</f>
        <v>-17.422180581999999</v>
      </c>
      <c r="AA38" s="55">
        <f>'Long-form'!BU39</f>
        <v>0.65153664517047705</v>
      </c>
      <c r="AB38" s="55">
        <f>'Long-form'!BV39</f>
        <v>0.65153664517047705</v>
      </c>
      <c r="AC38" s="55" t="str">
        <f>'Long-form'!BW39</f>
        <v>nd</v>
      </c>
      <c r="AD38" s="55" t="str">
        <f>'Long-form'!BX39</f>
        <v>nd</v>
      </c>
      <c r="AE38" s="55" t="str">
        <f>'Long-form'!BY39</f>
        <v>nd</v>
      </c>
      <c r="AF38" t="str">
        <f>'Long-form'!BZ39</f>
        <v>nd</v>
      </c>
      <c r="AG38">
        <f>'Long-form'!CB39</f>
        <v>1</v>
      </c>
      <c r="AH38">
        <f>'Long-form'!CD39</f>
        <v>0</v>
      </c>
      <c r="AI38" t="e">
        <f>'Long-form'!#REF!</f>
        <v>#REF!</v>
      </c>
    </row>
    <row r="39" spans="1:35">
      <c r="A39" t="str">
        <f>'Long-form'!A40</f>
        <v>KWG-407</v>
      </c>
      <c r="B39" t="str">
        <f>'Long-form'!B40</f>
        <v>Howat 1985</v>
      </c>
      <c r="C39" t="str">
        <f>'Long-form'!C40</f>
        <v>9a</v>
      </c>
      <c r="D39" t="str">
        <f>'Long-form'!D40</f>
        <v>Hong Kong</v>
      </c>
      <c r="E39" s="55">
        <f>'Long-form'!E40</f>
        <v>22.286016</v>
      </c>
      <c r="F39" s="55">
        <f>'Long-form'!F40</f>
        <v>114.151139</v>
      </c>
      <c r="G39" t="str">
        <f>'Long-form'!G40</f>
        <v>1 = Radiocarbon</v>
      </c>
      <c r="H39" s="56">
        <f>'Long-form'!H40</f>
        <v>8533.9526305170111</v>
      </c>
      <c r="I39" s="56">
        <f>'Long-form'!I40</f>
        <v>270.3057425728133</v>
      </c>
      <c r="J39" s="56">
        <f>'Long-form'!J40</f>
        <v>9550</v>
      </c>
      <c r="K39" s="56">
        <f>'Long-form'!K40</f>
        <v>690</v>
      </c>
      <c r="L39" s="56">
        <f>'Long-form'!L40</f>
        <v>770</v>
      </c>
      <c r="M39" s="56" t="str">
        <f>'Long-form'!Q40</f>
        <v>transgressive</v>
      </c>
      <c r="N39" s="55">
        <f>'Long-form'!R40</f>
        <v>18.5</v>
      </c>
      <c r="O39" s="55">
        <f>'Long-form'!S40</f>
        <v>0</v>
      </c>
      <c r="P39" s="55">
        <f>'Long-form'!T40</f>
        <v>0</v>
      </c>
      <c r="Q39" s="55">
        <f>'Long-form'!AM40</f>
        <v>-17.38</v>
      </c>
      <c r="R39" s="55" t="str">
        <f>'Long-form'!AN40</f>
        <v>YSD</v>
      </c>
      <c r="S39" s="55">
        <f>'Long-form'!AP40</f>
        <v>0.64961527075646863</v>
      </c>
      <c r="T39" s="55">
        <f>'Long-form'!AQ40</f>
        <v>0.64961527075646863</v>
      </c>
      <c r="U39" t="str">
        <f>'Long-form'!BC40</f>
        <v xml:space="preserve">1 </v>
      </c>
      <c r="V39" t="str">
        <f>'Long-form'!BD40</f>
        <v>5 = Sedimentary (e.g., deltaic, estuarine, wetland, lacustrine, marine facies)</v>
      </c>
      <c r="W39" t="str">
        <f>'Long-form'!BE40</f>
        <v>Colluvium</v>
      </c>
      <c r="X39" t="str">
        <f>'Long-form'!BF40</f>
        <v>Sediment texture, grain size, diatom and foraminifera assemblage</v>
      </c>
      <c r="Y39" t="str">
        <f>'Long-form'!BH40</f>
        <v>&gt;MTL</v>
      </c>
      <c r="Z39" s="55">
        <f>'Long-form'!BT40</f>
        <v>-17.422180581999999</v>
      </c>
      <c r="AA39" s="55">
        <f>'Long-form'!BU40</f>
        <v>0.65153664517047705</v>
      </c>
      <c r="AB39" s="55">
        <f>'Long-form'!BV40</f>
        <v>0.65153664517047705</v>
      </c>
      <c r="AC39" s="55" t="str">
        <f>'Long-form'!BW40</f>
        <v>nd</v>
      </c>
      <c r="AD39" s="55" t="str">
        <f>'Long-form'!BX40</f>
        <v>nd</v>
      </c>
      <c r="AE39" s="55" t="str">
        <f>'Long-form'!BY40</f>
        <v>nd</v>
      </c>
      <c r="AF39" t="str">
        <f>'Long-form'!BZ40</f>
        <v>nd</v>
      </c>
      <c r="AG39">
        <f>'Long-form'!CB40</f>
        <v>1</v>
      </c>
      <c r="AH39">
        <f>'Long-form'!CD40</f>
        <v>0</v>
      </c>
      <c r="AI39" t="e">
        <f>'Long-form'!#REF!</f>
        <v>#REF!</v>
      </c>
    </row>
    <row r="40" spans="1:35">
      <c r="A40" t="str">
        <f>'Long-form'!A41</f>
        <v>I-8269</v>
      </c>
      <c r="B40" t="str">
        <f>'Long-form'!B41</f>
        <v>Meacham 1975</v>
      </c>
      <c r="C40" t="str">
        <f>'Long-form'!C41</f>
        <v>9a</v>
      </c>
      <c r="D40" t="str">
        <f>'Long-form'!D41</f>
        <v>Hong Kong</v>
      </c>
      <c r="E40" s="55">
        <f>'Long-form'!E41</f>
        <v>22.337</v>
      </c>
      <c r="F40" s="55">
        <f>'Long-form'!F41</f>
        <v>114.14700000000001</v>
      </c>
      <c r="G40" t="str">
        <f>'Long-form'!G41</f>
        <v>1 = Radiocarbon</v>
      </c>
      <c r="H40" s="56">
        <f>'Long-form'!H41</f>
        <v>8718.9526305170129</v>
      </c>
      <c r="I40" s="56">
        <f>'Long-form'!I41</f>
        <v>128.30158609089756</v>
      </c>
      <c r="J40" s="56">
        <f>'Long-form'!J41</f>
        <v>9766</v>
      </c>
      <c r="K40" s="56">
        <f>'Long-form'!K41</f>
        <v>401</v>
      </c>
      <c r="L40" s="56">
        <f>'Long-form'!L41</f>
        <v>238</v>
      </c>
      <c r="M40" s="56" t="str">
        <f>'Long-form'!Q41</f>
        <v>transgressive</v>
      </c>
      <c r="N40" s="55">
        <f>'Long-form'!R41</f>
        <v>15.1</v>
      </c>
      <c r="O40" s="55">
        <f>'Long-form'!S41</f>
        <v>1.1000000000000001</v>
      </c>
      <c r="P40" s="55">
        <f>'Long-form'!T41</f>
        <v>1</v>
      </c>
      <c r="Q40" s="55">
        <f>'Long-form'!AM41</f>
        <v>-14.98</v>
      </c>
      <c r="R40" s="55" t="str">
        <f>'Long-form'!AN41</f>
        <v>YSD</v>
      </c>
      <c r="S40" s="55">
        <f>'Long-form'!AP41</f>
        <v>0.61343622325389291</v>
      </c>
      <c r="T40" s="55">
        <f>'Long-form'!AQ41</f>
        <v>0.61343622325389291</v>
      </c>
      <c r="U40" t="str">
        <f>'Long-form'!BC41</f>
        <v xml:space="preserve">1 </v>
      </c>
      <c r="V40" t="str">
        <f>'Long-form'!BD41</f>
        <v>5 = Sedimentary (e.g., deltaic, estuarine, wetland, lacustrine, marine facies)</v>
      </c>
      <c r="W40" t="str">
        <f>'Long-form'!BE41</f>
        <v>Fluvial deposit</v>
      </c>
      <c r="X40" t="str">
        <f>'Long-form'!BF41</f>
        <v>sediment color, texture and grain size</v>
      </c>
      <c r="Y40" t="str">
        <f>'Long-form'!BH41</f>
        <v>&gt;MTL</v>
      </c>
      <c r="Z40" s="55">
        <f>'Long-form'!BT41</f>
        <v>-14.968176859</v>
      </c>
      <c r="AA40" s="55">
        <f>'Long-form'!BU41</f>
        <v>0.61547055169195541</v>
      </c>
      <c r="AB40" s="55">
        <f>'Long-form'!BV41</f>
        <v>0.61547055169195541</v>
      </c>
      <c r="AC40" s="55" t="str">
        <f>'Long-form'!BW41</f>
        <v>nd</v>
      </c>
      <c r="AD40" s="55" t="str">
        <f>'Long-form'!BX41</f>
        <v>nd</v>
      </c>
      <c r="AE40" s="55" t="str">
        <f>'Long-form'!BY41</f>
        <v>nd</v>
      </c>
      <c r="AF40" t="str">
        <f>'Long-form'!BZ41</f>
        <v>nd</v>
      </c>
      <c r="AG40">
        <f>'Long-form'!CB41</f>
        <v>0</v>
      </c>
      <c r="AH40">
        <f>'Long-form'!CD41</f>
        <v>0</v>
      </c>
      <c r="AI40" t="e">
        <f>'Long-form'!#REF!</f>
        <v>#REF!</v>
      </c>
    </row>
    <row r="41" spans="1:35">
      <c r="A41" t="str">
        <f>'Long-form'!A42</f>
        <v>GIF-5243</v>
      </c>
      <c r="B41" t="str">
        <f>'Long-form'!B42</f>
        <v>Meacham1982</v>
      </c>
      <c r="C41" t="str">
        <f>'Long-form'!C42</f>
        <v>9a</v>
      </c>
      <c r="D41" t="str">
        <f>'Long-form'!D42</f>
        <v>Hong Kong</v>
      </c>
      <c r="E41" s="55">
        <f>'Long-form'!E42</f>
        <v>22.337</v>
      </c>
      <c r="F41" s="55">
        <f>'Long-form'!F42</f>
        <v>114.14700000000001</v>
      </c>
      <c r="G41" t="str">
        <f>'Long-form'!G42</f>
        <v>1 = Radiocarbon</v>
      </c>
      <c r="H41" s="56">
        <f>'Long-form'!H42</f>
        <v>8360.6818647162509</v>
      </c>
      <c r="I41" s="56">
        <f>'Long-form'!I42</f>
        <v>463.80549334107138</v>
      </c>
      <c r="J41" s="56">
        <f>'Long-form'!J42</f>
        <v>8781</v>
      </c>
      <c r="K41" s="56">
        <f>'Long-form'!K42</f>
        <v>1142</v>
      </c>
      <c r="L41" s="56">
        <f>'Long-form'!L42</f>
        <v>1080</v>
      </c>
      <c r="M41" s="56" t="str">
        <f>'Long-form'!Q42</f>
        <v>transgressive</v>
      </c>
      <c r="N41" s="55" t="str">
        <f>'Long-form'!R42</f>
        <v>nd</v>
      </c>
      <c r="O41" s="55" t="str">
        <f>'Long-form'!S42</f>
        <v>nd</v>
      </c>
      <c r="P41" s="55">
        <f>'Long-form'!T42</f>
        <v>1</v>
      </c>
      <c r="Q41" s="55">
        <f>'Long-form'!AM42</f>
        <v>-17.88</v>
      </c>
      <c r="R41" s="55" t="str">
        <f>'Long-form'!AN42</f>
        <v>YSD</v>
      </c>
      <c r="S41" s="55">
        <f>'Long-form'!AP42</f>
        <v>0.57017541160593732</v>
      </c>
      <c r="T41" s="55">
        <f>'Long-form'!AQ42</f>
        <v>0.57017541160593732</v>
      </c>
      <c r="U41" t="str">
        <f>'Long-form'!BC42</f>
        <v>-1</v>
      </c>
      <c r="V41" t="str">
        <f>'Long-form'!BD42</f>
        <v>5 = Sedimentary (e.g., deltaic, estuarine, wetland, lacustrine, marine facies)</v>
      </c>
      <c r="W41" t="str">
        <f>'Long-form'!BE42</f>
        <v>Marine deposit</v>
      </c>
      <c r="X41" t="str">
        <f>'Long-form'!BF42</f>
        <v>sediment color, texture and grain size</v>
      </c>
      <c r="Y41" t="str">
        <f>'Long-form'!BH42</f>
        <v>&lt;MTL</v>
      </c>
      <c r="Z41" s="55">
        <f>'Long-form'!BT42</f>
        <v>-17.868176858999998</v>
      </c>
      <c r="AA41" s="55">
        <f>'Long-form'!BU42</f>
        <v>0.5723635208501674</v>
      </c>
      <c r="AB41" s="55">
        <f>'Long-form'!BV42</f>
        <v>0.5723635208501674</v>
      </c>
      <c r="AC41" s="55" t="str">
        <f>'Long-form'!BW42</f>
        <v>nd</v>
      </c>
      <c r="AD41" s="55" t="str">
        <f>'Long-form'!BX42</f>
        <v>nd</v>
      </c>
      <c r="AE41" s="55" t="str">
        <f>'Long-form'!BY42</f>
        <v>nd</v>
      </c>
      <c r="AF41" t="str">
        <f>'Long-form'!BZ42</f>
        <v>nd</v>
      </c>
      <c r="AG41">
        <f>'Long-form'!CB42</f>
        <v>0</v>
      </c>
      <c r="AH41">
        <f>'Long-form'!CD42</f>
        <v>0</v>
      </c>
      <c r="AI41" t="e">
        <f>'Long-form'!#REF!</f>
        <v>#REF!</v>
      </c>
    </row>
    <row r="42" spans="1:35">
      <c r="A42" t="str">
        <f>'Long-form'!A43</f>
        <v>I-10059</v>
      </c>
      <c r="B42" t="str">
        <f>'Long-form'!B43</f>
        <v>Meacham 1978</v>
      </c>
      <c r="C42" t="str">
        <f>'Long-form'!C43</f>
        <v>9a</v>
      </c>
      <c r="D42" t="str">
        <f>'Long-form'!D43</f>
        <v>Hong Kong</v>
      </c>
      <c r="E42" s="55">
        <f>'Long-form'!E43</f>
        <v>22.192157999999999</v>
      </c>
      <c r="F42" s="55">
        <f>'Long-form'!F43</f>
        <v>114.13806200000001</v>
      </c>
      <c r="G42" t="str">
        <f>'Long-form'!G43</f>
        <v>1 = Radiocarbon</v>
      </c>
      <c r="H42" s="56">
        <f>'Long-form'!H43</f>
        <v>5910.681864716249</v>
      </c>
      <c r="I42" s="56">
        <f>'Long-form'!I43</f>
        <v>452.45500953503989</v>
      </c>
      <c r="J42" s="56">
        <f>'Long-form'!J43</f>
        <v>6140</v>
      </c>
      <c r="K42" s="56">
        <f>'Long-form'!K43</f>
        <v>1029</v>
      </c>
      <c r="L42" s="56">
        <f>'Long-form'!L43</f>
        <v>1026</v>
      </c>
      <c r="M42" s="56" t="str">
        <f>'Long-form'!Q43</f>
        <v>transgressive</v>
      </c>
      <c r="N42" s="55">
        <f>'Long-form'!R43</f>
        <v>4</v>
      </c>
      <c r="O42" s="55" t="str">
        <f>'Long-form'!S43</f>
        <v>nd</v>
      </c>
      <c r="P42" s="55">
        <f>'Long-form'!T43</f>
        <v>1</v>
      </c>
      <c r="Q42" s="55">
        <f>'Long-form'!AM43</f>
        <v>-2.2799999999999998</v>
      </c>
      <c r="R42" s="55" t="str">
        <f>'Long-form'!AN43</f>
        <v>YSD</v>
      </c>
      <c r="S42" s="55">
        <f>'Long-form'!AP43</f>
        <v>0.96509066931558296</v>
      </c>
      <c r="T42" s="55">
        <f>'Long-form'!AQ43</f>
        <v>0.96509066931558296</v>
      </c>
      <c r="U42" t="str">
        <f>'Long-form'!BC43</f>
        <v>0</v>
      </c>
      <c r="V42" t="str">
        <f>'Long-form'!BD43</f>
        <v>5 = Sedimentary (e.g., deltaic, estuarine, wetland, lacustrine, marine facies)</v>
      </c>
      <c r="W42" t="str">
        <f>'Long-form'!BE43</f>
        <v>Tidal flat deposit</v>
      </c>
      <c r="X42" t="str">
        <f>'Long-form'!BF43</f>
        <v>sediment texture, mollusc fossil</v>
      </c>
      <c r="Y42" t="str">
        <f>'Long-form'!BH43</f>
        <v>HAT-LAT</v>
      </c>
      <c r="Z42" s="55">
        <f>'Long-form'!BT43</f>
        <v>-2.3029283219999996</v>
      </c>
      <c r="AA42" s="55">
        <f>'Long-form'!BU43</f>
        <v>1.5877699170341268</v>
      </c>
      <c r="AB42" s="55">
        <f>'Long-form'!BV43</f>
        <v>1.5877699170341268</v>
      </c>
      <c r="AC42" s="55" t="str">
        <f>'Long-form'!BW43</f>
        <v>nd</v>
      </c>
      <c r="AD42" s="55" t="str">
        <f>'Long-form'!BX43</f>
        <v>nd</v>
      </c>
      <c r="AE42" s="55" t="str">
        <f>'Long-form'!BY43</f>
        <v>nd</v>
      </c>
      <c r="AF42" t="str">
        <f>'Long-form'!BZ43</f>
        <v>nd</v>
      </c>
      <c r="AG42">
        <f>'Long-form'!CB43</f>
        <v>0</v>
      </c>
      <c r="AH42">
        <f>'Long-form'!CD43</f>
        <v>0</v>
      </c>
      <c r="AI42" t="e">
        <f>'Long-form'!#REF!</f>
        <v>#REF!</v>
      </c>
    </row>
    <row r="43" spans="1:35">
      <c r="A43" t="str">
        <f>'Long-form'!A44</f>
        <v>HAR-3586</v>
      </c>
      <c r="B43" t="str">
        <f>'Long-form'!B44</f>
        <v>Meacham 1980</v>
      </c>
      <c r="C43" t="str">
        <f>'Long-form'!C44</f>
        <v>9a</v>
      </c>
      <c r="D43" t="str">
        <f>'Long-form'!D44</f>
        <v>Hong Kong</v>
      </c>
      <c r="E43" s="55">
        <f>'Long-form'!E44</f>
        <v>22.192157999999999</v>
      </c>
      <c r="F43" s="55">
        <f>'Long-form'!F44</f>
        <v>114.13806200000001</v>
      </c>
      <c r="G43" t="str">
        <f>'Long-form'!G44</f>
        <v>1 = Radiocarbon</v>
      </c>
      <c r="H43" s="56">
        <f>'Long-form'!H44</f>
        <v>3750.6818647162481</v>
      </c>
      <c r="I43" s="56">
        <f>'Long-form'!I44</f>
        <v>446.11157309954677</v>
      </c>
      <c r="J43" s="56">
        <f>'Long-form'!J44</f>
        <v>3553</v>
      </c>
      <c r="K43" s="56">
        <f>'Long-form'!K44</f>
        <v>1160</v>
      </c>
      <c r="L43" s="56">
        <f>'Long-form'!L44</f>
        <v>1129</v>
      </c>
      <c r="M43" s="56">
        <f>'Long-form'!Q44</f>
        <v>0</v>
      </c>
      <c r="N43" s="55">
        <f>'Long-form'!R44</f>
        <v>1.4</v>
      </c>
      <c r="O43" s="55" t="str">
        <f>'Long-form'!S44</f>
        <v>nd</v>
      </c>
      <c r="P43" s="55">
        <f>'Long-form'!T44</f>
        <v>1</v>
      </c>
      <c r="Q43" s="55">
        <f>'Long-form'!AM44</f>
        <v>0.22</v>
      </c>
      <c r="R43" s="55" t="str">
        <f>'Long-form'!AN44</f>
        <v>YSD</v>
      </c>
      <c r="S43" s="55">
        <f>'Long-form'!AP44</f>
        <v>0.66767057745567915</v>
      </c>
      <c r="T43" s="55">
        <f>'Long-form'!AQ44</f>
        <v>0.66767057745567915</v>
      </c>
      <c r="U43" t="str">
        <f>'Long-form'!BC44</f>
        <v>0</v>
      </c>
      <c r="V43" t="str">
        <f>'Long-form'!BD44</f>
        <v>5 = Sedimentary (e.g., deltaic, estuarine, wetland, lacustrine, marine facies)</v>
      </c>
      <c r="W43" t="str">
        <f>'Long-form'!BE44</f>
        <v>Mangrove deposit</v>
      </c>
      <c r="X43" t="str">
        <f>'Long-form'!BF44</f>
        <v>sediment texture, leave fragments, mollusc fossil</v>
      </c>
      <c r="Y43" t="str">
        <f>'Long-form'!BH44</f>
        <v>HAT-MTL</v>
      </c>
      <c r="Z43" s="55">
        <f>'Long-form'!BT44</f>
        <v>-0.40189248300000002</v>
      </c>
      <c r="AA43" s="55">
        <f>'Long-form'!BU44</f>
        <v>0.92651490978255846</v>
      </c>
      <c r="AB43" s="55">
        <f>'Long-form'!BV44</f>
        <v>0.92651490978255846</v>
      </c>
      <c r="AC43" s="55" t="str">
        <f>'Long-form'!BW44</f>
        <v>nd</v>
      </c>
      <c r="AD43" s="55" t="str">
        <f>'Long-form'!BX44</f>
        <v>nd</v>
      </c>
      <c r="AE43" s="55" t="str">
        <f>'Long-form'!BY44</f>
        <v>nd</v>
      </c>
      <c r="AF43" t="str">
        <f>'Long-form'!BZ44</f>
        <v>nd</v>
      </c>
      <c r="AG43">
        <f>'Long-form'!CB44</f>
        <v>0</v>
      </c>
      <c r="AH43">
        <f>'Long-form'!CD44</f>
        <v>0</v>
      </c>
      <c r="AI43" t="e">
        <f>'Long-form'!#REF!</f>
        <v>#REF!</v>
      </c>
    </row>
    <row r="44" spans="1:35">
      <c r="A44" t="str">
        <f>'Long-form'!A45</f>
        <v>Si86-123</v>
      </c>
      <c r="B44" t="str">
        <f>'Long-form'!B45</f>
        <v>Langford 1989</v>
      </c>
      <c r="C44" t="str">
        <f>'Long-form'!C45</f>
        <v>9a</v>
      </c>
      <c r="D44" t="str">
        <f>'Long-form'!D45</f>
        <v>Hong Kong</v>
      </c>
      <c r="E44" s="55">
        <f>'Long-form'!E45</f>
        <v>22.502926390999999</v>
      </c>
      <c r="F44" s="55">
        <f>'Long-form'!F45</f>
        <v>114.082719426</v>
      </c>
      <c r="G44" t="str">
        <f>'Long-form'!G45</f>
        <v>1 = Radiocarbon</v>
      </c>
      <c r="H44" s="56">
        <f>'Long-form'!H45</f>
        <v>5440.3589885814717</v>
      </c>
      <c r="I44" s="56">
        <f>'Long-form'!I45</f>
        <v>157.38791652741324</v>
      </c>
      <c r="J44" s="56">
        <f>'Long-form'!J45</f>
        <v>6215</v>
      </c>
      <c r="K44" s="56">
        <f>'Long-form'!K45</f>
        <v>405</v>
      </c>
      <c r="L44" s="56">
        <f>'Long-form'!L45</f>
        <v>315</v>
      </c>
      <c r="M44" s="56" t="str">
        <f>'Long-form'!Q45</f>
        <v>nd</v>
      </c>
      <c r="N44" s="55" t="str">
        <f>'Long-form'!R45</f>
        <v>nd</v>
      </c>
      <c r="O44" s="55" t="str">
        <f>'Long-form'!S45</f>
        <v>nd</v>
      </c>
      <c r="P44" s="55">
        <f>'Long-form'!T45</f>
        <v>1</v>
      </c>
      <c r="Q44" s="55">
        <f>'Long-form'!AM45</f>
        <v>-0.48</v>
      </c>
      <c r="R44" s="55" t="str">
        <f>'Long-form'!AN45</f>
        <v>YSD</v>
      </c>
      <c r="S44" s="55">
        <f>'Long-form'!AP45</f>
        <v>0.27568097504180444</v>
      </c>
      <c r="T44" s="55">
        <f>'Long-form'!AQ45</f>
        <v>0.27568097504180444</v>
      </c>
      <c r="U44" t="str">
        <f>'Long-form'!BC45</f>
        <v xml:space="preserve">-1 </v>
      </c>
      <c r="V44" t="str">
        <f>'Long-form'!BD45</f>
        <v>5 = Sedimentary (e.g., deltaic, estuarine, wetland, lacustrine, marine facies)</v>
      </c>
      <c r="W44" t="str">
        <f>'Long-form'!BE45</f>
        <v>Tidal flat deposit</v>
      </c>
      <c r="X44" t="str">
        <f>'Long-form'!BF45</f>
        <v>sediment color, texture</v>
      </c>
      <c r="Y44" t="str">
        <f>'Long-form'!BH45</f>
        <v>&lt;HAT</v>
      </c>
      <c r="Z44" s="55">
        <f>'Long-form'!BT45</f>
        <v>-2.020789277</v>
      </c>
      <c r="AA44" s="55">
        <f>'Long-form'!BU45</f>
        <v>0.32924155266308658</v>
      </c>
      <c r="AB44" s="55">
        <f>'Long-form'!BV45</f>
        <v>0.32924155266308658</v>
      </c>
      <c r="AC44" s="55" t="str">
        <f>'Long-form'!BW45</f>
        <v>nd</v>
      </c>
      <c r="AD44" s="55" t="str">
        <f>'Long-form'!BX45</f>
        <v>nd</v>
      </c>
      <c r="AE44" s="55" t="str">
        <f>'Long-form'!BY45</f>
        <v>nd</v>
      </c>
      <c r="AF44" t="str">
        <f>'Long-form'!BZ45</f>
        <v>nd</v>
      </c>
      <c r="AG44">
        <f>'Long-form'!CB45</f>
        <v>0</v>
      </c>
      <c r="AH44">
        <f>'Long-form'!CD45</f>
        <v>0</v>
      </c>
      <c r="AI44" t="e">
        <f>'Long-form'!#REF!</f>
        <v>#REF!</v>
      </c>
    </row>
    <row r="45" spans="1:35">
      <c r="A45" t="str">
        <f>'Long-form'!A46</f>
        <v>SI86-124</v>
      </c>
      <c r="B45" t="str">
        <f>'Long-form'!B46</f>
        <v>Langford 1989</v>
      </c>
      <c r="C45" t="str">
        <f>'Long-form'!C46</f>
        <v>9a</v>
      </c>
      <c r="D45" t="str">
        <f>'Long-form'!D46</f>
        <v>Hong Kong</v>
      </c>
      <c r="E45" s="55">
        <f>'Long-form'!E46</f>
        <v>22.502926390999999</v>
      </c>
      <c r="F45" s="55">
        <f>'Long-form'!F46</f>
        <v>114.082719426</v>
      </c>
      <c r="G45" t="str">
        <f>'Long-form'!G46</f>
        <v>1 = Radiocarbon</v>
      </c>
      <c r="H45" s="56">
        <f>'Long-form'!H46</f>
        <v>5058.3589885814681</v>
      </c>
      <c r="I45" s="56">
        <f>'Long-form'!I46</f>
        <v>132.83808290110181</v>
      </c>
      <c r="J45" s="56">
        <f>'Long-form'!J46</f>
        <v>5803</v>
      </c>
      <c r="K45" s="56">
        <f>'Long-form'!K46</f>
        <v>377</v>
      </c>
      <c r="L45" s="56">
        <f>'Long-form'!L46</f>
        <v>317</v>
      </c>
      <c r="M45" s="56" t="str">
        <f>'Long-form'!Q46</f>
        <v>nd</v>
      </c>
      <c r="N45" s="55" t="str">
        <f>'Long-form'!R46</f>
        <v>nd</v>
      </c>
      <c r="O45" s="55" t="str">
        <f>'Long-form'!S46</f>
        <v>nd</v>
      </c>
      <c r="P45" s="55">
        <f>'Long-form'!T46</f>
        <v>1</v>
      </c>
      <c r="Q45" s="55">
        <f>'Long-form'!AM46</f>
        <v>-0.57999999999999996</v>
      </c>
      <c r="R45" s="55" t="str">
        <f>'Long-form'!AN46</f>
        <v>YSD</v>
      </c>
      <c r="S45" s="55">
        <f>'Long-form'!AP46</f>
        <v>0.27568097504180444</v>
      </c>
      <c r="T45" s="55">
        <f>'Long-form'!AQ46</f>
        <v>0.27568097504180444</v>
      </c>
      <c r="U45" t="str">
        <f>'Long-form'!BC46</f>
        <v xml:space="preserve">-1 </v>
      </c>
      <c r="V45" t="str">
        <f>'Long-form'!BD46</f>
        <v>5 = Sedimentary (e.g., deltaic, estuarine, wetland, lacustrine, marine facies)</v>
      </c>
      <c r="W45" t="str">
        <f>'Long-form'!BE46</f>
        <v>Tidal flat deposit</v>
      </c>
      <c r="X45" t="str">
        <f>'Long-form'!BF46</f>
        <v>sediment color, texture</v>
      </c>
      <c r="Y45" t="str">
        <f>'Long-form'!BH46</f>
        <v>&lt;HAT</v>
      </c>
      <c r="Z45" s="55">
        <f>'Long-form'!BT46</f>
        <v>-2.1207892770000001</v>
      </c>
      <c r="AA45" s="55">
        <f>'Long-form'!BU46</f>
        <v>0.32924155266308658</v>
      </c>
      <c r="AB45" s="55">
        <f>'Long-form'!BV46</f>
        <v>0.32924155266308658</v>
      </c>
      <c r="AC45" s="55" t="str">
        <f>'Long-form'!BW46</f>
        <v>nd</v>
      </c>
      <c r="AD45" s="55" t="str">
        <f>'Long-form'!BX46</f>
        <v>nd</v>
      </c>
      <c r="AE45" s="55" t="str">
        <f>'Long-form'!BY46</f>
        <v>nd</v>
      </c>
      <c r="AF45" t="str">
        <f>'Long-form'!BZ46</f>
        <v>nd</v>
      </c>
      <c r="AG45">
        <f>'Long-form'!CB46</f>
        <v>0</v>
      </c>
      <c r="AH45">
        <f>'Long-form'!CD46</f>
        <v>0</v>
      </c>
      <c r="AI45" t="e">
        <f>'Long-form'!#REF!</f>
        <v>#REF!</v>
      </c>
    </row>
    <row r="46" spans="1:35">
      <c r="A46" t="str">
        <f>'Long-form'!A47</f>
        <v>SI86-121</v>
      </c>
      <c r="B46" t="str">
        <f>'Long-form'!B47</f>
        <v>Langford 1989</v>
      </c>
      <c r="C46" t="str">
        <f>'Long-form'!C47</f>
        <v>9a</v>
      </c>
      <c r="D46" t="str">
        <f>'Long-form'!D47</f>
        <v>Hong Kong</v>
      </c>
      <c r="E46" s="55">
        <f>'Long-form'!E47</f>
        <v>22.516645440000001</v>
      </c>
      <c r="F46" s="55">
        <f>'Long-form'!F47</f>
        <v>114.07124092399999</v>
      </c>
      <c r="G46" t="str">
        <f>'Long-form'!G47</f>
        <v>1 = Radiocarbon</v>
      </c>
      <c r="H46" s="56">
        <f>'Long-form'!H47</f>
        <v>536.46950426133105</v>
      </c>
      <c r="I46" s="56">
        <f>'Long-form'!I47</f>
        <v>116.08531364974641</v>
      </c>
      <c r="J46" s="56">
        <f>'Long-form'!J47</f>
        <v>548</v>
      </c>
      <c r="K46" s="56">
        <f>'Long-form'!K47</f>
        <v>133</v>
      </c>
      <c r="L46" s="56">
        <f>'Long-form'!L47</f>
        <v>234</v>
      </c>
      <c r="M46" s="56" t="str">
        <f>'Long-form'!Q47</f>
        <v>nd</v>
      </c>
      <c r="N46" s="55" t="str">
        <f>'Long-form'!R47</f>
        <v>nd</v>
      </c>
      <c r="O46" s="55" t="str">
        <f>'Long-form'!S47</f>
        <v>nd</v>
      </c>
      <c r="P46" s="55">
        <f>'Long-form'!T47</f>
        <v>1</v>
      </c>
      <c r="Q46" s="55">
        <f>'Long-form'!AM47</f>
        <v>0.12</v>
      </c>
      <c r="R46" s="55" t="str">
        <f>'Long-form'!AN47</f>
        <v>YSD</v>
      </c>
      <c r="S46" s="55">
        <f>'Long-form'!AP47</f>
        <v>0.27568097504180444</v>
      </c>
      <c r="T46" s="55">
        <f>'Long-form'!AQ47</f>
        <v>0.27568097504180444</v>
      </c>
      <c r="U46" t="str">
        <f>'Long-form'!BC47</f>
        <v xml:space="preserve">-1 </v>
      </c>
      <c r="V46" t="str">
        <f>'Long-form'!BD47</f>
        <v>5 = Sedimentary (e.g., deltaic, estuarine, wetland, lacustrine, marine facies)</v>
      </c>
      <c r="W46" t="str">
        <f>'Long-form'!BE47</f>
        <v>Tidal flat deposit</v>
      </c>
      <c r="X46" t="str">
        <f>'Long-form'!BF47</f>
        <v>sediment color, texture</v>
      </c>
      <c r="Y46" t="str">
        <f>'Long-form'!BH47</f>
        <v>&lt;HAT</v>
      </c>
      <c r="Z46" s="55">
        <f>'Long-form'!BT47</f>
        <v>-1.4481521559999999</v>
      </c>
      <c r="AA46" s="55">
        <f>'Long-form'!BU47</f>
        <v>0.32924155266308658</v>
      </c>
      <c r="AB46" s="55">
        <f>'Long-form'!BV47</f>
        <v>0.32924155266308658</v>
      </c>
      <c r="AC46" s="55" t="str">
        <f>'Long-form'!BW47</f>
        <v>nd</v>
      </c>
      <c r="AD46" s="55" t="str">
        <f>'Long-form'!BX47</f>
        <v>nd</v>
      </c>
      <c r="AE46" s="55" t="str">
        <f>'Long-form'!BY47</f>
        <v>nd</v>
      </c>
      <c r="AF46" t="str">
        <f>'Long-form'!BZ47</f>
        <v>nd</v>
      </c>
      <c r="AG46">
        <f>'Long-form'!CB47</f>
        <v>0</v>
      </c>
      <c r="AH46">
        <f>'Long-form'!CD47</f>
        <v>0</v>
      </c>
      <c r="AI46" t="e">
        <f>'Long-form'!#REF!</f>
        <v>#REF!</v>
      </c>
    </row>
    <row r="47" spans="1:35">
      <c r="A47" t="str">
        <f>'Long-form'!A48</f>
        <v>KWG-211</v>
      </c>
      <c r="B47" t="str">
        <f>'Long-form'!B48</f>
        <v>Huang et al. 1983</v>
      </c>
      <c r="C47" t="str">
        <f>'Long-form'!C48</f>
        <v>9a</v>
      </c>
      <c r="D47" t="str">
        <f>'Long-form'!D48</f>
        <v>Hong Kong</v>
      </c>
      <c r="E47" s="55">
        <f>'Long-form'!E48</f>
        <v>22.530913000000002</v>
      </c>
      <c r="F47" s="55">
        <f>'Long-form'!F48</f>
        <v>114.067947</v>
      </c>
      <c r="G47" t="str">
        <f>'Long-form'!G48</f>
        <v>1 = Radiocarbon</v>
      </c>
      <c r="H47" s="56">
        <f>'Long-form'!H48</f>
        <v>5480.6818647162481</v>
      </c>
      <c r="I47" s="56">
        <f>'Long-form'!I48</f>
        <v>167.1019066438202</v>
      </c>
      <c r="J47" s="56">
        <f>'Long-form'!J48</f>
        <v>5682</v>
      </c>
      <c r="K47" s="56">
        <f>'Long-form'!K48</f>
        <v>435</v>
      </c>
      <c r="L47" s="56">
        <f>'Long-form'!L48</f>
        <v>409</v>
      </c>
      <c r="M47" s="56" t="str">
        <f>'Long-form'!Q48</f>
        <v>regressive</v>
      </c>
      <c r="N47" s="55">
        <f>'Long-form'!R48</f>
        <v>4</v>
      </c>
      <c r="O47" s="55">
        <f>'Long-form'!S48</f>
        <v>7.3000000000000007</v>
      </c>
      <c r="P47" s="55">
        <f>'Long-form'!T48</f>
        <v>1</v>
      </c>
      <c r="Q47" s="55">
        <f>'Long-form'!AM48</f>
        <v>-3</v>
      </c>
      <c r="R47" s="55" t="str">
        <f>'Long-form'!AN48</f>
        <v>YSD</v>
      </c>
      <c r="S47" s="55">
        <f>'Long-form'!AP48</f>
        <v>0.53990739946772348</v>
      </c>
      <c r="T47" s="55">
        <f>'Long-form'!AQ48</f>
        <v>0.53990739946772348</v>
      </c>
      <c r="U47" t="str">
        <f>'Long-form'!BC48</f>
        <v>-1</v>
      </c>
      <c r="V47" t="str">
        <f>'Long-form'!BD48</f>
        <v>5 = Sedimentary (e.g., deltaic, estuarine, wetland, lacustrine, marine facies)</v>
      </c>
      <c r="W47" t="str">
        <f>'Long-form'!BE48</f>
        <v>Marine deposit</v>
      </c>
      <c r="X47" t="str">
        <f>'Long-form'!BF48</f>
        <v>sediment texture, mollusc fossil</v>
      </c>
      <c r="Y47" t="str">
        <f>'Long-form'!BH48</f>
        <v>&lt;MTL</v>
      </c>
      <c r="Z47" s="55">
        <f>'Long-form'!BT48</f>
        <v>-2.997790094</v>
      </c>
      <c r="AA47" s="55">
        <f>'Long-form'!BU48</f>
        <v>0.54221766846903829</v>
      </c>
      <c r="AB47" s="55">
        <f>'Long-form'!BV48</f>
        <v>0.54221766846903829</v>
      </c>
      <c r="AC47" s="55" t="str">
        <f>'Long-form'!BW48</f>
        <v>nd</v>
      </c>
      <c r="AD47" s="55" t="str">
        <f>'Long-form'!BX48</f>
        <v>nd</v>
      </c>
      <c r="AE47" s="55" t="str">
        <f>'Long-form'!BY48</f>
        <v>nd</v>
      </c>
      <c r="AF47" t="str">
        <f>'Long-form'!BZ48</f>
        <v>nd</v>
      </c>
      <c r="AG47">
        <f>'Long-form'!CB48</f>
        <v>0</v>
      </c>
      <c r="AH47">
        <f>'Long-form'!CD48</f>
        <v>0</v>
      </c>
      <c r="AI47" t="e">
        <f>'Long-form'!#REF!</f>
        <v>#REF!</v>
      </c>
    </row>
    <row r="48" spans="1:35">
      <c r="A48" t="str">
        <f>'Long-form'!A49</f>
        <v>GF927</v>
      </c>
      <c r="B48" t="str">
        <f>'Long-form'!B49</f>
        <v>Langford 1989</v>
      </c>
      <c r="C48" t="str">
        <f>'Long-form'!C49</f>
        <v>9a</v>
      </c>
      <c r="D48" t="str">
        <f>'Long-form'!D49</f>
        <v>Hong Kong</v>
      </c>
      <c r="E48" s="55">
        <f>'Long-form'!E49</f>
        <v>22.484488600999999</v>
      </c>
      <c r="F48" s="55">
        <f>'Long-form'!F49</f>
        <v>114.058729855</v>
      </c>
      <c r="G48" t="str">
        <f>'Long-form'!G49</f>
        <v>1 = Radiocarbon</v>
      </c>
      <c r="H48" s="56">
        <f>'Long-form'!H49</f>
        <v>3236.4695042613307</v>
      </c>
      <c r="I48" s="56">
        <f>'Long-form'!I49</f>
        <v>145.71726399617734</v>
      </c>
      <c r="J48" s="56">
        <f>'Long-form'!J49</f>
        <v>3461</v>
      </c>
      <c r="K48" s="56">
        <f>'Long-form'!K49</f>
        <v>373</v>
      </c>
      <c r="L48" s="56">
        <f>'Long-form'!L49</f>
        <v>385</v>
      </c>
      <c r="M48" s="56" t="str">
        <f>'Long-form'!Q49</f>
        <v>nd</v>
      </c>
      <c r="N48" s="55" t="str">
        <f>'Long-form'!R49</f>
        <v>nd</v>
      </c>
      <c r="O48" s="55" t="str">
        <f>'Long-form'!S49</f>
        <v>nd</v>
      </c>
      <c r="P48" s="55">
        <f>'Long-form'!T49</f>
        <v>1</v>
      </c>
      <c r="Q48" s="55">
        <f>'Long-form'!AM49</f>
        <v>1.6100000000000003</v>
      </c>
      <c r="R48" s="55" t="str">
        <f>'Long-form'!AN49</f>
        <v>YSD</v>
      </c>
      <c r="S48" s="55">
        <f>'Long-form'!AP49</f>
        <v>0.27568097504180444</v>
      </c>
      <c r="T48" s="55">
        <f>'Long-form'!AQ49</f>
        <v>0.27568097504180444</v>
      </c>
      <c r="U48" t="str">
        <f>'Long-form'!BC49</f>
        <v xml:space="preserve">-1 </v>
      </c>
      <c r="V48" t="str">
        <f>'Long-form'!BD49</f>
        <v>5 = Sedimentary (e.g., deltaic, estuarine, wetland, lacustrine, marine facies)</v>
      </c>
      <c r="W48" t="str">
        <f>'Long-form'!BE49</f>
        <v>Tidal flat deposit</v>
      </c>
      <c r="X48" t="str">
        <f>'Long-form'!BF49</f>
        <v>sediment color, texture</v>
      </c>
      <c r="Y48" t="str">
        <f>'Long-form'!BH49</f>
        <v>&lt;HAT</v>
      </c>
      <c r="Z48" s="55">
        <f>'Long-form'!BT49</f>
        <v>1.2505709000000254E-2</v>
      </c>
      <c r="AA48" s="55">
        <f>'Long-form'!BU49</f>
        <v>0.32924155266308658</v>
      </c>
      <c r="AB48" s="55">
        <f>'Long-form'!BV49</f>
        <v>0.32924155266308658</v>
      </c>
      <c r="AC48" s="55" t="str">
        <f>'Long-form'!BW49</f>
        <v>nd</v>
      </c>
      <c r="AD48" s="55" t="str">
        <f>'Long-form'!BX49</f>
        <v>nd</v>
      </c>
      <c r="AE48" s="55" t="str">
        <f>'Long-form'!BY49</f>
        <v>nd</v>
      </c>
      <c r="AF48" t="str">
        <f>'Long-form'!BZ49</f>
        <v>nd</v>
      </c>
      <c r="AG48">
        <f>'Long-form'!CB49</f>
        <v>0</v>
      </c>
      <c r="AH48">
        <f>'Long-form'!CD49</f>
        <v>0</v>
      </c>
      <c r="AI48" t="e">
        <f>'Long-form'!#REF!</f>
        <v>#REF!</v>
      </c>
    </row>
    <row r="49" spans="1:35">
      <c r="A49" t="str">
        <f>'Long-form'!A50</f>
        <v>GF931</v>
      </c>
      <c r="B49" t="str">
        <f>'Long-form'!B50</f>
        <v>Langford 1989</v>
      </c>
      <c r="C49" t="str">
        <f>'Long-form'!C50</f>
        <v>9a</v>
      </c>
      <c r="D49" t="str">
        <f>'Long-form'!D50</f>
        <v>Hong Kong</v>
      </c>
      <c r="E49" s="55">
        <f>'Long-form'!E50</f>
        <v>22.476359918</v>
      </c>
      <c r="F49" s="55">
        <f>'Long-form'!F50</f>
        <v>114.05693913099999</v>
      </c>
      <c r="G49" t="str">
        <f>'Long-form'!G50</f>
        <v>1 = Radiocarbon</v>
      </c>
      <c r="H49" s="56">
        <f>'Long-form'!H50</f>
        <v>3176.4695042613316</v>
      </c>
      <c r="I49" s="56">
        <f>'Long-form'!I50</f>
        <v>149.02523620693148</v>
      </c>
      <c r="J49" s="56">
        <f>'Long-form'!J50</f>
        <v>3383</v>
      </c>
      <c r="K49" s="56">
        <f>'Long-form'!K50</f>
        <v>437</v>
      </c>
      <c r="L49" s="56">
        <f>'Long-form'!L50</f>
        <v>417</v>
      </c>
      <c r="M49" s="56" t="str">
        <f>'Long-form'!Q50</f>
        <v>nd</v>
      </c>
      <c r="N49" s="55" t="str">
        <f>'Long-form'!R50</f>
        <v>nd</v>
      </c>
      <c r="O49" s="55" t="str">
        <f>'Long-form'!S50</f>
        <v>nd</v>
      </c>
      <c r="P49" s="55">
        <f>'Long-form'!T50</f>
        <v>1</v>
      </c>
      <c r="Q49" s="55">
        <f>'Long-form'!AM50</f>
        <v>1.62</v>
      </c>
      <c r="R49" s="55" t="str">
        <f>'Long-form'!AN50</f>
        <v>YSD</v>
      </c>
      <c r="S49" s="55">
        <f>'Long-form'!AP50</f>
        <v>0.27568097504180444</v>
      </c>
      <c r="T49" s="55">
        <f>'Long-form'!AQ50</f>
        <v>0.27568097504180444</v>
      </c>
      <c r="U49" t="str">
        <f>'Long-form'!BC50</f>
        <v xml:space="preserve">-1 </v>
      </c>
      <c r="V49" t="str">
        <f>'Long-form'!BD50</f>
        <v>5 = Sedimentary (e.g., deltaic, estuarine, wetland, lacustrine, marine facies)</v>
      </c>
      <c r="W49" t="str">
        <f>'Long-form'!BE50</f>
        <v>Tidal flat deposit</v>
      </c>
      <c r="X49" t="str">
        <f>'Long-form'!BF50</f>
        <v>sediment color, texture</v>
      </c>
      <c r="Y49" t="str">
        <f>'Long-form'!BH50</f>
        <v>&lt;HAT</v>
      </c>
      <c r="Z49" s="55">
        <f>'Long-form'!BT50</f>
        <v>-2.6500926999999841E-2</v>
      </c>
      <c r="AA49" s="55">
        <f>'Long-form'!BU50</f>
        <v>0.32924155266308658</v>
      </c>
      <c r="AB49" s="55">
        <f>'Long-form'!BV50</f>
        <v>0.32924155266308658</v>
      </c>
      <c r="AC49" s="55" t="str">
        <f>'Long-form'!BW50</f>
        <v>nd</v>
      </c>
      <c r="AD49" s="55" t="str">
        <f>'Long-form'!BX50</f>
        <v>nd</v>
      </c>
      <c r="AE49" s="55" t="str">
        <f>'Long-form'!BY50</f>
        <v>nd</v>
      </c>
      <c r="AF49" t="str">
        <f>'Long-form'!BZ50</f>
        <v>nd</v>
      </c>
      <c r="AG49">
        <f>'Long-form'!CB50</f>
        <v>0</v>
      </c>
      <c r="AH49">
        <f>'Long-form'!CD50</f>
        <v>0</v>
      </c>
      <c r="AI49" t="e">
        <f>'Long-form'!#REF!</f>
        <v>#REF!</v>
      </c>
    </row>
    <row r="50" spans="1:35">
      <c r="A50" t="str">
        <f>'Long-form'!A51</f>
        <v>GF932</v>
      </c>
      <c r="B50" t="str">
        <f>'Long-form'!B51</f>
        <v>Langford 1989</v>
      </c>
      <c r="C50" t="str">
        <f>'Long-form'!C51</f>
        <v>9a</v>
      </c>
      <c r="D50" t="str">
        <f>'Long-form'!D51</f>
        <v>Hong Kong</v>
      </c>
      <c r="E50" s="55">
        <f>'Long-form'!E51</f>
        <v>22.473921528999998</v>
      </c>
      <c r="F50" s="55">
        <f>'Long-form'!F51</f>
        <v>114.056698313</v>
      </c>
      <c r="G50" t="str">
        <f>'Long-form'!G51</f>
        <v>1 = Radiocarbon</v>
      </c>
      <c r="H50" s="56">
        <f>'Long-form'!H51</f>
        <v>6635.3589885814699</v>
      </c>
      <c r="I50" s="56">
        <f>'Long-form'!I51</f>
        <v>130.20641872353443</v>
      </c>
      <c r="J50" s="56">
        <f>'Long-form'!J51</f>
        <v>7514</v>
      </c>
      <c r="K50" s="56">
        <f>'Long-form'!K51</f>
        <v>209</v>
      </c>
      <c r="L50" s="56">
        <f>'Long-form'!L51</f>
        <v>245</v>
      </c>
      <c r="M50" s="56" t="str">
        <f>'Long-form'!Q51</f>
        <v>nd</v>
      </c>
      <c r="N50" s="55" t="str">
        <f>'Long-form'!R51</f>
        <v>nd</v>
      </c>
      <c r="O50" s="55" t="str">
        <f>'Long-form'!S51</f>
        <v>nd</v>
      </c>
      <c r="P50" s="55">
        <f>'Long-form'!T51</f>
        <v>1</v>
      </c>
      <c r="Q50" s="55">
        <f>'Long-form'!AM51</f>
        <v>0.42000000000000004</v>
      </c>
      <c r="R50" s="55" t="str">
        <f>'Long-form'!AN51</f>
        <v>YSD</v>
      </c>
      <c r="S50" s="55">
        <f>'Long-form'!AP51</f>
        <v>0.27568097504180444</v>
      </c>
      <c r="T50" s="55">
        <f>'Long-form'!AQ51</f>
        <v>0.27568097504180444</v>
      </c>
      <c r="U50" t="str">
        <f>'Long-form'!BC51</f>
        <v xml:space="preserve">-1 </v>
      </c>
      <c r="V50" t="str">
        <f>'Long-form'!BD51</f>
        <v>5 = Sedimentary (e.g., deltaic, estuarine, wetland, lacustrine, marine facies)</v>
      </c>
      <c r="W50" t="str">
        <f>'Long-form'!BE51</f>
        <v>Tidal flat deposit</v>
      </c>
      <c r="X50" t="str">
        <f>'Long-form'!BF51</f>
        <v>sediment color, texture</v>
      </c>
      <c r="Y50" t="str">
        <f>'Long-form'!BH51</f>
        <v>&lt;HAT</v>
      </c>
      <c r="Z50" s="55">
        <f>'Long-form'!BT51</f>
        <v>-1.2263764460000002</v>
      </c>
      <c r="AA50" s="55">
        <f>'Long-form'!BU51</f>
        <v>0.32924155266308658</v>
      </c>
      <c r="AB50" s="55">
        <f>'Long-form'!BV51</f>
        <v>0.32924155266308658</v>
      </c>
      <c r="AC50" s="55" t="str">
        <f>'Long-form'!BW51</f>
        <v>nd</v>
      </c>
      <c r="AD50" s="55" t="str">
        <f>'Long-form'!BX51</f>
        <v>nd</v>
      </c>
      <c r="AE50" s="55" t="str">
        <f>'Long-form'!BY51</f>
        <v>nd</v>
      </c>
      <c r="AF50" t="str">
        <f>'Long-form'!BZ51</f>
        <v>nd</v>
      </c>
      <c r="AG50">
        <f>'Long-form'!CB51</f>
        <v>0</v>
      </c>
      <c r="AH50">
        <f>'Long-form'!CD51</f>
        <v>0</v>
      </c>
      <c r="AI50" t="e">
        <f>'Long-form'!#REF!</f>
        <v>#REF!</v>
      </c>
    </row>
    <row r="51" spans="1:35">
      <c r="A51" t="str">
        <f>'Long-form'!A52</f>
        <v>KWG-160</v>
      </c>
      <c r="B51" t="str">
        <f>'Long-form'!B52</f>
        <v>Huang et al. 1983</v>
      </c>
      <c r="C51" t="str">
        <f>'Long-form'!C52</f>
        <v>9a</v>
      </c>
      <c r="D51" t="str">
        <f>'Long-form'!D52</f>
        <v>Hong Kong</v>
      </c>
      <c r="E51" s="55">
        <f>'Long-form'!E52</f>
        <v>22.52</v>
      </c>
      <c r="F51" s="55">
        <f>'Long-form'!F52</f>
        <v>114.053333333</v>
      </c>
      <c r="G51" t="str">
        <f>'Long-form'!G52</f>
        <v>1 = Radiocarbon</v>
      </c>
      <c r="H51" s="56">
        <f>'Long-form'!H52</f>
        <v>5920.6818647162499</v>
      </c>
      <c r="I51" s="56">
        <f>'Long-form'!I52</f>
        <v>167.1019066438202</v>
      </c>
      <c r="J51" s="56">
        <f>'Long-form'!J52</f>
        <v>6149</v>
      </c>
      <c r="K51" s="56">
        <f>'Long-form'!K52</f>
        <v>419</v>
      </c>
      <c r="L51" s="56">
        <f>'Long-form'!L52</f>
        <v>425</v>
      </c>
      <c r="M51" s="56" t="str">
        <f>'Long-form'!Q52</f>
        <v>transgressive</v>
      </c>
      <c r="N51" s="55">
        <f>'Long-form'!R52</f>
        <v>6.9</v>
      </c>
      <c r="O51" s="55">
        <f>'Long-form'!S52</f>
        <v>0.2</v>
      </c>
      <c r="P51" s="55">
        <f>'Long-form'!T52</f>
        <v>1</v>
      </c>
      <c r="Q51" s="55">
        <f>'Long-form'!AM52</f>
        <v>-5.2</v>
      </c>
      <c r="R51" s="55" t="str">
        <f>'Long-form'!AN52</f>
        <v>YSD</v>
      </c>
      <c r="S51" s="55">
        <f>'Long-form'!AP52</f>
        <v>0.55149252034819118</v>
      </c>
      <c r="T51" s="55">
        <f>'Long-form'!AQ52</f>
        <v>0.55149252034819118</v>
      </c>
      <c r="U51" t="str">
        <f>'Long-form'!BC52</f>
        <v>-1</v>
      </c>
      <c r="V51" t="str">
        <f>'Long-form'!BD52</f>
        <v>5 = Sedimentary (e.g., deltaic, estuarine, wetland, lacustrine, marine facies)</v>
      </c>
      <c r="W51" t="str">
        <f>'Long-form'!BE52</f>
        <v>Subtidal deposit</v>
      </c>
      <c r="X51" t="str">
        <f>'Long-form'!BF52</f>
        <v>sediment texture, mollusc fossil</v>
      </c>
      <c r="Y51" t="str">
        <f>'Long-form'!BH52</f>
        <v>&lt;MTL</v>
      </c>
      <c r="Z51" s="55">
        <f>'Long-form'!BT52</f>
        <v>-5.1940319400000003</v>
      </c>
      <c r="AA51" s="55">
        <f>'Long-form'!BU52</f>
        <v>0.55375445822133129</v>
      </c>
      <c r="AB51" s="55">
        <f>'Long-form'!BV52</f>
        <v>0.55375445822133129</v>
      </c>
      <c r="AC51" s="55" t="str">
        <f>'Long-form'!BW52</f>
        <v>nd</v>
      </c>
      <c r="AD51" s="55" t="str">
        <f>'Long-form'!BX52</f>
        <v>nd</v>
      </c>
      <c r="AE51" s="55" t="str">
        <f>'Long-form'!BY52</f>
        <v>nd</v>
      </c>
      <c r="AF51" t="str">
        <f>'Long-form'!BZ52</f>
        <v>nd</v>
      </c>
      <c r="AG51">
        <f>'Long-form'!CB52</f>
        <v>0</v>
      </c>
      <c r="AH51">
        <f>'Long-form'!CD52</f>
        <v>0</v>
      </c>
      <c r="AI51" t="e">
        <f>'Long-form'!#REF!</f>
        <v>#REF!</v>
      </c>
    </row>
    <row r="52" spans="1:35">
      <c r="A52" t="str">
        <f>'Long-form'!A53</f>
        <v>Owen95A</v>
      </c>
      <c r="B52" t="str">
        <f>'Long-form'!B53</f>
        <v>Owen 1995</v>
      </c>
      <c r="C52" t="str">
        <f>'Long-form'!C53</f>
        <v>9a</v>
      </c>
      <c r="D52" t="str">
        <f>'Long-form'!D53</f>
        <v>Hong Kong</v>
      </c>
      <c r="E52" s="55">
        <f>'Long-form'!E53</f>
        <v>22.158555</v>
      </c>
      <c r="F52" s="55">
        <f>'Long-form'!F53</f>
        <v>114.05078399999999</v>
      </c>
      <c r="G52" t="str">
        <f>'Long-form'!G53</f>
        <v>1 = Radiocarbon</v>
      </c>
      <c r="H52" s="56">
        <f>'Long-form'!H53</f>
        <v>4340.681864716249</v>
      </c>
      <c r="I52" s="56">
        <f>'Long-form'!I53</f>
        <v>449.04402418176443</v>
      </c>
      <c r="J52" s="56">
        <f>'Long-form'!J53</f>
        <v>4290</v>
      </c>
      <c r="K52" s="56">
        <f>'Long-form'!K53</f>
        <v>1141</v>
      </c>
      <c r="L52" s="56">
        <f>'Long-form'!L53</f>
        <v>1114</v>
      </c>
      <c r="M52" s="56" t="str">
        <f>'Long-form'!Q53</f>
        <v>transgressive</v>
      </c>
      <c r="N52" s="55">
        <f>'Long-form'!R53</f>
        <v>3.29</v>
      </c>
      <c r="O52" s="55" t="str">
        <f>'Long-form'!S53</f>
        <v>&gt;76.6</v>
      </c>
      <c r="P52" s="55">
        <f>'Long-form'!T53</f>
        <v>1</v>
      </c>
      <c r="Q52" s="55">
        <f>'Long-form'!AM53</f>
        <v>-22.479999999999997</v>
      </c>
      <c r="R52" s="55" t="str">
        <f>'Long-form'!AN53</f>
        <v>YSD</v>
      </c>
      <c r="S52" s="55">
        <f>'Long-form'!AP53</f>
        <v>0.19456268912615288</v>
      </c>
      <c r="T52" s="55">
        <f>'Long-form'!AQ53</f>
        <v>0.19456268912615288</v>
      </c>
      <c r="U52" t="str">
        <f>'Long-form'!BC53</f>
        <v>-1</v>
      </c>
      <c r="V52" t="str">
        <f>'Long-form'!BD53</f>
        <v>5 = Sedimentary (e.g., deltaic, estuarine, wetland, lacustrine, marine facies)</v>
      </c>
      <c r="W52" t="str">
        <f>'Long-form'!BE53</f>
        <v>Marine deposit</v>
      </c>
      <c r="X52" t="str">
        <f>'Long-form'!BF53</f>
        <v>sediment color, texture, grain size, diatom</v>
      </c>
      <c r="Y52" t="str">
        <f>'Long-form'!BH53</f>
        <v>&lt;MTL</v>
      </c>
      <c r="Z52" s="55">
        <f>'Long-form'!BT53</f>
        <v>-22.482005124999997</v>
      </c>
      <c r="AA52" s="55">
        <f>'Long-form'!BU53</f>
        <v>0.20088464351463009</v>
      </c>
      <c r="AB52" s="55">
        <f>'Long-form'!BV53</f>
        <v>0.20088464351463009</v>
      </c>
      <c r="AC52" s="55" t="str">
        <f>'Long-form'!BW53</f>
        <v>nd</v>
      </c>
      <c r="AD52" s="55" t="str">
        <f>'Long-form'!BX53</f>
        <v>nd</v>
      </c>
      <c r="AE52" s="55" t="str">
        <f>'Long-form'!BY53</f>
        <v>nd</v>
      </c>
      <c r="AF52" t="str">
        <f>'Long-form'!BZ53</f>
        <v>nd</v>
      </c>
      <c r="AG52">
        <f>'Long-form'!CB53</f>
        <v>0</v>
      </c>
      <c r="AH52">
        <f>'Long-form'!CD53</f>
        <v>0</v>
      </c>
      <c r="AI52" t="e">
        <f>'Long-form'!#REF!</f>
        <v>#REF!</v>
      </c>
    </row>
    <row r="53" spans="1:35">
      <c r="A53" t="str">
        <f>'Long-form'!A54</f>
        <v>Owen95B</v>
      </c>
      <c r="B53" t="str">
        <f>'Long-form'!B54</f>
        <v>Owen 1995</v>
      </c>
      <c r="C53" t="str">
        <f>'Long-form'!C54</f>
        <v>9a</v>
      </c>
      <c r="D53" t="str">
        <f>'Long-form'!D54</f>
        <v>Hong Kong</v>
      </c>
      <c r="E53" s="55">
        <f>'Long-form'!E54</f>
        <v>22.158555</v>
      </c>
      <c r="F53" s="55">
        <f>'Long-form'!F54</f>
        <v>114.05078399999999</v>
      </c>
      <c r="G53" t="str">
        <f>'Long-form'!G54</f>
        <v>1 = Radiocarbon</v>
      </c>
      <c r="H53" s="56">
        <f>'Long-form'!H54</f>
        <v>8230.681864716249</v>
      </c>
      <c r="I53" s="56">
        <f>'Long-form'!I54</f>
        <v>454.98959950020071</v>
      </c>
      <c r="J53" s="56">
        <f>'Long-form'!J54</f>
        <v>8632</v>
      </c>
      <c r="K53" s="56">
        <f>'Long-form'!K54</f>
        <v>1075</v>
      </c>
      <c r="L53" s="56">
        <f>'Long-form'!L54</f>
        <v>1048</v>
      </c>
      <c r="M53" s="56" t="str">
        <f>'Long-form'!Q54</f>
        <v>transgressive</v>
      </c>
      <c r="N53" s="55">
        <f>'Long-form'!R54</f>
        <v>6.12</v>
      </c>
      <c r="O53" s="55" t="str">
        <f>'Long-form'!S54</f>
        <v>&gt;73.8</v>
      </c>
      <c r="P53" s="55">
        <f>'Long-form'!T54</f>
        <v>1</v>
      </c>
      <c r="Q53" s="55">
        <f>'Long-form'!AM54</f>
        <v>-25.31</v>
      </c>
      <c r="R53" s="55" t="str">
        <f>'Long-form'!AN54</f>
        <v>YSD</v>
      </c>
      <c r="S53" s="55">
        <f>'Long-form'!AP54</f>
        <v>0.22024250271008092</v>
      </c>
      <c r="T53" s="55">
        <f>'Long-form'!AQ54</f>
        <v>0.22024250271008092</v>
      </c>
      <c r="U53" t="str">
        <f>'Long-form'!BC54</f>
        <v xml:space="preserve">-1 </v>
      </c>
      <c r="V53" t="str">
        <f>'Long-form'!BD54</f>
        <v>5 = Sedimentary (e.g., deltaic, estuarine, wetland, lacustrine, marine facies)</v>
      </c>
      <c r="W53" t="str">
        <f>'Long-form'!BE54</f>
        <v>Estuarine deposit</v>
      </c>
      <c r="X53" t="str">
        <f>'Long-form'!BF54</f>
        <v>sediment color, texture, grain size (with subangular gravels), diatom and shell fragments</v>
      </c>
      <c r="Y53" t="str">
        <f>'Long-form'!BH54</f>
        <v>&lt;HAT</v>
      </c>
      <c r="Z53" s="55">
        <f>'Long-form'!BT54</f>
        <v>-26.537005125</v>
      </c>
      <c r="AA53" s="55">
        <f>'Long-form'!BU54</f>
        <v>0.28444113626548462</v>
      </c>
      <c r="AB53" s="55">
        <f>'Long-form'!BV54</f>
        <v>0.28444113626548462</v>
      </c>
      <c r="AC53" s="55" t="str">
        <f>'Long-form'!BW54</f>
        <v>nd</v>
      </c>
      <c r="AD53" s="55" t="str">
        <f>'Long-form'!BX54</f>
        <v>nd</v>
      </c>
      <c r="AE53" s="55" t="str">
        <f>'Long-form'!BY54</f>
        <v>nd</v>
      </c>
      <c r="AF53" t="str">
        <f>'Long-form'!BZ54</f>
        <v>nd</v>
      </c>
      <c r="AG53">
        <f>'Long-form'!CB54</f>
        <v>0</v>
      </c>
      <c r="AH53">
        <f>'Long-form'!CD54</f>
        <v>0</v>
      </c>
      <c r="AI53" t="e">
        <f>'Long-form'!#REF!</f>
        <v>#REF!</v>
      </c>
    </row>
    <row r="54" spans="1:35">
      <c r="A54" t="str">
        <f>'Long-form'!A55</f>
        <v>KWG-223</v>
      </c>
      <c r="B54" t="str">
        <f>'Long-form'!B55</f>
        <v>Huang et al. 1983; Zong 2004</v>
      </c>
      <c r="C54" t="str">
        <f>'Long-form'!C55</f>
        <v>9a</v>
      </c>
      <c r="D54" t="str">
        <f>'Long-form'!D55</f>
        <v>Hong Kong</v>
      </c>
      <c r="E54" s="55">
        <f>'Long-form'!E55</f>
        <v>22.523333333333301</v>
      </c>
      <c r="F54" s="55">
        <f>'Long-form'!F55</f>
        <v>114.05</v>
      </c>
      <c r="G54" t="str">
        <f>'Long-form'!G55</f>
        <v>1 = Radiocarbon</v>
      </c>
      <c r="H54" s="56">
        <f>'Long-form'!H55</f>
        <v>2920.6818647162486</v>
      </c>
      <c r="I54" s="56">
        <f>'Long-form'!I55</f>
        <v>102.09332595228739</v>
      </c>
      <c r="J54" s="56">
        <f>'Long-form'!J55</f>
        <v>2524</v>
      </c>
      <c r="K54" s="56">
        <f>'Long-form'!K55</f>
        <v>309</v>
      </c>
      <c r="L54" s="56">
        <f>'Long-form'!L55</f>
        <v>343</v>
      </c>
      <c r="M54" s="56" t="str">
        <f>'Long-form'!Q55</f>
        <v>regressive</v>
      </c>
      <c r="N54" s="55">
        <f>'Long-form'!R55</f>
        <v>5.2</v>
      </c>
      <c r="O54" s="55">
        <f>'Long-form'!S55</f>
        <v>1.9</v>
      </c>
      <c r="P54" s="55">
        <f>'Long-form'!T55</f>
        <v>1</v>
      </c>
      <c r="Q54" s="55">
        <f>'Long-form'!AM55</f>
        <v>-3.5</v>
      </c>
      <c r="R54" s="55" t="str">
        <f>'Long-form'!AN55</f>
        <v>YSD</v>
      </c>
      <c r="S54" s="55">
        <f>'Long-form'!AP55</f>
        <v>0.54398161733646844</v>
      </c>
      <c r="T54" s="55">
        <f>'Long-form'!AQ55</f>
        <v>0.54398161733646844</v>
      </c>
      <c r="U54" t="str">
        <f>'Long-form'!BC55</f>
        <v>-1</v>
      </c>
      <c r="V54" t="str">
        <f>'Long-form'!BD55</f>
        <v>5 = Sedimentary (e.g., deltaic, estuarine, wetland, lacustrine, marine facies)</v>
      </c>
      <c r="W54" t="str">
        <f>'Long-form'!BE55</f>
        <v>Subtidal deposit</v>
      </c>
      <c r="X54" t="str">
        <f>'Long-form'!BF55</f>
        <v>sediment texture, mollusc fossil</v>
      </c>
      <c r="Y54" t="str">
        <f>'Long-form'!BH55</f>
        <v>&lt;MTL</v>
      </c>
      <c r="Z54" s="55">
        <f>'Long-form'!BT55</f>
        <v>-3.4936489869999998</v>
      </c>
      <c r="AA54" s="55">
        <f>'Long-form'!BU55</f>
        <v>0.5462746561941163</v>
      </c>
      <c r="AB54" s="55">
        <f>'Long-form'!BV55</f>
        <v>0.5462746561941163</v>
      </c>
      <c r="AC54" s="55" t="str">
        <f>'Long-form'!BW55</f>
        <v>nd</v>
      </c>
      <c r="AD54" s="55" t="str">
        <f>'Long-form'!BX55</f>
        <v>nd</v>
      </c>
      <c r="AE54" s="55" t="str">
        <f>'Long-form'!BY55</f>
        <v>nd</v>
      </c>
      <c r="AF54" t="str">
        <f>'Long-form'!BZ55</f>
        <v>nd</v>
      </c>
      <c r="AG54">
        <f>'Long-form'!CB55</f>
        <v>0</v>
      </c>
      <c r="AH54">
        <f>'Long-form'!CD55</f>
        <v>0</v>
      </c>
      <c r="AI54" t="e">
        <f>'Long-form'!#REF!</f>
        <v>#REF!</v>
      </c>
    </row>
    <row r="55" spans="1:35">
      <c r="A55" t="str">
        <f>'Long-form'!A56</f>
        <v>Beta-323532</v>
      </c>
      <c r="B55" t="str">
        <f>'Long-form'!B56</f>
        <v>Sun et al 2021</v>
      </c>
      <c r="C55" t="str">
        <f>'Long-form'!C56</f>
        <v>9a</v>
      </c>
      <c r="D55" t="str">
        <f>'Long-form'!D56</f>
        <v>Hong Kong</v>
      </c>
      <c r="E55" s="55">
        <f>'Long-form'!E56</f>
        <v>22.490862</v>
      </c>
      <c r="F55" s="55">
        <f>'Long-form'!F56</f>
        <v>114.04043799999999</v>
      </c>
      <c r="G55" t="str">
        <f>'Long-form'!G56</f>
        <v>1 = Radiocarbon</v>
      </c>
      <c r="H55" s="56">
        <f>'Long-form'!H56</f>
        <v>1500</v>
      </c>
      <c r="I55" s="56">
        <f>'Long-form'!I56</f>
        <v>30</v>
      </c>
      <c r="J55" s="56">
        <f>'Long-form'!J56</f>
        <v>895</v>
      </c>
      <c r="K55" s="56">
        <f>'Long-form'!K56</f>
        <v>206</v>
      </c>
      <c r="L55" s="56">
        <f>'Long-form'!L56</f>
        <v>201</v>
      </c>
      <c r="M55" s="56" t="str">
        <f>'Long-form'!Q56</f>
        <v>transgressive</v>
      </c>
      <c r="N55" s="55">
        <f>'Long-form'!R56</f>
        <v>3.0799999999999996</v>
      </c>
      <c r="O55" s="55" t="str">
        <f>'Long-form'!S56</f>
        <v>nd</v>
      </c>
      <c r="P55" s="55">
        <f>'Long-form'!T56</f>
        <v>1</v>
      </c>
      <c r="Q55" s="55">
        <f>'Long-form'!AM56</f>
        <v>-0.82</v>
      </c>
      <c r="R55" s="55" t="str">
        <f>'Long-form'!AN56</f>
        <v>YSD</v>
      </c>
      <c r="S55" s="55">
        <f>'Long-form'!AP56</f>
        <v>0.19318271144178509</v>
      </c>
      <c r="T55" s="55">
        <f>'Long-form'!AQ56</f>
        <v>0.19318271144178509</v>
      </c>
      <c r="U55" t="str">
        <f>'Long-form'!BC56</f>
        <v>-1</v>
      </c>
      <c r="V55" t="str">
        <f>'Long-form'!BD56</f>
        <v>5 = Sedimentary (e.g., deltaic, estuarine, wetland, lacustrine, marine facies)</v>
      </c>
      <c r="W55" t="str">
        <f>'Long-form'!BE56</f>
        <v>Marine deposit</v>
      </c>
      <c r="X55" t="str">
        <f>'Long-form'!BF56</f>
        <v>sediment color, texture and grain size</v>
      </c>
      <c r="Y55" t="str">
        <f>'Long-form'!BH56</f>
        <v>&lt;MTL</v>
      </c>
      <c r="Z55" s="55">
        <f>'Long-form'!BT56</f>
        <v>-0.80795968499999993</v>
      </c>
      <c r="AA55" s="55">
        <f>'Long-form'!BU56</f>
        <v>0.19954839012129363</v>
      </c>
      <c r="AB55" s="55">
        <f>'Long-form'!BV56</f>
        <v>0.19954839012129363</v>
      </c>
      <c r="AC55" s="55" t="str">
        <f>'Long-form'!BW56</f>
        <v>nd</v>
      </c>
      <c r="AD55" s="55" t="str">
        <f>'Long-form'!BX56</f>
        <v>nd</v>
      </c>
      <c r="AE55" s="55" t="str">
        <f>'Long-form'!BY56</f>
        <v>nd</v>
      </c>
      <c r="AF55" t="str">
        <f>'Long-form'!BZ56</f>
        <v>nd</v>
      </c>
      <c r="AG55">
        <f>'Long-form'!CB56</f>
        <v>0</v>
      </c>
      <c r="AH55">
        <f>'Long-form'!CD56</f>
        <v>0</v>
      </c>
      <c r="AI55" t="e">
        <f>'Long-form'!#REF!</f>
        <v>#REF!</v>
      </c>
    </row>
    <row r="56" spans="1:35">
      <c r="A56" t="str">
        <f>'Long-form'!A57</f>
        <v>Beta-341291</v>
      </c>
      <c r="B56" t="str">
        <f>'Long-form'!B57</f>
        <v>Sun et al 2021</v>
      </c>
      <c r="C56" t="str">
        <f>'Long-form'!C57</f>
        <v>9a</v>
      </c>
      <c r="D56" t="str">
        <f>'Long-form'!D57</f>
        <v>Hong Kong</v>
      </c>
      <c r="E56" s="55">
        <f>'Long-form'!E57</f>
        <v>22.490862</v>
      </c>
      <c r="F56" s="55">
        <f>'Long-form'!F57</f>
        <v>114.04043799999999</v>
      </c>
      <c r="G56" t="str">
        <f>'Long-form'!G57</f>
        <v>1 = Radiocarbon</v>
      </c>
      <c r="H56" s="56">
        <f>'Long-form'!H57</f>
        <v>970</v>
      </c>
      <c r="I56" s="56">
        <f>'Long-form'!I57</f>
        <v>104.4030650891055</v>
      </c>
      <c r="J56" s="56">
        <f>'Long-form'!J57</f>
        <v>869</v>
      </c>
      <c r="K56" s="56">
        <f>'Long-form'!K57</f>
        <v>305</v>
      </c>
      <c r="L56" s="56">
        <f>'Long-form'!L57</f>
        <v>191</v>
      </c>
      <c r="M56" s="56" t="str">
        <f>'Long-form'!Q57</f>
        <v>transgressive</v>
      </c>
      <c r="N56" s="55">
        <f>'Long-form'!R57</f>
        <v>2.86</v>
      </c>
      <c r="O56" s="55" t="str">
        <f>'Long-form'!S57</f>
        <v>nd</v>
      </c>
      <c r="P56" s="55">
        <f>'Long-form'!T57</f>
        <v>1</v>
      </c>
      <c r="Q56" s="55">
        <f>'Long-form'!AM57</f>
        <v>0.6</v>
      </c>
      <c r="R56" s="55" t="str">
        <f>'Long-form'!AN57</f>
        <v>YSD</v>
      </c>
      <c r="S56" s="55">
        <f>'Long-form'!AP57</f>
        <v>0.1933826259000534</v>
      </c>
      <c r="T56" s="55">
        <f>'Long-form'!AQ57</f>
        <v>0.1933826259000534</v>
      </c>
      <c r="U56" t="str">
        <f>'Long-form'!BC57</f>
        <v>0</v>
      </c>
      <c r="V56" t="str">
        <f>'Long-form'!BD57</f>
        <v>5 = Sedimentary (e.g., deltaic, estuarine, wetland, lacustrine, marine facies)</v>
      </c>
      <c r="W56" t="str">
        <f>'Long-form'!BE57</f>
        <v>Tidal flat deposit</v>
      </c>
      <c r="X56" t="str">
        <f>'Long-form'!BF57</f>
        <v>stable carbon isotope</v>
      </c>
      <c r="Y56" t="str">
        <f>'Long-form'!BH57</f>
        <v>HAT-LAT</v>
      </c>
      <c r="Z56" s="55">
        <f>'Long-form'!BT57</f>
        <v>0.55183873899999991</v>
      </c>
      <c r="AA56" s="55">
        <f>'Long-form'!BU57</f>
        <v>1.6488642001017257</v>
      </c>
      <c r="AB56" s="55">
        <f>'Long-form'!BV57</f>
        <v>1.6488642001017257</v>
      </c>
      <c r="AC56" s="55" t="str">
        <f>'Long-form'!BW57</f>
        <v>nd</v>
      </c>
      <c r="AD56" s="55" t="str">
        <f>'Long-form'!BX57</f>
        <v>nd</v>
      </c>
      <c r="AE56" s="55" t="str">
        <f>'Long-form'!BY57</f>
        <v>nd</v>
      </c>
      <c r="AF56" t="str">
        <f>'Long-form'!BZ57</f>
        <v>nd</v>
      </c>
      <c r="AG56">
        <f>'Long-form'!CB57</f>
        <v>0</v>
      </c>
      <c r="AH56">
        <f>'Long-form'!CD57</f>
        <v>0</v>
      </c>
      <c r="AI56" t="e">
        <f>'Long-form'!#REF!</f>
        <v>#REF!</v>
      </c>
    </row>
    <row r="57" spans="1:35">
      <c r="A57" t="str">
        <f>'Long-form'!A58</f>
        <v>Beta-341292</v>
      </c>
      <c r="B57" t="str">
        <f>'Long-form'!B58</f>
        <v>Sun et al 2021</v>
      </c>
      <c r="C57" t="str">
        <f>'Long-form'!C58</f>
        <v>9a</v>
      </c>
      <c r="D57" t="str">
        <f>'Long-form'!D58</f>
        <v>Hong Kong</v>
      </c>
      <c r="E57" s="55">
        <f>'Long-form'!E58</f>
        <v>22.493758</v>
      </c>
      <c r="F57" s="55">
        <f>'Long-form'!F58</f>
        <v>114.03407199999999</v>
      </c>
      <c r="G57" t="str">
        <f>'Long-form'!G58</f>
        <v>1 = Radiocarbon</v>
      </c>
      <c r="H57" s="56">
        <f>'Long-form'!H58</f>
        <v>1080</v>
      </c>
      <c r="I57" s="56">
        <f>'Long-form'!I58</f>
        <v>104.4030650891055</v>
      </c>
      <c r="J57" s="56">
        <f>'Long-form'!J58</f>
        <v>997</v>
      </c>
      <c r="K57" s="56">
        <f>'Long-form'!K58</f>
        <v>266</v>
      </c>
      <c r="L57" s="56">
        <f>'Long-form'!L58</f>
        <v>247</v>
      </c>
      <c r="M57" s="56" t="str">
        <f>'Long-form'!Q58</f>
        <v>transgressive</v>
      </c>
      <c r="N57" s="55">
        <f>'Long-form'!R58</f>
        <v>1.27</v>
      </c>
      <c r="O57" s="55" t="str">
        <f>'Long-form'!S58</f>
        <v>nd</v>
      </c>
      <c r="P57" s="55">
        <f>'Long-form'!T58</f>
        <v>1</v>
      </c>
      <c r="Q57" s="55">
        <f>'Long-form'!AM58</f>
        <v>-0.13</v>
      </c>
      <c r="R57" s="55" t="str">
        <f>'Long-form'!AN58</f>
        <v>YSD</v>
      </c>
      <c r="S57" s="55">
        <f>'Long-form'!AP58</f>
        <v>0.18646758431427163</v>
      </c>
      <c r="T57" s="55">
        <f>'Long-form'!AQ58</f>
        <v>0.18646758431427163</v>
      </c>
      <c r="U57" t="str">
        <f>'Long-form'!BC58</f>
        <v>0</v>
      </c>
      <c r="V57" t="str">
        <f>'Long-form'!BD58</f>
        <v>5 = Sedimentary (e.g., deltaic, estuarine, wetland, lacustrine, marine facies)</v>
      </c>
      <c r="W57" t="str">
        <f>'Long-form'!BE58</f>
        <v>Tidal flat deposit</v>
      </c>
      <c r="X57" t="str">
        <f>'Long-form'!BF58</f>
        <v>stable carbon isotope</v>
      </c>
      <c r="Y57" t="str">
        <f>'Long-form'!BH58</f>
        <v>HAT-LAT</v>
      </c>
      <c r="Z57" s="55">
        <f>'Long-form'!BT58</f>
        <v>-0.17858032499999998</v>
      </c>
      <c r="AA57" s="55">
        <f>'Long-form'!BU58</f>
        <v>1.646203843887482</v>
      </c>
      <c r="AB57" s="55">
        <f>'Long-form'!BV58</f>
        <v>1.646203843887482</v>
      </c>
      <c r="AC57" s="55" t="str">
        <f>'Long-form'!BW58</f>
        <v>nd</v>
      </c>
      <c r="AD57" s="55" t="str">
        <f>'Long-form'!BX58</f>
        <v>nd</v>
      </c>
      <c r="AE57" s="55" t="str">
        <f>'Long-form'!BY58</f>
        <v>nd</v>
      </c>
      <c r="AF57" t="str">
        <f>'Long-form'!BZ58</f>
        <v>nd</v>
      </c>
      <c r="AG57">
        <f>'Long-form'!CB58</f>
        <v>0</v>
      </c>
      <c r="AH57">
        <f>'Long-form'!CD58</f>
        <v>0</v>
      </c>
      <c r="AI57" t="e">
        <f>'Long-form'!#REF!</f>
        <v>#REF!</v>
      </c>
    </row>
    <row r="58" spans="1:35">
      <c r="A58" t="str">
        <f>'Long-form'!A59</f>
        <v>Beta-323533</v>
      </c>
      <c r="B58" t="str">
        <f>'Long-form'!B59</f>
        <v>Sun et al 2021</v>
      </c>
      <c r="C58" t="str">
        <f>'Long-form'!C59</f>
        <v>9a</v>
      </c>
      <c r="D58" t="str">
        <f>'Long-form'!D59</f>
        <v>Hong Kong</v>
      </c>
      <c r="E58" s="55" t="str">
        <f>'Long-form'!E59</f>
        <v xml:space="preserve">22.494	</v>
      </c>
      <c r="F58" s="55">
        <f>'Long-form'!F59</f>
        <v>114.03400000000001</v>
      </c>
      <c r="G58" t="str">
        <f>'Long-form'!G59</f>
        <v>1 = Radiocarbon</v>
      </c>
      <c r="H58" s="56">
        <f>'Long-form'!H59</f>
        <v>1270</v>
      </c>
      <c r="I58" s="56">
        <f>'Long-form'!I59</f>
        <v>30</v>
      </c>
      <c r="J58" s="56">
        <f>'Long-form'!J59</f>
        <v>679</v>
      </c>
      <c r="K58" s="56">
        <f>'Long-form'!K59</f>
        <v>195</v>
      </c>
      <c r="L58" s="56">
        <f>'Long-form'!L59</f>
        <v>163</v>
      </c>
      <c r="M58" s="56" t="str">
        <f>'Long-form'!Q59</f>
        <v>transgressive</v>
      </c>
      <c r="N58" s="55">
        <f>'Long-form'!R59</f>
        <v>2.6</v>
      </c>
      <c r="O58" s="55" t="str">
        <f>'Long-form'!S59</f>
        <v>nd</v>
      </c>
      <c r="P58" s="55">
        <f>'Long-form'!T59</f>
        <v>1</v>
      </c>
      <c r="Q58" s="55">
        <f>'Long-form'!AM59</f>
        <v>-1.2</v>
      </c>
      <c r="R58" s="55" t="str">
        <f>'Long-form'!AN59</f>
        <v>YSD</v>
      </c>
      <c r="S58" s="55">
        <f>'Long-form'!AP59</f>
        <v>0.19033917095542893</v>
      </c>
      <c r="T58" s="55">
        <f>'Long-form'!AQ59</f>
        <v>0.19033917095542893</v>
      </c>
      <c r="U58" t="str">
        <f>'Long-form'!BC59</f>
        <v>-1</v>
      </c>
      <c r="V58" t="str">
        <f>'Long-form'!BD59</f>
        <v>5 = Sedimentary (e.g., deltaic, estuarine, wetland, lacustrine, marine facies)</v>
      </c>
      <c r="W58" t="str">
        <f>'Long-form'!BE59</f>
        <v>Marine deposit</v>
      </c>
      <c r="X58" t="str">
        <f>'Long-form'!BF59</f>
        <v>sediment color, texture and grain size</v>
      </c>
      <c r="Y58" t="str">
        <f>'Long-form'!BH59</f>
        <v>&lt;MTL</v>
      </c>
      <c r="Z58" s="55">
        <f>'Long-form'!BT59</f>
        <v>-1.1878541139999998</v>
      </c>
      <c r="AA58" s="55">
        <f>'Long-form'!BU59</f>
        <v>0.19679684956827945</v>
      </c>
      <c r="AB58" s="55">
        <f>'Long-form'!BV59</f>
        <v>0.19679684956827945</v>
      </c>
      <c r="AC58" s="55" t="str">
        <f>'Long-form'!BW59</f>
        <v>nd</v>
      </c>
      <c r="AD58" s="55" t="str">
        <f>'Long-form'!BX59</f>
        <v>nd</v>
      </c>
      <c r="AE58" s="55" t="str">
        <f>'Long-form'!BY59</f>
        <v>nd</v>
      </c>
      <c r="AF58" t="str">
        <f>'Long-form'!BZ59</f>
        <v>nd</v>
      </c>
      <c r="AG58">
        <f>'Long-form'!CB59</f>
        <v>0</v>
      </c>
      <c r="AH58">
        <f>'Long-form'!CD59</f>
        <v>0</v>
      </c>
      <c r="AI58" t="e">
        <f>'Long-form'!#REF!</f>
        <v>#REF!</v>
      </c>
    </row>
    <row r="59" spans="1:35">
      <c r="A59" t="str">
        <f>'Long-form'!A60</f>
        <v>GF928</v>
      </c>
      <c r="B59" t="str">
        <f>'Long-form'!B60</f>
        <v>Langford et al. 1989</v>
      </c>
      <c r="C59" t="str">
        <f>'Long-form'!C60</f>
        <v>9a</v>
      </c>
      <c r="D59" t="str">
        <f>'Long-form'!D60</f>
        <v>Hong Kong</v>
      </c>
      <c r="E59" s="55">
        <f>'Long-form'!E60</f>
        <v>22.445997986999998</v>
      </c>
      <c r="F59" s="55">
        <f>'Long-form'!F60</f>
        <v>114.03282412900001</v>
      </c>
      <c r="G59" t="str">
        <f>'Long-form'!G60</f>
        <v>1 = Radiocarbon</v>
      </c>
      <c r="H59" s="56">
        <f>'Long-form'!H60</f>
        <v>6776.4695042613312</v>
      </c>
      <c r="I59" s="56">
        <f>'Long-form'!I60</f>
        <v>170.61219483533901</v>
      </c>
      <c r="J59" s="56">
        <f>'Long-form'!J60</f>
        <v>7639</v>
      </c>
      <c r="K59" s="56">
        <f>'Long-form'!K60</f>
        <v>316</v>
      </c>
      <c r="L59" s="56">
        <f>'Long-form'!L60</f>
        <v>310</v>
      </c>
      <c r="M59" s="56" t="str">
        <f>'Long-form'!Q60</f>
        <v>nd</v>
      </c>
      <c r="N59" s="55" t="str">
        <f>'Long-form'!R60</f>
        <v>nd</v>
      </c>
      <c r="O59" s="55" t="str">
        <f>'Long-form'!S60</f>
        <v>nd</v>
      </c>
      <c r="P59" s="55">
        <f>'Long-form'!T60</f>
        <v>1</v>
      </c>
      <c r="Q59" s="55">
        <f>'Long-form'!AM60</f>
        <v>-1.88</v>
      </c>
      <c r="R59" s="55" t="str">
        <f>'Long-form'!AN60</f>
        <v>YSD</v>
      </c>
      <c r="S59" s="55">
        <f>'Long-form'!AP60</f>
        <v>0.27568097504180444</v>
      </c>
      <c r="T59" s="55">
        <f>'Long-form'!AQ60</f>
        <v>0.27568097504180444</v>
      </c>
      <c r="U59" t="str">
        <f>'Long-form'!BC60</f>
        <v xml:space="preserve">-1 </v>
      </c>
      <c r="V59" t="str">
        <f>'Long-form'!BD60</f>
        <v>5 = Sedimentary (e.g., deltaic, estuarine, wetland, lacustrine, marine facies)</v>
      </c>
      <c r="W59" t="str">
        <f>'Long-form'!BE60</f>
        <v>Tidal flat deposit</v>
      </c>
      <c r="X59" t="str">
        <f>'Long-form'!BF60</f>
        <v>sediment color, texture</v>
      </c>
      <c r="Y59" t="str">
        <f>'Long-form'!BH60</f>
        <v>&lt;HAT</v>
      </c>
      <c r="Z59" s="55">
        <f>'Long-form'!BT60</f>
        <v>-3.5244468370000002</v>
      </c>
      <c r="AA59" s="55">
        <f>'Long-form'!BU60</f>
        <v>0.32924155266308658</v>
      </c>
      <c r="AB59" s="55">
        <f>'Long-form'!BV60</f>
        <v>0.32924155266308658</v>
      </c>
      <c r="AC59" s="55" t="str">
        <f>'Long-form'!BW60</f>
        <v>nd</v>
      </c>
      <c r="AD59" s="55" t="str">
        <f>'Long-form'!BX60</f>
        <v>nd</v>
      </c>
      <c r="AE59" s="55" t="str">
        <f>'Long-form'!BY60</f>
        <v>nd</v>
      </c>
      <c r="AF59" t="str">
        <f>'Long-form'!BZ60</f>
        <v>nd</v>
      </c>
      <c r="AG59">
        <f>'Long-form'!CB60</f>
        <v>0</v>
      </c>
      <c r="AH59">
        <f>'Long-form'!CD60</f>
        <v>0</v>
      </c>
      <c r="AI59" t="e">
        <f>'Long-form'!#REF!</f>
        <v>#REF!</v>
      </c>
    </row>
    <row r="60" spans="1:35">
      <c r="A60" t="str">
        <f>'Long-form'!A61</f>
        <v>SI86-109</v>
      </c>
      <c r="B60" t="str">
        <f>'Long-form'!B61</f>
        <v>Langford et al. 1989</v>
      </c>
      <c r="C60" t="str">
        <f>'Long-form'!C61</f>
        <v>9a</v>
      </c>
      <c r="D60" t="str">
        <f>'Long-form'!D61</f>
        <v>Hong Kong</v>
      </c>
      <c r="E60" s="55">
        <f>'Long-form'!E61</f>
        <v>22.448064536</v>
      </c>
      <c r="F60" s="55">
        <f>'Long-form'!F61</f>
        <v>114.02155274099999</v>
      </c>
      <c r="G60" t="str">
        <f>'Long-form'!G61</f>
        <v>1 = Radiocarbon</v>
      </c>
      <c r="H60" s="56">
        <f>'Long-form'!H61</f>
        <v>1865.3589885814699</v>
      </c>
      <c r="I60" s="56">
        <f>'Long-form'!I61</f>
        <v>96.92758260082627</v>
      </c>
      <c r="J60" s="56">
        <f>'Long-form'!J61</f>
        <v>1780</v>
      </c>
      <c r="K60" s="56">
        <f>'Long-form'!K61</f>
        <v>213</v>
      </c>
      <c r="L60" s="56">
        <f>'Long-form'!L61</f>
        <v>233</v>
      </c>
      <c r="M60" s="56" t="str">
        <f>'Long-form'!Q61</f>
        <v>nd</v>
      </c>
      <c r="N60" s="55" t="str">
        <f>'Long-form'!R61</f>
        <v>nd</v>
      </c>
      <c r="O60" s="55" t="str">
        <f>'Long-form'!S61</f>
        <v>nd</v>
      </c>
      <c r="P60" s="55">
        <f>'Long-form'!T61</f>
        <v>1</v>
      </c>
      <c r="Q60" s="55">
        <f>'Long-form'!AM61</f>
        <v>2.0000000000000018E-2</v>
      </c>
      <c r="R60" s="55" t="str">
        <f>'Long-form'!AN61</f>
        <v>YSD</v>
      </c>
      <c r="S60" s="55">
        <f>'Long-form'!AP61</f>
        <v>0.27568097504180444</v>
      </c>
      <c r="T60" s="55">
        <f>'Long-form'!AQ61</f>
        <v>0.27568097504180444</v>
      </c>
      <c r="U60" t="str">
        <f>'Long-form'!BC61</f>
        <v xml:space="preserve">-1 </v>
      </c>
      <c r="V60" t="str">
        <f>'Long-form'!BD61</f>
        <v>5 = Sedimentary (e.g., deltaic, estuarine, wetland, lacustrine, marine facies)</v>
      </c>
      <c r="W60" t="str">
        <f>'Long-form'!BE61</f>
        <v>Tidal flat deposit</v>
      </c>
      <c r="X60" t="str">
        <f>'Long-form'!BF61</f>
        <v>sediment color, texture</v>
      </c>
      <c r="Y60" t="str">
        <f>'Long-form'!BH61</f>
        <v>&lt;HAT</v>
      </c>
      <c r="Z60" s="55">
        <f>'Long-form'!BT61</f>
        <v>-1.625364968</v>
      </c>
      <c r="AA60" s="55">
        <f>'Long-form'!BU61</f>
        <v>0.32924155266308658</v>
      </c>
      <c r="AB60" s="55">
        <f>'Long-form'!BV61</f>
        <v>0.32924155266308658</v>
      </c>
      <c r="AC60" s="55" t="str">
        <f>'Long-form'!BW61</f>
        <v>nd</v>
      </c>
      <c r="AD60" s="55" t="str">
        <f>'Long-form'!BX61</f>
        <v>nd</v>
      </c>
      <c r="AE60" s="55" t="str">
        <f>'Long-form'!BY61</f>
        <v>nd</v>
      </c>
      <c r="AF60" t="str">
        <f>'Long-form'!BZ61</f>
        <v>nd</v>
      </c>
      <c r="AG60">
        <f>'Long-form'!CB61</f>
        <v>0</v>
      </c>
      <c r="AH60">
        <f>'Long-form'!CD61</f>
        <v>0</v>
      </c>
      <c r="AI60" t="e">
        <f>'Long-form'!#REF!</f>
        <v>#REF!</v>
      </c>
    </row>
    <row r="61" spans="1:35">
      <c r="A61" t="str">
        <f>'Long-form'!A62</f>
        <v>GF926</v>
      </c>
      <c r="B61" t="str">
        <f>'Long-form'!B62</f>
        <v>Langford et al. 1989</v>
      </c>
      <c r="C61" t="str">
        <f>'Long-form'!C62</f>
        <v>9a</v>
      </c>
      <c r="D61" t="str">
        <f>'Long-form'!D62</f>
        <v>Hong Kong</v>
      </c>
      <c r="E61" s="55">
        <f>'Long-form'!E62</f>
        <v>22.437736858000001</v>
      </c>
      <c r="F61" s="55">
        <f>'Long-form'!F62</f>
        <v>114.015541462</v>
      </c>
      <c r="G61" t="str">
        <f>'Long-form'!G62</f>
        <v>1 = Radiocarbon</v>
      </c>
      <c r="H61" s="56">
        <f>'Long-form'!H62</f>
        <v>1563.9526305170123</v>
      </c>
      <c r="I61" s="56">
        <f>'Long-form'!I62</f>
        <v>75.738345594817417</v>
      </c>
      <c r="J61" s="56">
        <f>'Long-form'!J62</f>
        <v>1451</v>
      </c>
      <c r="K61" s="56">
        <f>'Long-form'!K62</f>
        <v>233</v>
      </c>
      <c r="L61" s="56">
        <f>'Long-form'!L62</f>
        <v>145</v>
      </c>
      <c r="M61" s="56" t="str">
        <f>'Long-form'!Q62</f>
        <v>nd</v>
      </c>
      <c r="N61" s="55" t="str">
        <f>'Long-form'!R62</f>
        <v>nd</v>
      </c>
      <c r="O61" s="55" t="str">
        <f>'Long-form'!S62</f>
        <v>nd</v>
      </c>
      <c r="P61" s="55">
        <f>'Long-form'!T62</f>
        <v>1</v>
      </c>
      <c r="Q61" s="55">
        <f>'Long-form'!AM62</f>
        <v>-4.3</v>
      </c>
      <c r="R61" s="55" t="str">
        <f>'Long-form'!AN62</f>
        <v>YSD</v>
      </c>
      <c r="S61" s="55">
        <f>'Long-form'!AP62</f>
        <v>0.27568097504180444</v>
      </c>
      <c r="T61" s="55">
        <f>'Long-form'!AQ62</f>
        <v>0.27568097504180444</v>
      </c>
      <c r="U61" t="str">
        <f>'Long-form'!BC62</f>
        <v xml:space="preserve">1 </v>
      </c>
      <c r="V61" t="str">
        <f>'Long-form'!BD62</f>
        <v>5 = Sedimentary (e.g., deltaic, estuarine, wetland, lacustrine, marine facies)</v>
      </c>
      <c r="W61" t="str">
        <f>'Long-form'!BE62</f>
        <v>Fluvial deposit</v>
      </c>
      <c r="X61" t="str">
        <f>'Long-form'!BF62</f>
        <v>sediment color, texture</v>
      </c>
      <c r="Y61" t="str">
        <f>'Long-form'!BH62</f>
        <v>&gt;MTL</v>
      </c>
      <c r="Z61" s="55">
        <f>'Long-form'!BT62</f>
        <v>-4.2893635429999994</v>
      </c>
      <c r="AA61" s="55">
        <f>'Long-form'!BU62</f>
        <v>0.28017851452243797</v>
      </c>
      <c r="AB61" s="55">
        <f>'Long-form'!BV62</f>
        <v>0.28017851452243797</v>
      </c>
      <c r="AC61" s="55" t="str">
        <f>'Long-form'!BW62</f>
        <v>nd</v>
      </c>
      <c r="AD61" s="55" t="str">
        <f>'Long-form'!BX62</f>
        <v>nd</v>
      </c>
      <c r="AE61" s="55" t="str">
        <f>'Long-form'!BY62</f>
        <v>nd</v>
      </c>
      <c r="AF61" t="str">
        <f>'Long-form'!BZ62</f>
        <v>nd</v>
      </c>
      <c r="AG61">
        <f>'Long-form'!CB62</f>
        <v>1</v>
      </c>
      <c r="AH61">
        <f>'Long-form'!CD62</f>
        <v>0</v>
      </c>
      <c r="AI61" t="e">
        <f>'Long-form'!#REF!</f>
        <v>#REF!</v>
      </c>
    </row>
    <row r="62" spans="1:35">
      <c r="A62" t="str">
        <f>'Long-form'!A63</f>
        <v>SI86-122</v>
      </c>
      <c r="B62" t="str">
        <f>'Long-form'!B63</f>
        <v>Langford et al. 1989</v>
      </c>
      <c r="C62" t="str">
        <f>'Long-form'!C63</f>
        <v>9a</v>
      </c>
      <c r="D62" t="str">
        <f>'Long-form'!D63</f>
        <v>Hong Kong</v>
      </c>
      <c r="E62" s="55">
        <f>'Long-form'!E63</f>
        <v>22.447686690000001</v>
      </c>
      <c r="F62" s="55">
        <f>'Long-form'!F63</f>
        <v>114.00513507700001</v>
      </c>
      <c r="G62" t="str">
        <f>'Long-form'!G63</f>
        <v>1 = Radiocarbon</v>
      </c>
      <c r="H62" s="56">
        <f>'Long-form'!H63</f>
        <v>3126.4695042613316</v>
      </c>
      <c r="I62" s="56">
        <f>'Long-form'!I63</f>
        <v>212.50129421996471</v>
      </c>
      <c r="J62" s="56">
        <f>'Long-form'!J63</f>
        <v>3316</v>
      </c>
      <c r="K62" s="56">
        <f>'Long-form'!K63</f>
        <v>514</v>
      </c>
      <c r="L62" s="56">
        <f>'Long-form'!L63</f>
        <v>529</v>
      </c>
      <c r="M62" s="56" t="str">
        <f>'Long-form'!Q63</f>
        <v>nd</v>
      </c>
      <c r="N62" s="55" t="str">
        <f>'Long-form'!R63</f>
        <v>nd</v>
      </c>
      <c r="O62" s="55" t="str">
        <f>'Long-form'!S63</f>
        <v>nd</v>
      </c>
      <c r="P62" s="55">
        <f>'Long-form'!T63</f>
        <v>1</v>
      </c>
      <c r="Q62" s="55">
        <f>'Long-form'!AM63</f>
        <v>-0.68</v>
      </c>
      <c r="R62" s="55" t="str">
        <f>'Long-form'!AN63</f>
        <v>YSD</v>
      </c>
      <c r="S62" s="55">
        <f>'Long-form'!AP63</f>
        <v>0.27568097504180444</v>
      </c>
      <c r="T62" s="55">
        <f>'Long-form'!AQ63</f>
        <v>0.27568097504180444</v>
      </c>
      <c r="U62" t="str">
        <f>'Long-form'!BC63</f>
        <v xml:space="preserve">-1 </v>
      </c>
      <c r="V62" t="str">
        <f>'Long-form'!BD63</f>
        <v>5 = Sedimentary (e.g., deltaic, estuarine, wetland, lacustrine, marine facies)</v>
      </c>
      <c r="W62" t="str">
        <f>'Long-form'!BE63</f>
        <v>Tidal flat deposit</v>
      </c>
      <c r="X62" t="str">
        <f>'Long-form'!BF63</f>
        <v>sediment color, texture</v>
      </c>
      <c r="Y62" t="str">
        <f>'Long-form'!BH63</f>
        <v>&lt;HAT</v>
      </c>
      <c r="Z62" s="55">
        <f>'Long-form'!BT63</f>
        <v>-2.325571804</v>
      </c>
      <c r="AA62" s="55">
        <f>'Long-form'!BU63</f>
        <v>0.32924155266308658</v>
      </c>
      <c r="AB62" s="55">
        <f>'Long-form'!BV63</f>
        <v>0.32924155266308658</v>
      </c>
      <c r="AC62" s="55" t="str">
        <f>'Long-form'!BW63</f>
        <v>nd</v>
      </c>
      <c r="AD62" s="55" t="str">
        <f>'Long-form'!BX63</f>
        <v>nd</v>
      </c>
      <c r="AE62" s="55" t="str">
        <f>'Long-form'!BY63</f>
        <v>nd</v>
      </c>
      <c r="AF62" t="str">
        <f>'Long-form'!BZ63</f>
        <v>nd</v>
      </c>
      <c r="AG62">
        <f>'Long-form'!CB63</f>
        <v>0</v>
      </c>
      <c r="AH62">
        <f>'Long-form'!CD63</f>
        <v>0</v>
      </c>
      <c r="AI62" t="e">
        <f>'Long-form'!#REF!</f>
        <v>#REF!</v>
      </c>
    </row>
    <row r="63" spans="1:35">
      <c r="A63" t="str">
        <f>'Long-form'!A64</f>
        <v>CS-621</v>
      </c>
      <c r="B63" t="str">
        <f>'Long-form'!B64</f>
        <v>Langford et al. 1989</v>
      </c>
      <c r="C63" t="str">
        <f>'Long-form'!C64</f>
        <v>9a</v>
      </c>
      <c r="D63" t="str">
        <f>'Long-form'!D64</f>
        <v>Hong Kong</v>
      </c>
      <c r="E63" s="55">
        <f>'Long-form'!E64</f>
        <v>22.432760999999999</v>
      </c>
      <c r="F63" s="55">
        <f>'Long-form'!F64</f>
        <v>113.939702</v>
      </c>
      <c r="G63" t="str">
        <f>'Long-form'!G64</f>
        <v>1 = Radiocarbon</v>
      </c>
      <c r="H63" s="56">
        <f>'Long-form'!H64</f>
        <v>10005.53053805468</v>
      </c>
      <c r="I63" s="56">
        <f>'Long-form'!I64</f>
        <v>164.51502809117468</v>
      </c>
      <c r="J63" s="56">
        <f>'Long-form'!J64</f>
        <v>11558</v>
      </c>
      <c r="K63" s="56">
        <f>'Long-form'!K64</f>
        <v>877</v>
      </c>
      <c r="L63" s="56">
        <f>'Long-form'!L64</f>
        <v>456</v>
      </c>
      <c r="M63" s="56" t="str">
        <f>'Long-form'!Q64</f>
        <v>transgressive</v>
      </c>
      <c r="N63" s="55">
        <f>'Long-form'!R64</f>
        <v>5.7</v>
      </c>
      <c r="O63" s="55">
        <f>'Long-form'!S64</f>
        <v>0.79</v>
      </c>
      <c r="P63" s="55">
        <f>'Long-form'!T64</f>
        <v>1</v>
      </c>
      <c r="Q63" s="55">
        <f>'Long-form'!AM64</f>
        <v>-8.57</v>
      </c>
      <c r="R63" s="55" t="str">
        <f>'Long-form'!AN64</f>
        <v>YSD</v>
      </c>
      <c r="S63" s="55">
        <f>'Long-form'!AP64</f>
        <v>0.22135040094836061</v>
      </c>
      <c r="T63" s="55">
        <f>'Long-form'!AQ64</f>
        <v>0.22135040094836061</v>
      </c>
      <c r="U63" t="str">
        <f>'Long-form'!BC64</f>
        <v xml:space="preserve">1 </v>
      </c>
      <c r="V63" t="str">
        <f>'Long-form'!BD64</f>
        <v>5 = Sedimentary (e.g., deltaic, estuarine, wetland, lacustrine, marine facies)</v>
      </c>
      <c r="W63" t="str">
        <f>'Long-form'!BE64</f>
        <v>Terrestrial soil</v>
      </c>
      <c r="X63" t="str">
        <f>'Long-form'!BF64</f>
        <v>sediment color, texture and grain size</v>
      </c>
      <c r="Y63" t="str">
        <f>'Long-form'!BH64</f>
        <v>&gt;MTL</v>
      </c>
      <c r="Z63" s="55">
        <f>'Long-form'!BT64</f>
        <v>-8.5539321870000009</v>
      </c>
      <c r="AA63" s="55">
        <f>'Long-form'!BU64</f>
        <v>0.22692730113408568</v>
      </c>
      <c r="AB63" s="55">
        <f>'Long-form'!BV64</f>
        <v>0.22692730113408568</v>
      </c>
      <c r="AC63" s="55" t="str">
        <f>'Long-form'!BW64</f>
        <v>nd</v>
      </c>
      <c r="AD63" s="55" t="str">
        <f>'Long-form'!BX64</f>
        <v>nd</v>
      </c>
      <c r="AE63" s="55" t="str">
        <f>'Long-form'!BY64</f>
        <v>nd</v>
      </c>
      <c r="AF63" t="str">
        <f>'Long-form'!BZ64</f>
        <v>nd</v>
      </c>
      <c r="AG63">
        <f>'Long-form'!CB64</f>
        <v>0</v>
      </c>
      <c r="AH63">
        <f>'Long-form'!CD64</f>
        <v>0</v>
      </c>
      <c r="AI63" t="e">
        <f>'Long-form'!#REF!</f>
        <v>#REF!</v>
      </c>
    </row>
    <row r="64" spans="1:35">
      <c r="A64" t="str">
        <f>'Long-form'!A65</f>
        <v>KWG-241</v>
      </c>
      <c r="B64" t="str">
        <f>'Long-form'!B65</f>
        <v>Huang et al. 1983; Li et al. 1991; Zong 2004</v>
      </c>
      <c r="C64" t="str">
        <f>'Long-form'!C65</f>
        <v>9a</v>
      </c>
      <c r="D64" t="str">
        <f>'Long-form'!D65</f>
        <v>Hong Kong</v>
      </c>
      <c r="E64" s="55">
        <f>'Long-form'!E65</f>
        <v>22.5</v>
      </c>
      <c r="F64" s="55">
        <f>'Long-form'!F65</f>
        <v>113.9</v>
      </c>
      <c r="G64" t="str">
        <f>'Long-form'!G65</f>
        <v>1 = Radiocarbon</v>
      </c>
      <c r="H64" s="56">
        <f>'Long-form'!H65</f>
        <v>4370.6818647162481</v>
      </c>
      <c r="I64" s="56">
        <f>'Long-form'!I65</f>
        <v>120.09599162336768</v>
      </c>
      <c r="J64" s="56">
        <f>'Long-form'!J65</f>
        <v>4335</v>
      </c>
      <c r="K64" s="56">
        <f>'Long-form'!K65</f>
        <v>427</v>
      </c>
      <c r="L64" s="56">
        <f>'Long-form'!L65</f>
        <v>385</v>
      </c>
      <c r="M64" s="56" t="str">
        <f>'Long-form'!Q65</f>
        <v>rgressive</v>
      </c>
      <c r="N64" s="55">
        <f>'Long-form'!R65</f>
        <v>4</v>
      </c>
      <c r="O64" s="55" t="str">
        <f>'Long-form'!S65</f>
        <v>nd</v>
      </c>
      <c r="P64" s="55">
        <f>'Long-form'!T65</f>
        <v>1</v>
      </c>
      <c r="Q64" s="55">
        <f>'Long-form'!AM65</f>
        <v>-0.5</v>
      </c>
      <c r="R64" s="55" t="str">
        <f>'Long-form'!AN65</f>
        <v>YSD</v>
      </c>
      <c r="S64" s="55">
        <f>'Long-form'!AP65</f>
        <v>0.51244511901275824</v>
      </c>
      <c r="T64" s="55">
        <f>'Long-form'!AQ65</f>
        <v>0.51244511901275824</v>
      </c>
      <c r="U64" t="str">
        <f>'Long-form'!BC65</f>
        <v>0</v>
      </c>
      <c r="V64" t="str">
        <f>'Long-form'!BD65</f>
        <v>6 = Beach rock</v>
      </c>
      <c r="W64" t="str">
        <f>'Long-form'!BE65</f>
        <v>Shell hash</v>
      </c>
      <c r="X64" t="str">
        <f>'Long-form'!BF65</f>
        <v>sediment texture, mollusc fossil</v>
      </c>
      <c r="Y64" t="str">
        <f>'Long-form'!BH65</f>
        <v>HAT-LAT</v>
      </c>
      <c r="Z64" s="55">
        <f>'Long-form'!BT65</f>
        <v>-0.83081010700000002</v>
      </c>
      <c r="AA64" s="55">
        <f>'Long-form'!BU65</f>
        <v>2.2577425362583461</v>
      </c>
      <c r="AB64" s="55">
        <f>'Long-form'!BV65</f>
        <v>2.2577425362583461</v>
      </c>
      <c r="AC64" s="55" t="str">
        <f>'Long-form'!BW65</f>
        <v>nd</v>
      </c>
      <c r="AD64" s="55" t="str">
        <f>'Long-form'!BX65</f>
        <v>nd</v>
      </c>
      <c r="AE64" s="55" t="str">
        <f>'Long-form'!BY65</f>
        <v>nd</v>
      </c>
      <c r="AF64" t="str">
        <f>'Long-form'!BZ65</f>
        <v>nd</v>
      </c>
      <c r="AG64">
        <f>'Long-form'!CB65</f>
        <v>1</v>
      </c>
      <c r="AH64">
        <f>'Long-form'!CD65</f>
        <v>0</v>
      </c>
      <c r="AI64" t="e">
        <f>'Long-form'!#REF!</f>
        <v>#REF!</v>
      </c>
    </row>
    <row r="65" spans="1:35">
      <c r="A65" t="str">
        <f>'Long-form'!A66</f>
        <v>KWG-178</v>
      </c>
      <c r="B65" t="str">
        <f>'Long-form'!B66</f>
        <v>Xu et al. 1985; Li et al. 1991; Zong 2004</v>
      </c>
      <c r="C65" t="str">
        <f>'Long-form'!C66</f>
        <v>9a</v>
      </c>
      <c r="D65" t="str">
        <f>'Long-form'!D66</f>
        <v>Hong Kong</v>
      </c>
      <c r="E65" s="55">
        <f>'Long-form'!E66</f>
        <v>22.533333333333335</v>
      </c>
      <c r="F65" s="55">
        <f>'Long-form'!F66</f>
        <v>113.9</v>
      </c>
      <c r="G65" t="str">
        <f>'Long-form'!G66</f>
        <v>1 = Radiocarbon</v>
      </c>
      <c r="H65" s="56">
        <f>'Long-form'!H66</f>
        <v>2178.8105623511892</v>
      </c>
      <c r="I65" s="56">
        <f>'Long-form'!I66</f>
        <v>134.77584757851901</v>
      </c>
      <c r="J65" s="56">
        <f>'Long-form'!J66</f>
        <v>2165</v>
      </c>
      <c r="K65" s="56">
        <f>'Long-form'!K66</f>
        <v>522</v>
      </c>
      <c r="L65" s="56">
        <f>'Long-form'!L66</f>
        <v>367</v>
      </c>
      <c r="M65" s="56" t="str">
        <f>'Long-form'!Q66</f>
        <v>regressive</v>
      </c>
      <c r="N65" s="55">
        <f>'Long-form'!R66</f>
        <v>2.0499999999999998</v>
      </c>
      <c r="O65" s="55" t="str">
        <f>'Long-form'!S66</f>
        <v>nd</v>
      </c>
      <c r="P65" s="55">
        <f>'Long-form'!T66</f>
        <v>1</v>
      </c>
      <c r="Q65" s="55">
        <f>'Long-form'!AM66</f>
        <v>-5.6</v>
      </c>
      <c r="R65" s="55" t="str">
        <f>'Long-form'!AN66</f>
        <v>YSD</v>
      </c>
      <c r="S65" s="55">
        <f>'Long-form'!AP66</f>
        <v>0.53551937406596228</v>
      </c>
      <c r="T65" s="55">
        <f>'Long-form'!AQ66</f>
        <v>0.53551937406596228</v>
      </c>
      <c r="U65" t="str">
        <f>'Long-form'!BC66</f>
        <v>-1</v>
      </c>
      <c r="V65" t="str">
        <f>'Long-form'!BD66</f>
        <v>5 = Sedimentary (e.g., deltaic, estuarine, wetland, lacustrine, marine facies)</v>
      </c>
      <c r="W65" t="str">
        <f>'Long-form'!BE66</f>
        <v>Subtidal deposit</v>
      </c>
      <c r="X65" t="str">
        <f>'Long-form'!BF66</f>
        <v>sediment texture and diatom assemblage</v>
      </c>
      <c r="Y65" t="str">
        <f>'Long-form'!BH66</f>
        <v>&lt;MTL</v>
      </c>
      <c r="Z65" s="55">
        <f>'Long-form'!BT66</f>
        <v>-5.5699470739999999</v>
      </c>
      <c r="AA65" s="55">
        <f>'Long-form'!BU66</f>
        <v>0.53784849167772153</v>
      </c>
      <c r="AB65" s="55">
        <f>'Long-form'!BV66</f>
        <v>0.53784849167772153</v>
      </c>
      <c r="AC65" s="55" t="str">
        <f>'Long-form'!BW66</f>
        <v>nd</v>
      </c>
      <c r="AD65" s="55" t="str">
        <f>'Long-form'!BX66</f>
        <v>nd</v>
      </c>
      <c r="AE65" s="55" t="str">
        <f>'Long-form'!BY66</f>
        <v>nd</v>
      </c>
      <c r="AF65" t="str">
        <f>'Long-form'!BZ66</f>
        <v>nd</v>
      </c>
      <c r="AG65">
        <f>'Long-form'!CB66</f>
        <v>0</v>
      </c>
      <c r="AH65">
        <f>'Long-form'!CD66</f>
        <v>0</v>
      </c>
      <c r="AI65" t="e">
        <f>'Long-form'!#REF!</f>
        <v>#REF!</v>
      </c>
    </row>
    <row r="66" spans="1:35">
      <c r="A66" t="str">
        <f>'Long-form'!A67</f>
        <v>KWG-177</v>
      </c>
      <c r="B66" t="str">
        <f>'Long-form'!B67</f>
        <v>Xu et al. 1985; Li et al. 1991; Zong 2004</v>
      </c>
      <c r="C66" t="str">
        <f>'Long-form'!C67</f>
        <v>9a</v>
      </c>
      <c r="D66" t="str">
        <f>'Long-form'!D67</f>
        <v>Hong Kong</v>
      </c>
      <c r="E66" s="55">
        <f>'Long-form'!E67</f>
        <v>22.533333333333335</v>
      </c>
      <c r="F66" s="55">
        <f>'Long-form'!F67</f>
        <v>113.9</v>
      </c>
      <c r="G66" t="str">
        <f>'Long-form'!G67</f>
        <v>1 = Radiocarbon</v>
      </c>
      <c r="H66" s="56">
        <f>'Long-form'!H67</f>
        <v>2924.8105623511888</v>
      </c>
      <c r="I66" s="56">
        <f>'Long-form'!I67</f>
        <v>156.41140971971382</v>
      </c>
      <c r="J66" s="56">
        <f>'Long-form'!J67</f>
        <v>3084</v>
      </c>
      <c r="K66" s="56">
        <f>'Long-form'!K67</f>
        <v>360</v>
      </c>
      <c r="L66" s="56">
        <f>'Long-form'!L67</f>
        <v>328</v>
      </c>
      <c r="M66" s="56" t="str">
        <f>'Long-form'!Q67</f>
        <v>nd</v>
      </c>
      <c r="N66" s="55">
        <f>'Long-form'!R67</f>
        <v>3</v>
      </c>
      <c r="O66" s="55" t="str">
        <f>'Long-form'!S67</f>
        <v>nd</v>
      </c>
      <c r="P66" s="55">
        <f>'Long-form'!T67</f>
        <v>1</v>
      </c>
      <c r="Q66" s="55">
        <f>'Long-form'!AM67</f>
        <v>-6.5</v>
      </c>
      <c r="R66" s="55" t="str">
        <f>'Long-form'!AN67</f>
        <v>YSD</v>
      </c>
      <c r="S66" s="55">
        <f>'Long-form'!AP67</f>
        <v>0.53730810528038753</v>
      </c>
      <c r="T66" s="55">
        <f>'Long-form'!AQ67</f>
        <v>0.53730810528038753</v>
      </c>
      <c r="U66" t="str">
        <f>'Long-form'!BC67</f>
        <v>-1</v>
      </c>
      <c r="V66" t="str">
        <f>'Long-form'!BD67</f>
        <v>5 = Sedimentary (e.g., deltaic, estuarine, wetland, lacustrine, marine facies)</v>
      </c>
      <c r="W66" t="str">
        <f>'Long-form'!BE67</f>
        <v>Subtidal deposit</v>
      </c>
      <c r="X66" t="str">
        <f>'Long-form'!BF67</f>
        <v>sediment texture and diatom assemblage</v>
      </c>
      <c r="Y66" t="str">
        <f>'Long-form'!BH67</f>
        <v>&lt;MTL</v>
      </c>
      <c r="Z66" s="55">
        <f>'Long-form'!BT67</f>
        <v>-6.4699470740000002</v>
      </c>
      <c r="AA66" s="55">
        <f>'Long-form'!BU67</f>
        <v>0.53962950252928166</v>
      </c>
      <c r="AB66" s="55">
        <f>'Long-form'!BV67</f>
        <v>0.53962950252928166</v>
      </c>
      <c r="AC66" s="55" t="str">
        <f>'Long-form'!BW67</f>
        <v>nd</v>
      </c>
      <c r="AD66" s="55" t="str">
        <f>'Long-form'!BX67</f>
        <v>nd</v>
      </c>
      <c r="AE66" s="55" t="str">
        <f>'Long-form'!BY67</f>
        <v>nd</v>
      </c>
      <c r="AF66" t="str">
        <f>'Long-form'!BZ67</f>
        <v>nd</v>
      </c>
      <c r="AG66">
        <f>'Long-form'!CB67</f>
        <v>0</v>
      </c>
      <c r="AH66" t="str">
        <f>'Long-form'!CD67</f>
        <v>Inconsistent elevation</v>
      </c>
      <c r="AI66" t="e">
        <f>'Long-form'!#REF!</f>
        <v>#REF!</v>
      </c>
    </row>
    <row r="67" spans="1:35">
      <c r="A67" t="str">
        <f>'Long-form'!A68</f>
        <v>Beta-429246</v>
      </c>
      <c r="B67" t="str">
        <f>'Long-form'!B68</f>
        <v>Xiong et al 2018</v>
      </c>
      <c r="C67" t="str">
        <f>'Long-form'!C68</f>
        <v>9a</v>
      </c>
      <c r="D67" t="str">
        <f>'Long-form'!D68</f>
        <v>Hong Kong</v>
      </c>
      <c r="E67" s="55">
        <f>'Long-form'!E68</f>
        <v>22.201667</v>
      </c>
      <c r="F67" s="55">
        <f>'Long-form'!F68</f>
        <v>113.896111</v>
      </c>
      <c r="G67" t="str">
        <f>'Long-form'!G68</f>
        <v>1 = Radiocarbon</v>
      </c>
      <c r="H67" s="56">
        <f>'Long-form'!H68</f>
        <v>9290</v>
      </c>
      <c r="I67" s="56">
        <f>'Long-form'!I68</f>
        <v>40</v>
      </c>
      <c r="J67" s="56">
        <f>'Long-form'!J68</f>
        <v>10480</v>
      </c>
      <c r="K67" s="56">
        <f>'Long-form'!K68</f>
        <v>161</v>
      </c>
      <c r="L67" s="56">
        <f>'Long-form'!L68</f>
        <v>182</v>
      </c>
      <c r="M67" s="56" t="str">
        <f>'Long-form'!Q68</f>
        <v>transgressive</v>
      </c>
      <c r="N67" s="55">
        <f>'Long-form'!R68</f>
        <v>41.7</v>
      </c>
      <c r="O67" s="55" t="str">
        <f>'Long-form'!S68</f>
        <v>nd</v>
      </c>
      <c r="P67" s="55">
        <f>'Long-form'!T68</f>
        <v>1</v>
      </c>
      <c r="Q67" s="55">
        <f>'Long-form'!AM68</f>
        <v>-51.5</v>
      </c>
      <c r="R67" s="55" t="str">
        <f>'Long-form'!AN68</f>
        <v>YSD</v>
      </c>
      <c r="S67" s="55">
        <f>'Long-form'!AP68</f>
        <v>0.85421367350329869</v>
      </c>
      <c r="T67" s="55">
        <f>'Long-form'!AQ68</f>
        <v>0.85421367350329869</v>
      </c>
      <c r="U67" t="str">
        <f>'Long-form'!BC68</f>
        <v>0</v>
      </c>
      <c r="V67" t="str">
        <f>'Long-form'!BD68</f>
        <v>5 = Sedimentary (e.g., deltaic, estuarine, wetland, lacustrine, marine facies)</v>
      </c>
      <c r="W67" t="str">
        <f>'Long-form'!BE68</f>
        <v>Tidal flat deposit</v>
      </c>
      <c r="X67" t="str">
        <f>'Long-form'!BF68</f>
        <v>sediment texture and diatom assemblage</v>
      </c>
      <c r="Y67" t="str">
        <f>'Long-form'!BH68</f>
        <v>HAT-LAT</v>
      </c>
      <c r="Z67" s="55">
        <f>'Long-form'!BT68</f>
        <v>-51.533545326499997</v>
      </c>
      <c r="AA67" s="55">
        <f>'Long-form'!BU68</f>
        <v>1.6024976327615583</v>
      </c>
      <c r="AB67" s="55">
        <f>'Long-form'!BV68</f>
        <v>1.6024976327615583</v>
      </c>
      <c r="AC67" s="55" t="str">
        <f>'Long-form'!BW68</f>
        <v>nd</v>
      </c>
      <c r="AD67" s="55" t="str">
        <f>'Long-form'!BX68</f>
        <v>nd</v>
      </c>
      <c r="AE67" s="55" t="str">
        <f>'Long-form'!BY68</f>
        <v>nd</v>
      </c>
      <c r="AF67" t="str">
        <f>'Long-form'!BZ68</f>
        <v>nd</v>
      </c>
      <c r="AG67">
        <f>'Long-form'!CB68</f>
        <v>0</v>
      </c>
      <c r="AH67">
        <f>'Long-form'!CD68</f>
        <v>0</v>
      </c>
      <c r="AI67" t="e">
        <f>'Long-form'!#REF!</f>
        <v>#REF!</v>
      </c>
    </row>
    <row r="68" spans="1:35">
      <c r="A68" t="str">
        <f>'Long-form'!A69</f>
        <v>Beta-429245</v>
      </c>
      <c r="B68" t="str">
        <f>'Long-form'!B69</f>
        <v>Xiong et al 2018</v>
      </c>
      <c r="C68" t="str">
        <f>'Long-form'!C69</f>
        <v>9a</v>
      </c>
      <c r="D68" t="str">
        <f>'Long-form'!D69</f>
        <v>Hong Kong</v>
      </c>
      <c r="E68" s="55">
        <f>'Long-form'!E69</f>
        <v>22.201667</v>
      </c>
      <c r="F68" s="55">
        <f>'Long-form'!F69</f>
        <v>113.896111</v>
      </c>
      <c r="G68" t="str">
        <f>'Long-form'!G69</f>
        <v>1 = Radiocarbon</v>
      </c>
      <c r="H68" s="56">
        <f>'Long-form'!H69</f>
        <v>9230</v>
      </c>
      <c r="I68" s="56">
        <f>'Long-form'!I69</f>
        <v>30</v>
      </c>
      <c r="J68" s="56">
        <f>'Long-form'!J69</f>
        <v>10390</v>
      </c>
      <c r="K68" s="56">
        <f>'Long-form'!K69</f>
        <v>110</v>
      </c>
      <c r="L68" s="56">
        <f>'Long-form'!L69</f>
        <v>126</v>
      </c>
      <c r="M68" s="56" t="str">
        <f>'Long-form'!Q69</f>
        <v>transgressive</v>
      </c>
      <c r="N68" s="55">
        <f>'Long-form'!R69</f>
        <v>41</v>
      </c>
      <c r="O68" s="55" t="str">
        <f>'Long-form'!S69</f>
        <v>nd</v>
      </c>
      <c r="P68" s="55">
        <f>'Long-form'!T69</f>
        <v>1</v>
      </c>
      <c r="Q68" s="55">
        <f>'Long-form'!AM69</f>
        <v>-50.8</v>
      </c>
      <c r="R68" s="55" t="str">
        <f>'Long-form'!AN69</f>
        <v>YSD</v>
      </c>
      <c r="S68" s="55">
        <f>'Long-form'!AP69</f>
        <v>0.84055041490680393</v>
      </c>
      <c r="T68" s="55">
        <f>'Long-form'!AQ69</f>
        <v>0.84055041490680393</v>
      </c>
      <c r="U68" t="str">
        <f>'Long-form'!BC69</f>
        <v>0</v>
      </c>
      <c r="V68" t="str">
        <f>'Long-form'!BD69</f>
        <v>5 = Sedimentary (e.g., deltaic, estuarine, wetland, lacustrine, marine facies)</v>
      </c>
      <c r="W68" t="str">
        <f>'Long-form'!BE69</f>
        <v>Tidal flat deposit</v>
      </c>
      <c r="X68" t="str">
        <f>'Long-form'!BF69</f>
        <v>sediment texture and diatom assemblage</v>
      </c>
      <c r="Y68" t="str">
        <f>'Long-form'!BH69</f>
        <v>HAT-LAT</v>
      </c>
      <c r="Z68" s="55">
        <f>'Long-form'!BT69</f>
        <v>-50.833545326499994</v>
      </c>
      <c r="AA68" s="55">
        <f>'Long-form'!BU69</f>
        <v>1.5952563000992657</v>
      </c>
      <c r="AB68" s="55">
        <f>'Long-form'!BV69</f>
        <v>1.5952563000992657</v>
      </c>
      <c r="AC68" s="55" t="str">
        <f>'Long-form'!BW69</f>
        <v>nd</v>
      </c>
      <c r="AD68" s="55" t="str">
        <f>'Long-form'!BX69</f>
        <v>nd</v>
      </c>
      <c r="AE68" s="55" t="str">
        <f>'Long-form'!BY69</f>
        <v>nd</v>
      </c>
      <c r="AF68" t="str">
        <f>'Long-form'!BZ69</f>
        <v>nd</v>
      </c>
      <c r="AG68">
        <f>'Long-form'!CB69</f>
        <v>0</v>
      </c>
      <c r="AH68">
        <f>'Long-form'!CD69</f>
        <v>0</v>
      </c>
      <c r="AI68" t="e">
        <f>'Long-form'!#REF!</f>
        <v>#REF!</v>
      </c>
    </row>
    <row r="69" spans="1:35">
      <c r="A69" t="str">
        <f>'Long-form'!A70</f>
        <v>Beta-429247</v>
      </c>
      <c r="B69" t="str">
        <f>'Long-form'!B70</f>
        <v>Xiong et al 2018</v>
      </c>
      <c r="C69" t="str">
        <f>'Long-form'!C70</f>
        <v>9a</v>
      </c>
      <c r="D69" t="str">
        <f>'Long-form'!D70</f>
        <v>Hong Kong</v>
      </c>
      <c r="E69" s="55">
        <f>'Long-form'!E70</f>
        <v>22.201667</v>
      </c>
      <c r="F69" s="55">
        <f>'Long-form'!F70</f>
        <v>113.896111</v>
      </c>
      <c r="G69" t="str">
        <f>'Long-form'!G70</f>
        <v>1 = Radiocarbon</v>
      </c>
      <c r="H69" s="56">
        <f>'Long-form'!H70</f>
        <v>9350</v>
      </c>
      <c r="I69" s="56">
        <f>'Long-form'!I70</f>
        <v>30</v>
      </c>
      <c r="J69" s="56">
        <f>'Long-form'!J70</f>
        <v>10560</v>
      </c>
      <c r="K69" s="56">
        <f>'Long-form'!K70</f>
        <v>101</v>
      </c>
      <c r="L69" s="56">
        <f>'Long-form'!L70</f>
        <v>123</v>
      </c>
      <c r="M69" s="56" t="str">
        <f>'Long-form'!Q70</f>
        <v>transgressive</v>
      </c>
      <c r="N69" s="55">
        <f>'Long-form'!R70</f>
        <v>42.099999999999994</v>
      </c>
      <c r="O69" s="55" t="str">
        <f>'Long-form'!S70</f>
        <v>nd</v>
      </c>
      <c r="P69" s="55">
        <f>'Long-form'!T70</f>
        <v>0</v>
      </c>
      <c r="Q69" s="55">
        <f>'Long-form'!AM70</f>
        <v>-51.9</v>
      </c>
      <c r="R69" s="55" t="str">
        <f>'Long-form'!AN70</f>
        <v>YSD</v>
      </c>
      <c r="S69" s="55">
        <f>'Long-form'!AP70</f>
        <v>0.86202610169298233</v>
      </c>
      <c r="T69" s="55">
        <f>'Long-form'!AQ70</f>
        <v>0.86202610169298233</v>
      </c>
      <c r="U69" t="str">
        <f>'Long-form'!BC70</f>
        <v>0</v>
      </c>
      <c r="V69" t="str">
        <f>'Long-form'!BD70</f>
        <v>5 = Sedimentary (e.g., deltaic, estuarine, wetland, lacustrine, marine facies)</v>
      </c>
      <c r="W69" t="str">
        <f>'Long-form'!BE70</f>
        <v>Tidal flat deposit</v>
      </c>
      <c r="X69" t="str">
        <f>'Long-form'!BF70</f>
        <v>sediment texture and diatom assemblage</v>
      </c>
      <c r="Y69" t="str">
        <f>'Long-form'!BH70</f>
        <v>HAT-LAT</v>
      </c>
      <c r="Z69" s="55">
        <f>'Long-form'!BT70</f>
        <v>-51.933545326499996</v>
      </c>
      <c r="AA69" s="55">
        <f>'Long-form'!BU70</f>
        <v>1.6066756558205511</v>
      </c>
      <c r="AB69" s="55">
        <f>'Long-form'!BV70</f>
        <v>1.6066756558205511</v>
      </c>
      <c r="AC69" s="55" t="str">
        <f>'Long-form'!BW70</f>
        <v>nd</v>
      </c>
      <c r="AD69" s="55" t="str">
        <f>'Long-form'!BX70</f>
        <v>nd</v>
      </c>
      <c r="AE69" s="55" t="str">
        <f>'Long-form'!BY70</f>
        <v>nd</v>
      </c>
      <c r="AF69" t="str">
        <f>'Long-form'!BZ70</f>
        <v>nd</v>
      </c>
      <c r="AG69">
        <f>'Long-form'!CB70</f>
        <v>0</v>
      </c>
      <c r="AH69">
        <f>'Long-form'!CD70</f>
        <v>0</v>
      </c>
      <c r="AI69" t="e">
        <f>'Long-form'!#REF!</f>
        <v>#REF!</v>
      </c>
    </row>
    <row r="70" spans="1:35">
      <c r="A70" t="str">
        <f>'Long-form'!A71</f>
        <v>Beta-429249</v>
      </c>
      <c r="B70" t="str">
        <f>'Long-form'!B71</f>
        <v>Xiong et al 2018</v>
      </c>
      <c r="C70" t="str">
        <f>'Long-form'!C71</f>
        <v>9a</v>
      </c>
      <c r="D70" t="str">
        <f>'Long-form'!D71</f>
        <v>Hong Kong</v>
      </c>
      <c r="E70" s="55">
        <f>'Long-form'!E71</f>
        <v>22.209</v>
      </c>
      <c r="F70" s="55">
        <f>'Long-form'!F71</f>
        <v>113.892</v>
      </c>
      <c r="G70" t="str">
        <f>'Long-form'!G71</f>
        <v>1 = Radiocarbon</v>
      </c>
      <c r="H70" s="56">
        <f>'Long-form'!H71</f>
        <v>8910</v>
      </c>
      <c r="I70" s="56">
        <f>'Long-form'!I71</f>
        <v>40</v>
      </c>
      <c r="J70" s="56">
        <f>'Long-form'!J71</f>
        <v>10037</v>
      </c>
      <c r="K70" s="56">
        <f>'Long-form'!K71</f>
        <v>153</v>
      </c>
      <c r="L70" s="56">
        <f>'Long-form'!L71</f>
        <v>137</v>
      </c>
      <c r="M70" s="56" t="str">
        <f>'Long-form'!Q71</f>
        <v>transgressive</v>
      </c>
      <c r="N70" s="55">
        <f>'Long-form'!R71</f>
        <v>34.86</v>
      </c>
      <c r="O70" s="55" t="str">
        <f>'Long-form'!S71</f>
        <v>nd</v>
      </c>
      <c r="P70" s="55">
        <f>'Long-form'!T71</f>
        <v>1</v>
      </c>
      <c r="Q70" s="55">
        <f>'Long-form'!AM71</f>
        <v>-43.26</v>
      </c>
      <c r="R70" s="55" t="str">
        <f>'Long-form'!AN71</f>
        <v>YSD</v>
      </c>
      <c r="S70" s="55">
        <f>'Long-form'!AP71</f>
        <v>0.72125781798189204</v>
      </c>
      <c r="T70" s="55">
        <f>'Long-form'!AQ71</f>
        <v>0.72125781798189204</v>
      </c>
      <c r="U70" t="str">
        <f>'Long-form'!BC71</f>
        <v>0</v>
      </c>
      <c r="V70" t="str">
        <f>'Long-form'!BD71</f>
        <v>5 = Sedimentary (e.g., deltaic, estuarine, wetland, lacustrine, marine facies)</v>
      </c>
      <c r="W70" t="str">
        <f>'Long-form'!BE71</f>
        <v>Tidal flat deposit</v>
      </c>
      <c r="X70" t="str">
        <f>'Long-form'!BF71</f>
        <v>sediment texture and diatom assemblage</v>
      </c>
      <c r="Y70" t="str">
        <f>'Long-form'!BH71</f>
        <v>HAT-LAT</v>
      </c>
      <c r="Z70" s="55">
        <f>'Long-form'!BT71</f>
        <v>-43.297028557499999</v>
      </c>
      <c r="AA70" s="55">
        <f>'Long-form'!BU71</f>
        <v>1.4587452362891316</v>
      </c>
      <c r="AB70" s="55">
        <f>'Long-form'!BV71</f>
        <v>1.4587452362891316</v>
      </c>
      <c r="AC70" s="55" t="str">
        <f>'Long-form'!BW71</f>
        <v>nd</v>
      </c>
      <c r="AD70" s="55" t="str">
        <f>'Long-form'!BX71</f>
        <v>nd</v>
      </c>
      <c r="AE70" s="55" t="str">
        <f>'Long-form'!BY71</f>
        <v>nd</v>
      </c>
      <c r="AF70" t="str">
        <f>'Long-form'!BZ71</f>
        <v>nd</v>
      </c>
      <c r="AG70">
        <f>'Long-form'!CB71</f>
        <v>0</v>
      </c>
      <c r="AH70">
        <f>'Long-form'!CD71</f>
        <v>0</v>
      </c>
      <c r="AI70" t="e">
        <f>'Long-form'!#REF!</f>
        <v>#REF!</v>
      </c>
    </row>
    <row r="71" spans="1:35">
      <c r="A71" t="str">
        <f>'Long-form'!A72</f>
        <v>Beta-429248</v>
      </c>
      <c r="B71" t="str">
        <f>'Long-form'!B72</f>
        <v>Xiong et al 2018</v>
      </c>
      <c r="C71" t="str">
        <f>'Long-form'!C72</f>
        <v>9a</v>
      </c>
      <c r="D71" t="str">
        <f>'Long-form'!D72</f>
        <v>Hong Kong</v>
      </c>
      <c r="E71" s="55">
        <f>'Long-form'!E72</f>
        <v>22.208611000000001</v>
      </c>
      <c r="F71" s="55">
        <f>'Long-form'!F72</f>
        <v>113.891667</v>
      </c>
      <c r="G71" t="str">
        <f>'Long-form'!G72</f>
        <v>1 = Radiocarbon</v>
      </c>
      <c r="H71" s="56">
        <f>'Long-form'!H72</f>
        <v>8880</v>
      </c>
      <c r="I71" s="56">
        <f>'Long-form'!I72</f>
        <v>30</v>
      </c>
      <c r="J71" s="56">
        <f>'Long-form'!J72</f>
        <v>10024</v>
      </c>
      <c r="K71" s="56">
        <f>'Long-form'!K72</f>
        <v>152</v>
      </c>
      <c r="L71" s="56">
        <f>'Long-form'!L72</f>
        <v>203</v>
      </c>
      <c r="M71" s="56" t="str">
        <f>'Long-form'!Q72</f>
        <v>transgressive</v>
      </c>
      <c r="N71" s="55">
        <f>'Long-form'!R72</f>
        <v>34.54</v>
      </c>
      <c r="O71" s="55" t="str">
        <f>'Long-form'!S72</f>
        <v>nd</v>
      </c>
      <c r="P71" s="55">
        <f>'Long-form'!T72</f>
        <v>1</v>
      </c>
      <c r="Q71" s="55">
        <f>'Long-form'!AM72</f>
        <v>-42.94</v>
      </c>
      <c r="R71" s="55" t="str">
        <f>'Long-form'!AN72</f>
        <v>YSD</v>
      </c>
      <c r="S71" s="55">
        <f>'Long-form'!AP72</f>
        <v>0.7150731710811139</v>
      </c>
      <c r="T71" s="55">
        <f>'Long-form'!AQ72</f>
        <v>0.7150731710811139</v>
      </c>
      <c r="U71" t="str">
        <f>'Long-form'!BC72</f>
        <v>0</v>
      </c>
      <c r="V71" t="str">
        <f>'Long-form'!BD72</f>
        <v>5 = Sedimentary (e.g., deltaic, estuarine, wetland, lacustrine, marine facies)</v>
      </c>
      <c r="W71" t="str">
        <f>'Long-form'!BE72</f>
        <v>Tidal flat deposit</v>
      </c>
      <c r="X71" t="str">
        <f>'Long-form'!BF72</f>
        <v>sediment texture and diatom assemblage</v>
      </c>
      <c r="Y71" t="str">
        <f>'Long-form'!BH72</f>
        <v>HAT-LAT</v>
      </c>
      <c r="Z71" s="55">
        <f>'Long-form'!BT72</f>
        <v>-42.977006583999994</v>
      </c>
      <c r="AA71" s="55">
        <f>'Long-form'!BU72</f>
        <v>1.4558394090605522</v>
      </c>
      <c r="AB71" s="55">
        <f>'Long-form'!BV72</f>
        <v>1.4558394090605522</v>
      </c>
      <c r="AC71" s="55" t="str">
        <f>'Long-form'!BW72</f>
        <v>nd</v>
      </c>
      <c r="AD71" s="55" t="str">
        <f>'Long-form'!BX72</f>
        <v>nd</v>
      </c>
      <c r="AE71" s="55" t="str">
        <f>'Long-form'!BY72</f>
        <v>nd</v>
      </c>
      <c r="AF71" t="str">
        <f>'Long-form'!BZ72</f>
        <v>nd</v>
      </c>
      <c r="AG71">
        <f>'Long-form'!CB72</f>
        <v>0</v>
      </c>
      <c r="AH71">
        <f>'Long-form'!CD72</f>
        <v>0</v>
      </c>
      <c r="AI71" t="e">
        <f>'Long-form'!#REF!</f>
        <v>#REF!</v>
      </c>
    </row>
    <row r="72" spans="1:35">
      <c r="A72" t="str">
        <f>'Long-form'!A73</f>
        <v>Beta-429255</v>
      </c>
      <c r="B72" t="str">
        <f>'Long-form'!B73</f>
        <v>Xiong et al 2018</v>
      </c>
      <c r="C72" t="str">
        <f>'Long-form'!C73</f>
        <v>9a</v>
      </c>
      <c r="D72" t="str">
        <f>'Long-form'!D73</f>
        <v>Hong Kong</v>
      </c>
      <c r="E72" s="55">
        <f>'Long-form'!E73</f>
        <v>22.21</v>
      </c>
      <c r="F72" s="55">
        <f>'Long-form'!F73</f>
        <v>113.89</v>
      </c>
      <c r="G72" t="str">
        <f>'Long-form'!G73</f>
        <v>1 = Radiocarbon</v>
      </c>
      <c r="H72" s="56">
        <f>'Long-form'!H73</f>
        <v>8570</v>
      </c>
      <c r="I72" s="56">
        <f>'Long-form'!I73</f>
        <v>40</v>
      </c>
      <c r="J72" s="56">
        <f>'Long-form'!J73</f>
        <v>9536</v>
      </c>
      <c r="K72" s="56">
        <f>'Long-form'!K73</f>
        <v>121</v>
      </c>
      <c r="L72" s="56">
        <f>'Long-form'!L73</f>
        <v>59</v>
      </c>
      <c r="M72" s="56" t="str">
        <f>'Long-form'!Q73</f>
        <v>transgressive</v>
      </c>
      <c r="N72" s="55">
        <f>'Long-form'!R73</f>
        <v>24.91</v>
      </c>
      <c r="O72" s="55">
        <f>'Long-form'!S73</f>
        <v>0.95999999999999375</v>
      </c>
      <c r="P72" s="55">
        <f>'Long-form'!T73</f>
        <v>1</v>
      </c>
      <c r="Q72" s="55">
        <f>'Long-form'!AM73</f>
        <v>-31.71</v>
      </c>
      <c r="R72" s="55" t="str">
        <f>'Long-form'!AN73</f>
        <v>YSD</v>
      </c>
      <c r="S72" s="55">
        <f>'Long-form'!AP73</f>
        <v>0.53134568785302105</v>
      </c>
      <c r="T72" s="55">
        <f>'Long-form'!AQ73</f>
        <v>0.53134568785302105</v>
      </c>
      <c r="U72" t="str">
        <f>'Long-form'!BC73</f>
        <v>0</v>
      </c>
      <c r="V72" t="str">
        <f>'Long-form'!BD73</f>
        <v>5 = Sedimentary (e.g., deltaic, estuarine, wetland, lacustrine, marine facies)</v>
      </c>
      <c r="W72" t="str">
        <f>'Long-form'!BE73</f>
        <v>Tidal flat deposit</v>
      </c>
      <c r="X72" t="str">
        <f>'Long-form'!BF73</f>
        <v>sediment texture and diatom assemblage</v>
      </c>
      <c r="Y72" t="str">
        <f>'Long-form'!BH73</f>
        <v>HAT-LAT</v>
      </c>
      <c r="Z72" s="55">
        <f>'Long-form'!BT73</f>
        <v>-31.747837596</v>
      </c>
      <c r="AA72" s="55">
        <f>'Long-form'!BU73</f>
        <v>1.4009337363581467</v>
      </c>
      <c r="AB72" s="55">
        <f>'Long-form'!BV73</f>
        <v>1.4009337363581467</v>
      </c>
      <c r="AC72" s="55" t="str">
        <f>'Long-form'!BW73</f>
        <v>nd</v>
      </c>
      <c r="AD72" s="55" t="str">
        <f>'Long-form'!BX73</f>
        <v>nd</v>
      </c>
      <c r="AE72" s="55" t="str">
        <f>'Long-form'!BY73</f>
        <v>nd</v>
      </c>
      <c r="AF72" t="str">
        <f>'Long-form'!BZ73</f>
        <v>nd</v>
      </c>
      <c r="AG72">
        <f>'Long-form'!CB73</f>
        <v>0</v>
      </c>
      <c r="AH72">
        <f>'Long-form'!CD73</f>
        <v>0</v>
      </c>
      <c r="AI72" t="e">
        <f>'Long-form'!#REF!</f>
        <v>#REF!</v>
      </c>
    </row>
    <row r="73" spans="1:35">
      <c r="A73" t="str">
        <f>'Long-form'!A74</f>
        <v>Beta-429256</v>
      </c>
      <c r="B73" t="str">
        <f>'Long-form'!B74</f>
        <v>Xiong et al 2018</v>
      </c>
      <c r="C73" t="str">
        <f>'Long-form'!C74</f>
        <v>9a</v>
      </c>
      <c r="D73" t="str">
        <f>'Long-form'!D74</f>
        <v>Hong Kong</v>
      </c>
      <c r="E73" s="55">
        <f>'Long-form'!E74</f>
        <v>22.21</v>
      </c>
      <c r="F73" s="55">
        <f>'Long-form'!F74</f>
        <v>113.89</v>
      </c>
      <c r="G73" t="str">
        <f>'Long-form'!G74</f>
        <v>1 = Radiocarbon</v>
      </c>
      <c r="H73" s="56">
        <f>'Long-form'!H74</f>
        <v>8710</v>
      </c>
      <c r="I73" s="56">
        <f>'Long-form'!I74</f>
        <v>30</v>
      </c>
      <c r="J73" s="56">
        <f>'Long-form'!J74</f>
        <v>9641</v>
      </c>
      <c r="K73" s="56">
        <f>'Long-form'!K74</f>
        <v>238</v>
      </c>
      <c r="L73" s="56">
        <f>'Long-form'!L74</f>
        <v>93</v>
      </c>
      <c r="M73" s="56" t="str">
        <f>'Long-form'!Q74</f>
        <v>transgressive</v>
      </c>
      <c r="N73" s="55">
        <f>'Long-form'!R74</f>
        <v>25.73</v>
      </c>
      <c r="O73" s="55">
        <f>'Long-form'!S74</f>
        <v>0.13999999999999346</v>
      </c>
      <c r="P73" s="55">
        <f>'Long-form'!T74</f>
        <v>0</v>
      </c>
      <c r="Q73" s="55">
        <f>'Long-form'!AM74</f>
        <v>-32.53</v>
      </c>
      <c r="R73" s="55" t="str">
        <f>'Long-form'!AN74</f>
        <v>YSD</v>
      </c>
      <c r="S73" s="55">
        <f>'Long-form'!AP74</f>
        <v>0.54675237539493149</v>
      </c>
      <c r="T73" s="55">
        <f>'Long-form'!AQ74</f>
        <v>0.54675237539493149</v>
      </c>
      <c r="U73" t="str">
        <f>'Long-form'!BC74</f>
        <v>0</v>
      </c>
      <c r="V73" t="str">
        <f>'Long-form'!BD74</f>
        <v>5 = Sedimentary (e.g., deltaic, estuarine, wetland, lacustrine, marine facies)</v>
      </c>
      <c r="W73" t="str">
        <f>'Long-form'!BE74</f>
        <v>Tidal flat deposit</v>
      </c>
      <c r="X73" t="str">
        <f>'Long-form'!BF74</f>
        <v>sediment texture and diatom assemblage</v>
      </c>
      <c r="Y73" t="str">
        <f>'Long-form'!BH74</f>
        <v>HAT-LAT</v>
      </c>
      <c r="Z73" s="55">
        <f>'Long-form'!BT74</f>
        <v>-32.567837596000004</v>
      </c>
      <c r="AA73" s="55">
        <f>'Long-form'!BU74</f>
        <v>1.4068494068898765</v>
      </c>
      <c r="AB73" s="55">
        <f>'Long-form'!BV74</f>
        <v>1.4068494068898765</v>
      </c>
      <c r="AC73" s="55" t="str">
        <f>'Long-form'!BW74</f>
        <v>nd</v>
      </c>
      <c r="AD73" s="55" t="str">
        <f>'Long-form'!BX74</f>
        <v>nd</v>
      </c>
      <c r="AE73" s="55" t="str">
        <f>'Long-form'!BY74</f>
        <v>nd</v>
      </c>
      <c r="AF73" t="str">
        <f>'Long-form'!BZ74</f>
        <v>nd</v>
      </c>
      <c r="AG73">
        <f>'Long-form'!CB74</f>
        <v>0</v>
      </c>
      <c r="AH73">
        <f>'Long-form'!CD74</f>
        <v>0</v>
      </c>
      <c r="AI73" t="e">
        <f>'Long-form'!#REF!</f>
        <v>#REF!</v>
      </c>
    </row>
    <row r="74" spans="1:35">
      <c r="A74" t="str">
        <f>'Long-form'!A75</f>
        <v>KWG-219</v>
      </c>
      <c r="B74" t="str">
        <f>'Long-form'!B75</f>
        <v>Huang et al. 1983</v>
      </c>
      <c r="C74" t="str">
        <f>'Long-form'!C75</f>
        <v>9a</v>
      </c>
      <c r="D74" t="str">
        <f>'Long-form'!D75</f>
        <v>Hong Kong</v>
      </c>
      <c r="E74" s="55">
        <f>'Long-form'!E75</f>
        <v>22.45</v>
      </c>
      <c r="F74" s="55">
        <f>'Long-form'!F75</f>
        <v>113.88333333333334</v>
      </c>
      <c r="G74" t="str">
        <f>'Long-form'!G75</f>
        <v>1 = Radiocarbon</v>
      </c>
      <c r="H74" s="56">
        <f>'Long-form'!H75</f>
        <v>6498.8105623511883</v>
      </c>
      <c r="I74" s="56">
        <f>'Long-form'!I75</f>
        <v>206.06923373106474</v>
      </c>
      <c r="J74" s="56">
        <f>'Long-form'!J75</f>
        <v>7378</v>
      </c>
      <c r="K74" s="56">
        <f>'Long-form'!K75</f>
        <v>397</v>
      </c>
      <c r="L74" s="56">
        <f>'Long-form'!L75</f>
        <v>476</v>
      </c>
      <c r="M74" s="56">
        <f>'Long-form'!Q75</f>
        <v>0</v>
      </c>
      <c r="N74" s="55">
        <f>'Long-form'!R75</f>
        <v>8.9</v>
      </c>
      <c r="O74" s="55">
        <f>'Long-form'!S75</f>
        <v>6.1</v>
      </c>
      <c r="P74" s="55">
        <f>'Long-form'!T75</f>
        <v>1</v>
      </c>
      <c r="Q74" s="55">
        <f>'Long-form'!AM75</f>
        <v>-10.1</v>
      </c>
      <c r="R74" s="55" t="str">
        <f>'Long-form'!AN75</f>
        <v>YSD</v>
      </c>
      <c r="S74" s="55">
        <f>'Long-form'!AP75</f>
        <v>0.56283567761825481</v>
      </c>
      <c r="T74" s="55">
        <f>'Long-form'!AQ75</f>
        <v>0.56283567761825481</v>
      </c>
      <c r="U74" t="str">
        <f>'Long-form'!BC75</f>
        <v>-1</v>
      </c>
      <c r="V74" t="str">
        <f>'Long-form'!BD75</f>
        <v>5 = Sedimentary (e.g., deltaic, estuarine, wetland, lacustrine, marine facies)</v>
      </c>
      <c r="W74" t="str">
        <f>'Long-form'!BE75</f>
        <v>Subtidal deposit</v>
      </c>
      <c r="X74" t="str">
        <f>'Long-form'!BF75</f>
        <v>sediment texture</v>
      </c>
      <c r="Y74" t="str">
        <f>'Long-form'!BH75</f>
        <v>&lt;MTL</v>
      </c>
      <c r="Z74" s="55">
        <f>'Long-form'!BT75</f>
        <v>-10.064336585</v>
      </c>
      <c r="AA74" s="55">
        <f>'Long-form'!BU75</f>
        <v>0.56505220997709593</v>
      </c>
      <c r="AB74" s="55">
        <f>'Long-form'!BV75</f>
        <v>0.56505220997709593</v>
      </c>
      <c r="AC74" s="55" t="str">
        <f>'Long-form'!BW75</f>
        <v>nd</v>
      </c>
      <c r="AD74" s="55" t="str">
        <f>'Long-form'!BX75</f>
        <v>nd</v>
      </c>
      <c r="AE74" s="55" t="str">
        <f>'Long-form'!BY75</f>
        <v>nd</v>
      </c>
      <c r="AF74" t="str">
        <f>'Long-form'!BZ75</f>
        <v>nd</v>
      </c>
      <c r="AG74">
        <f>'Long-form'!CB75</f>
        <v>0</v>
      </c>
      <c r="AH74">
        <f>'Long-form'!CD75</f>
        <v>0</v>
      </c>
      <c r="AI74" t="e">
        <f>'Long-form'!#REF!</f>
        <v>#REF!</v>
      </c>
    </row>
    <row r="75" spans="1:35">
      <c r="A75" t="str">
        <f>'Long-form'!A76</f>
        <v>KWG-186</v>
      </c>
      <c r="B75" t="str">
        <f>'Long-form'!B76</f>
        <v>Huang et al. 1986</v>
      </c>
      <c r="C75" t="str">
        <f>'Long-form'!C76</f>
        <v>9a</v>
      </c>
      <c r="D75" t="str">
        <f>'Long-form'!D76</f>
        <v>Hong Kong</v>
      </c>
      <c r="E75" s="55">
        <f>'Long-form'!E76</f>
        <v>22.45</v>
      </c>
      <c r="F75" s="55">
        <f>'Long-form'!F76</f>
        <v>113.88333333333334</v>
      </c>
      <c r="G75" t="str">
        <f>'Long-form'!G76</f>
        <v>1 = Radiocarbon</v>
      </c>
      <c r="H75" s="56">
        <f>'Long-form'!H76</f>
        <v>7108.810562351191</v>
      </c>
      <c r="I75" s="56">
        <f>'Long-form'!I76</f>
        <v>188.85054696904689</v>
      </c>
      <c r="J75" s="56">
        <f>'Long-form'!J76</f>
        <v>7931</v>
      </c>
      <c r="K75" s="56">
        <f>'Long-form'!K76</f>
        <v>394</v>
      </c>
      <c r="L75" s="56">
        <f>'Long-form'!L76</f>
        <v>325</v>
      </c>
      <c r="M75" s="56" t="str">
        <f>'Long-form'!Q76</f>
        <v>transgressive</v>
      </c>
      <c r="N75" s="55">
        <f>'Long-form'!R76</f>
        <v>14</v>
      </c>
      <c r="O75" s="55">
        <f>'Long-form'!S76</f>
        <v>1.7</v>
      </c>
      <c r="P75" s="55">
        <f>'Long-form'!T76</f>
        <v>0</v>
      </c>
      <c r="Q75" s="55">
        <f>'Long-form'!AM76</f>
        <v>-15.1</v>
      </c>
      <c r="R75" s="55" t="str">
        <f>'Long-form'!AN76</f>
        <v>YSD</v>
      </c>
      <c r="S75" s="55">
        <f>'Long-form'!AP76</f>
        <v>0.60290961179931446</v>
      </c>
      <c r="T75" s="55">
        <f>'Long-form'!AQ76</f>
        <v>0.60290961179931446</v>
      </c>
      <c r="U75" t="str">
        <f>'Long-form'!BC76</f>
        <v>-1</v>
      </c>
      <c r="V75" t="str">
        <f>'Long-form'!BD76</f>
        <v>5 = Sedimentary (e.g., deltaic, estuarine, wetland, lacustrine, marine facies)</v>
      </c>
      <c r="W75" t="str">
        <f>'Long-form'!BE76</f>
        <v>Subtidal deposit</v>
      </c>
      <c r="X75" t="str">
        <f>'Long-form'!BF76</f>
        <v>sediment texture</v>
      </c>
      <c r="Y75" t="str">
        <f>'Long-form'!BH76</f>
        <v>&lt;MTL</v>
      </c>
      <c r="Z75" s="55">
        <f>'Long-form'!BT76</f>
        <v>-15.064336585</v>
      </c>
      <c r="AA75" s="55">
        <f>'Long-form'!BU76</f>
        <v>0.60497933849016694</v>
      </c>
      <c r="AB75" s="55">
        <f>'Long-form'!BV76</f>
        <v>0.60497933849016694</v>
      </c>
      <c r="AC75" s="55" t="str">
        <f>'Long-form'!BW76</f>
        <v>nd</v>
      </c>
      <c r="AD75" s="55" t="str">
        <f>'Long-form'!BX76</f>
        <v>nd</v>
      </c>
      <c r="AE75" s="55" t="str">
        <f>'Long-form'!BY76</f>
        <v>nd</v>
      </c>
      <c r="AF75" t="str">
        <f>'Long-form'!BZ76</f>
        <v>nd</v>
      </c>
      <c r="AG75">
        <f>'Long-form'!CB76</f>
        <v>0</v>
      </c>
      <c r="AH75">
        <f>'Long-form'!CD76</f>
        <v>0</v>
      </c>
      <c r="AI75" t="e">
        <f>'Long-form'!#REF!</f>
        <v>#REF!</v>
      </c>
    </row>
    <row r="76" spans="1:35">
      <c r="A76" t="str">
        <f>'Long-form'!A77</f>
        <v>KWG-237</v>
      </c>
      <c r="B76" t="str">
        <f>'Long-form'!B77</f>
        <v>Li et al. 1991; Zong 2004</v>
      </c>
      <c r="C76" t="str">
        <f>'Long-form'!C77</f>
        <v>9a</v>
      </c>
      <c r="D76" t="str">
        <f>'Long-form'!D77</f>
        <v>Hong Kong</v>
      </c>
      <c r="E76" s="55">
        <f>'Long-form'!E77</f>
        <v>22.45</v>
      </c>
      <c r="F76" s="55">
        <f>'Long-form'!F77</f>
        <v>113.88</v>
      </c>
      <c r="G76" t="str">
        <f>'Long-form'!G77</f>
        <v>1 = Radiocarbon</v>
      </c>
      <c r="H76" s="56">
        <f>'Long-form'!H77</f>
        <v>1308.8105623511881</v>
      </c>
      <c r="I76" s="56">
        <f>'Long-form'!I77</f>
        <v>122.32959204750168</v>
      </c>
      <c r="J76" s="56">
        <f>'Long-form'!J77</f>
        <v>1206</v>
      </c>
      <c r="K76" s="56">
        <f>'Long-form'!K77</f>
        <v>205</v>
      </c>
      <c r="L76" s="56">
        <f>'Long-form'!L77</f>
        <v>269</v>
      </c>
      <c r="M76" s="56" t="str">
        <f>'Long-form'!Q77</f>
        <v>regressive</v>
      </c>
      <c r="N76" s="55">
        <f>'Long-form'!R77</f>
        <v>0.5</v>
      </c>
      <c r="O76" s="55">
        <f>'Long-form'!S77</f>
        <v>11.8</v>
      </c>
      <c r="P76" s="55">
        <f>'Long-form'!T77</f>
        <v>1</v>
      </c>
      <c r="Q76" s="55">
        <f>'Long-form'!AM77</f>
        <v>2</v>
      </c>
      <c r="R76" s="55" t="str">
        <f>'Long-form'!AN77</f>
        <v>YSD</v>
      </c>
      <c r="S76" s="55">
        <f>'Long-form'!AP77</f>
        <v>0.53404119691274754</v>
      </c>
      <c r="T76" s="55">
        <f>'Long-form'!AQ77</f>
        <v>0.53404119691274754</v>
      </c>
      <c r="U76" t="str">
        <f>'Long-form'!BC77</f>
        <v xml:space="preserve">-1 </v>
      </c>
      <c r="V76" t="str">
        <f>'Long-form'!BD77</f>
        <v>5 = Sedimentary (e.g., deltaic, estuarine, wetland, lacustrine, marine facies)</v>
      </c>
      <c r="W76" t="str">
        <f>'Long-form'!BE77</f>
        <v>Lagoon deposit</v>
      </c>
      <c r="X76" t="str">
        <f>'Long-form'!BF77</f>
        <v>Field observation</v>
      </c>
      <c r="Y76" t="str">
        <f>'Long-form'!BH77</f>
        <v>&lt;HAT</v>
      </c>
      <c r="Z76" s="55">
        <f>'Long-form'!BT77</f>
        <v>0.40062253799999992</v>
      </c>
      <c r="AA76" s="55">
        <f>'Long-form'!BU77</f>
        <v>0.56356011214421486</v>
      </c>
      <c r="AB76" s="55">
        <f>'Long-form'!BV77</f>
        <v>0.56356011214421486</v>
      </c>
      <c r="AC76" s="55" t="str">
        <f>'Long-form'!BW77</f>
        <v>nd</v>
      </c>
      <c r="AD76" s="55" t="str">
        <f>'Long-form'!BX77</f>
        <v>nd</v>
      </c>
      <c r="AE76" s="55" t="str">
        <f>'Long-form'!BY77</f>
        <v>nd</v>
      </c>
      <c r="AF76" t="str">
        <f>'Long-form'!BZ77</f>
        <v>nd</v>
      </c>
      <c r="AG76">
        <f>'Long-form'!CB77</f>
        <v>0</v>
      </c>
      <c r="AH76">
        <f>'Long-form'!CD77</f>
        <v>0</v>
      </c>
      <c r="AI76" t="e">
        <f>'Long-form'!#REF!</f>
        <v>#REF!</v>
      </c>
    </row>
    <row r="77" spans="1:35">
      <c r="A77" t="str">
        <f>'Long-form'!A78</f>
        <v>OxA-5428</v>
      </c>
      <c r="B77" t="str">
        <f>'Long-form'!B78</f>
        <v>Fyfe et al 1999</v>
      </c>
      <c r="C77" t="str">
        <f>'Long-form'!C78</f>
        <v>9a</v>
      </c>
      <c r="D77" t="str">
        <f>'Long-form'!D78</f>
        <v>Hong Kong</v>
      </c>
      <c r="E77" s="55">
        <f>'Long-form'!E78</f>
        <v>22.183157999999999</v>
      </c>
      <c r="F77" s="55">
        <f>'Long-form'!F78</f>
        <v>113.86835000000001</v>
      </c>
      <c r="G77" t="str">
        <f>'Long-form'!G78</f>
        <v>1 = Radiocarbon</v>
      </c>
      <c r="H77" s="56">
        <f>'Long-form'!H78</f>
        <v>390.68186471624904</v>
      </c>
      <c r="I77" s="56">
        <f>'Long-form'!I78</f>
        <v>438.87986471624902</v>
      </c>
      <c r="J77" s="56">
        <f>'Long-form'!J78</f>
        <v>245</v>
      </c>
      <c r="K77" s="56">
        <f>'Long-form'!K78</f>
        <v>498</v>
      </c>
      <c r="L77" s="56">
        <f>'Long-form'!L78</f>
        <v>244</v>
      </c>
      <c r="M77" s="56" t="str">
        <f>'Long-form'!Q78</f>
        <v>transgressive</v>
      </c>
      <c r="N77" s="55">
        <f>'Long-form'!R78</f>
        <v>1.5</v>
      </c>
      <c r="O77" s="55" t="str">
        <f>'Long-form'!S78</f>
        <v>&gt;68.5</v>
      </c>
      <c r="P77" s="55">
        <f>'Long-form'!T78</f>
        <v>1</v>
      </c>
      <c r="Q77" s="55">
        <f>'Long-form'!AM78</f>
        <v>-9.98</v>
      </c>
      <c r="R77" s="55" t="str">
        <f>'Long-form'!AN78</f>
        <v>YSD</v>
      </c>
      <c r="S77" s="55">
        <f>'Long-form'!AP78</f>
        <v>2.5069952133979037</v>
      </c>
      <c r="T77" s="55">
        <f>'Long-form'!AQ78</f>
        <v>2.5069952133979037</v>
      </c>
      <c r="U77" t="str">
        <f>'Long-form'!BC78</f>
        <v>-1</v>
      </c>
      <c r="V77" t="str">
        <f>'Long-form'!BD78</f>
        <v>5 = Sedimentary (e.g., deltaic, estuarine, wetland, lacustrine, marine facies)</v>
      </c>
      <c r="W77" t="str">
        <f>'Long-form'!BE78</f>
        <v>Prodelta deposit</v>
      </c>
      <c r="X77" t="str">
        <f>'Long-form'!BF78</f>
        <v>sediment texture, grain size, diatom and foraminifera assemblage</v>
      </c>
      <c r="Y77" t="str">
        <f>'Long-form'!BH78</f>
        <v>&lt;MTL</v>
      </c>
      <c r="Z77" s="55">
        <f>'Long-form'!BT78</f>
        <v>-9.9455856730000001</v>
      </c>
      <c r="AA77" s="55">
        <f>'Long-form'!BU78</f>
        <v>2.5074937686861758</v>
      </c>
      <c r="AB77" s="55">
        <f>'Long-form'!BV78</f>
        <v>2.5074937686861758</v>
      </c>
      <c r="AC77" s="55" t="str">
        <f>'Long-form'!BW78</f>
        <v>nd</v>
      </c>
      <c r="AD77" s="55" t="str">
        <f>'Long-form'!BX78</f>
        <v>nd</v>
      </c>
      <c r="AE77" s="55" t="str">
        <f>'Long-form'!BY78</f>
        <v>nd</v>
      </c>
      <c r="AF77" t="str">
        <f>'Long-form'!BZ78</f>
        <v>nd</v>
      </c>
      <c r="AG77">
        <f>'Long-form'!CB78</f>
        <v>0</v>
      </c>
      <c r="AH77">
        <f>'Long-form'!CD78</f>
        <v>0</v>
      </c>
      <c r="AI77" t="e">
        <f>'Long-form'!#REF!</f>
        <v>#REF!</v>
      </c>
    </row>
    <row r="78" spans="1:35">
      <c r="A78" t="str">
        <f>'Long-form'!A79</f>
        <v>OxA-5429</v>
      </c>
      <c r="B78" t="str">
        <f>'Long-form'!B79</f>
        <v>Fyfe et al 1999</v>
      </c>
      <c r="C78" t="str">
        <f>'Long-form'!C79</f>
        <v>9a</v>
      </c>
      <c r="D78" t="str">
        <f>'Long-form'!D79</f>
        <v>Hong Kong</v>
      </c>
      <c r="E78" s="55">
        <f>'Long-form'!E79</f>
        <v>22.183157999999999</v>
      </c>
      <c r="F78" s="55">
        <f>'Long-form'!F79</f>
        <v>113.86835000000001</v>
      </c>
      <c r="G78" t="str">
        <f>'Long-form'!G79</f>
        <v>1 = Radiocarbon</v>
      </c>
      <c r="H78" s="56">
        <f>'Long-form'!H79</f>
        <v>390.68186471624813</v>
      </c>
      <c r="I78" s="56">
        <f>'Long-form'!I79</f>
        <v>438.87986471624811</v>
      </c>
      <c r="J78" s="56">
        <f>'Long-form'!J79</f>
        <v>245</v>
      </c>
      <c r="K78" s="56">
        <f>'Long-form'!K79</f>
        <v>498</v>
      </c>
      <c r="L78" s="56">
        <f>'Long-form'!L79</f>
        <v>244</v>
      </c>
      <c r="M78" s="56" t="str">
        <f>'Long-form'!Q79</f>
        <v>transgressive</v>
      </c>
      <c r="N78" s="55">
        <f>'Long-form'!R79</f>
        <v>6</v>
      </c>
      <c r="O78" s="55" t="str">
        <f>'Long-form'!S79</f>
        <v>&gt;64</v>
      </c>
      <c r="P78" s="55">
        <f>'Long-form'!T79</f>
        <v>1</v>
      </c>
      <c r="Q78" s="55">
        <f>'Long-form'!AM79</f>
        <v>-14.48</v>
      </c>
      <c r="R78" s="55" t="str">
        <f>'Long-form'!AN79</f>
        <v>YSD</v>
      </c>
      <c r="S78" s="55">
        <f>'Long-form'!AP79</f>
        <v>2.5096862353688758</v>
      </c>
      <c r="T78" s="55">
        <f>'Long-form'!AQ79</f>
        <v>2.5096862353688758</v>
      </c>
      <c r="U78" t="str">
        <f>'Long-form'!BC79</f>
        <v>-1</v>
      </c>
      <c r="V78" t="str">
        <f>'Long-form'!BD79</f>
        <v>5 = Sedimentary (e.g., deltaic, estuarine, wetland, lacustrine, marine facies)</v>
      </c>
      <c r="W78" t="str">
        <f>'Long-form'!BE79</f>
        <v>Delta front deposit</v>
      </c>
      <c r="X78" t="str">
        <f>'Long-form'!BF79</f>
        <v>sediment texture, grain size, diatom and foraminifera assemblage</v>
      </c>
      <c r="Y78" t="str">
        <f>'Long-form'!BH79</f>
        <v>&lt;MTL</v>
      </c>
      <c r="Z78" s="55">
        <f>'Long-form'!BT79</f>
        <v>-14.445585673</v>
      </c>
      <c r="AA78" s="55">
        <f>'Long-form'!BU79</f>
        <v>2.510184256185191</v>
      </c>
      <c r="AB78" s="55">
        <f>'Long-form'!BV79</f>
        <v>2.510184256185191</v>
      </c>
      <c r="AC78" s="55" t="str">
        <f>'Long-form'!BW79</f>
        <v>nd</v>
      </c>
      <c r="AD78" s="55" t="str">
        <f>'Long-form'!BX79</f>
        <v>nd</v>
      </c>
      <c r="AE78" s="55" t="str">
        <f>'Long-form'!BY79</f>
        <v>nd</v>
      </c>
      <c r="AF78" t="str">
        <f>'Long-form'!BZ79</f>
        <v>nd</v>
      </c>
      <c r="AG78">
        <f>'Long-form'!CB79</f>
        <v>0</v>
      </c>
      <c r="AH78">
        <f>'Long-form'!CD79</f>
        <v>0</v>
      </c>
      <c r="AI78" t="e">
        <f>'Long-form'!#REF!</f>
        <v>#REF!</v>
      </c>
    </row>
    <row r="79" spans="1:35">
      <c r="A79" t="str">
        <f>'Long-form'!A80</f>
        <v>OxA-5430</v>
      </c>
      <c r="B79" t="str">
        <f>'Long-form'!B80</f>
        <v>Fyfe et al 1999</v>
      </c>
      <c r="C79" t="str">
        <f>'Long-form'!C80</f>
        <v>9a</v>
      </c>
      <c r="D79" t="str">
        <f>'Long-form'!D80</f>
        <v>Hong Kong</v>
      </c>
      <c r="E79" s="55">
        <f>'Long-form'!E80</f>
        <v>22.183157999999999</v>
      </c>
      <c r="F79" s="55">
        <f>'Long-form'!F80</f>
        <v>113.86835000000001</v>
      </c>
      <c r="G79" t="str">
        <f>'Long-form'!G80</f>
        <v>1 = Radiocarbon</v>
      </c>
      <c r="H79" s="56">
        <f>'Long-form'!H80</f>
        <v>390.68186471624904</v>
      </c>
      <c r="I79" s="56">
        <f>'Long-form'!I80</f>
        <v>438.87986471624902</v>
      </c>
      <c r="J79" s="56">
        <f>'Long-form'!J80</f>
        <v>245</v>
      </c>
      <c r="K79" s="56">
        <f>'Long-form'!K80</f>
        <v>498</v>
      </c>
      <c r="L79" s="56">
        <f>'Long-form'!L80</f>
        <v>244</v>
      </c>
      <c r="M79" s="56" t="str">
        <f>'Long-form'!Q80</f>
        <v>transgressive</v>
      </c>
      <c r="N79" s="55">
        <f>'Long-form'!R80</f>
        <v>7</v>
      </c>
      <c r="O79" s="55" t="str">
        <f>'Long-form'!S80</f>
        <v>&gt;63</v>
      </c>
      <c r="P79" s="55">
        <f>'Long-form'!T80</f>
        <v>1</v>
      </c>
      <c r="Q79" s="55">
        <f>'Long-form'!AM80</f>
        <v>-15.48</v>
      </c>
      <c r="R79" s="55" t="str">
        <f>'Long-form'!AN80</f>
        <v>YSD</v>
      </c>
      <c r="S79" s="55">
        <f>'Long-form'!AP80</f>
        <v>2.5107220077101329</v>
      </c>
      <c r="T79" s="55">
        <f>'Long-form'!AQ80</f>
        <v>2.5107220077101329</v>
      </c>
      <c r="U79" t="str">
        <f>'Long-form'!BC80</f>
        <v>-1</v>
      </c>
      <c r="V79" t="str">
        <f>'Long-form'!BD80</f>
        <v>5 = Sedimentary (e.g., deltaic, estuarine, wetland, lacustrine, marine facies)</v>
      </c>
      <c r="W79" t="str">
        <f>'Long-form'!BE80</f>
        <v>Delta front deposit</v>
      </c>
      <c r="X79" t="str">
        <f>'Long-form'!BF80</f>
        <v>sediment texture, grain size, diatom and foraminifera assemblage</v>
      </c>
      <c r="Y79" t="str">
        <f>'Long-form'!BH80</f>
        <v>&lt;MTL</v>
      </c>
      <c r="Z79" s="55">
        <f>'Long-form'!BT80</f>
        <v>-15.445585673</v>
      </c>
      <c r="AA79" s="55">
        <f>'Long-form'!BU80</f>
        <v>2.5112198231138589</v>
      </c>
      <c r="AB79" s="55">
        <f>'Long-form'!BV80</f>
        <v>2.5112198231138589</v>
      </c>
      <c r="AC79" s="55" t="str">
        <f>'Long-form'!BW80</f>
        <v>nd</v>
      </c>
      <c r="AD79" s="55" t="str">
        <f>'Long-form'!BX80</f>
        <v>nd</v>
      </c>
      <c r="AE79" s="55" t="str">
        <f>'Long-form'!BY80</f>
        <v>nd</v>
      </c>
      <c r="AF79" t="str">
        <f>'Long-form'!BZ80</f>
        <v>nd</v>
      </c>
      <c r="AG79">
        <f>'Long-form'!CB80</f>
        <v>0</v>
      </c>
      <c r="AH79">
        <f>'Long-form'!CD80</f>
        <v>0</v>
      </c>
      <c r="AI79" t="e">
        <f>'Long-form'!#REF!</f>
        <v>#REF!</v>
      </c>
    </row>
    <row r="80" spans="1:35">
      <c r="A80" t="str">
        <f>'Long-form'!A81</f>
        <v>WangPO01</v>
      </c>
      <c r="B80" t="str">
        <f>'Long-form'!B81</f>
        <v>Wang, 1993; Wang, 1998</v>
      </c>
      <c r="C80" t="str">
        <f>'Long-form'!C81</f>
        <v>9a</v>
      </c>
      <c r="D80" t="str">
        <f>'Long-form'!D81</f>
        <v>Hong Kong</v>
      </c>
      <c r="E80" s="55">
        <f>'Long-form'!E81</f>
        <v>22.241329</v>
      </c>
      <c r="F80" s="55">
        <f>'Long-form'!F81</f>
        <v>113.978983</v>
      </c>
      <c r="G80" t="str">
        <f>'Long-form'!G81</f>
        <v>1 = Radiocarbon</v>
      </c>
      <c r="H80" s="56">
        <f>'Long-form'!H81</f>
        <v>3210.6818647162472</v>
      </c>
      <c r="I80" s="56">
        <f>'Long-form'!I81</f>
        <v>449.04402418176261</v>
      </c>
      <c r="J80" s="56">
        <f>'Long-form'!J81</f>
        <v>2877</v>
      </c>
      <c r="K80" s="56">
        <f>'Long-form'!K81</f>
        <v>1124</v>
      </c>
      <c r="L80" s="56">
        <f>'Long-form'!L81</f>
        <v>1144</v>
      </c>
      <c r="M80" s="56" t="str">
        <f>'Long-form'!Q81</f>
        <v>regressive</v>
      </c>
      <c r="N80" s="55">
        <f>'Long-form'!R81</f>
        <v>5.1649999999999991</v>
      </c>
      <c r="O80" s="55" t="str">
        <f>'Long-form'!S81</f>
        <v>nd</v>
      </c>
      <c r="P80" s="55">
        <f>'Long-form'!T81</f>
        <v>1</v>
      </c>
      <c r="Q80" s="55">
        <f>'Long-form'!AM81</f>
        <v>0.90500000000000014</v>
      </c>
      <c r="R80" s="55" t="str">
        <f>'Long-form'!AN81</f>
        <v>YSD</v>
      </c>
      <c r="S80" s="55">
        <f>'Long-form'!AP81</f>
        <v>0.51295711321707982</v>
      </c>
      <c r="T80" s="55">
        <f>'Long-form'!AQ81</f>
        <v>0.51295711321707982</v>
      </c>
      <c r="U80">
        <f>'Long-form'!BC81</f>
        <v>0</v>
      </c>
      <c r="V80" t="str">
        <f>'Long-form'!BD81</f>
        <v>6 = Beach rock</v>
      </c>
      <c r="W80" t="str">
        <f>'Long-form'!BE81</f>
        <v>Beach rock</v>
      </c>
      <c r="X80" t="str">
        <f>'Long-form'!BF81</f>
        <v>Calcareous cement and lamination</v>
      </c>
      <c r="Y80" t="str">
        <f>'Long-form'!BH81</f>
        <v>HAT-LAT</v>
      </c>
      <c r="Z80" s="55">
        <f>'Long-form'!BT81</f>
        <v>0.85549761220350518</v>
      </c>
      <c r="AA80" s="55">
        <f>'Long-form'!BU81</f>
        <v>1.6106971640750174</v>
      </c>
      <c r="AB80" s="55">
        <f>'Long-form'!BV81</f>
        <v>1.6106971640750174</v>
      </c>
      <c r="AC80" s="55" t="str">
        <f>'Long-form'!BW81</f>
        <v>nd</v>
      </c>
      <c r="AD80" s="55" t="str">
        <f>'Long-form'!BX81</f>
        <v>nd</v>
      </c>
      <c r="AE80" s="55" t="str">
        <f>'Long-form'!BY81</f>
        <v>nd</v>
      </c>
      <c r="AF80" t="str">
        <f>'Long-form'!BZ81</f>
        <v>nd</v>
      </c>
      <c r="AG80">
        <f>'Long-form'!CB81</f>
        <v>0</v>
      </c>
      <c r="AH80">
        <f>'Long-form'!CD81</f>
        <v>0</v>
      </c>
      <c r="AI80" t="e">
        <f>'Long-form'!#REF!</f>
        <v>#REF!</v>
      </c>
    </row>
    <row r="81" spans="1:35">
      <c r="A81" t="str">
        <f>'Long-form'!A82</f>
        <v>WangPO02</v>
      </c>
      <c r="B81" t="str">
        <f>'Long-form'!B82</f>
        <v>Wang, 1993; Wang, 1998</v>
      </c>
      <c r="C81" t="str">
        <f>'Long-form'!C82</f>
        <v>9a</v>
      </c>
      <c r="D81" t="str">
        <f>'Long-form'!D82</f>
        <v>Hong Kong</v>
      </c>
      <c r="E81" s="55">
        <f>'Long-form'!E82</f>
        <v>22.241329</v>
      </c>
      <c r="F81" s="55">
        <f>'Long-form'!F82</f>
        <v>113.978983</v>
      </c>
      <c r="G81" t="str">
        <f>'Long-form'!G82</f>
        <v>1 = Radiocarbon</v>
      </c>
      <c r="H81" s="56">
        <f>'Long-form'!H82</f>
        <v>2770.6818647162486</v>
      </c>
      <c r="I81" s="56">
        <f>'Long-form'!I82</f>
        <v>448.01287442812696</v>
      </c>
      <c r="J81" s="56">
        <f>'Long-form'!J82</f>
        <v>2341</v>
      </c>
      <c r="K81" s="56">
        <f>'Long-form'!K82</f>
        <v>1081</v>
      </c>
      <c r="L81" s="56">
        <f>'Long-form'!L82</f>
        <v>1057</v>
      </c>
      <c r="M81" s="56" t="str">
        <f>'Long-form'!Q82</f>
        <v>regressive</v>
      </c>
      <c r="N81" s="55">
        <f>'Long-form'!R82</f>
        <v>5.28</v>
      </c>
      <c r="O81" s="55" t="str">
        <f>'Long-form'!S82</f>
        <v>nd</v>
      </c>
      <c r="P81" s="55">
        <f>'Long-form'!T82</f>
        <v>1</v>
      </c>
      <c r="Q81" s="55">
        <f>'Long-form'!AM82</f>
        <v>0.71999999999999986</v>
      </c>
      <c r="R81" s="55" t="str">
        <f>'Long-form'!AN82</f>
        <v>YSD</v>
      </c>
      <c r="S81" s="55">
        <f>'Long-form'!AP82</f>
        <v>0.51584881506115721</v>
      </c>
      <c r="T81" s="55">
        <f>'Long-form'!AQ82</f>
        <v>0.51584881506115721</v>
      </c>
      <c r="U81">
        <f>'Long-form'!BC82</f>
        <v>0</v>
      </c>
      <c r="V81" t="str">
        <f>'Long-form'!BD82</f>
        <v>6 = Beach rock</v>
      </c>
      <c r="W81" t="str">
        <f>'Long-form'!BE82</f>
        <v>Beach rock</v>
      </c>
      <c r="X81" t="str">
        <f>'Long-form'!BF82</f>
        <v>Calcareous cement and lamination</v>
      </c>
      <c r="Y81" t="str">
        <f>'Long-form'!BH82</f>
        <v>HAT-LAT</v>
      </c>
      <c r="Z81" s="55">
        <f>'Long-form'!BT82</f>
        <v>0.6704976122035049</v>
      </c>
      <c r="AA81" s="55">
        <f>'Long-form'!BU82</f>
        <v>1.6116204126156082</v>
      </c>
      <c r="AB81" s="55">
        <f>'Long-form'!BV82</f>
        <v>1.6116204126156082</v>
      </c>
      <c r="AC81" s="55" t="str">
        <f>'Long-form'!BW82</f>
        <v>nd</v>
      </c>
      <c r="AD81" s="55" t="str">
        <f>'Long-form'!BX82</f>
        <v>nd</v>
      </c>
      <c r="AE81" s="55" t="str">
        <f>'Long-form'!BY82</f>
        <v>nd</v>
      </c>
      <c r="AF81" t="str">
        <f>'Long-form'!BZ82</f>
        <v>nd</v>
      </c>
      <c r="AG81">
        <f>'Long-form'!CB82</f>
        <v>0</v>
      </c>
      <c r="AH81">
        <f>'Long-form'!CD82</f>
        <v>0</v>
      </c>
      <c r="AI81" t="e">
        <f>'Long-form'!#REF!</f>
        <v>#REF!</v>
      </c>
    </row>
    <row r="82" spans="1:35">
      <c r="A82" t="str">
        <f>'Long-form'!A83</f>
        <v>WangPO03</v>
      </c>
      <c r="B82" t="str">
        <f>'Long-form'!B83</f>
        <v>Wang, 1993; Wang, 1998</v>
      </c>
      <c r="C82" t="str">
        <f>'Long-form'!C83</f>
        <v>9a</v>
      </c>
      <c r="D82" t="str">
        <f>'Long-form'!D83</f>
        <v>Hong Kong</v>
      </c>
      <c r="E82" s="55">
        <f>'Long-form'!E83</f>
        <v>22.241329</v>
      </c>
      <c r="F82" s="55">
        <f>'Long-form'!F83</f>
        <v>113.978983</v>
      </c>
      <c r="G82" t="str">
        <f>'Long-form'!G83</f>
        <v>1 = Radiocarbon</v>
      </c>
      <c r="H82" s="56">
        <f>'Long-form'!H83</f>
        <v>2090.6818647162486</v>
      </c>
      <c r="I82" s="56">
        <f>'Long-form'!I83</f>
        <v>446.11157309954723</v>
      </c>
      <c r="J82" s="56">
        <f>'Long-form'!J83</f>
        <v>1565</v>
      </c>
      <c r="K82" s="56">
        <f>'Long-form'!K83</f>
        <v>1054</v>
      </c>
      <c r="L82" s="56">
        <f>'Long-form'!L83</f>
        <v>934</v>
      </c>
      <c r="M82" s="56" t="str">
        <f>'Long-form'!Q83</f>
        <v>regressive</v>
      </c>
      <c r="N82" s="55">
        <f>'Long-form'!R83</f>
        <v>5.7750000000000004</v>
      </c>
      <c r="O82" s="55" t="str">
        <f>'Long-form'!S83</f>
        <v>nd</v>
      </c>
      <c r="P82" s="55">
        <f>'Long-form'!T83</f>
        <v>1</v>
      </c>
      <c r="Q82" s="55">
        <f>'Long-form'!AM83</f>
        <v>9.5000000000000084E-2</v>
      </c>
      <c r="R82" s="55" t="str">
        <f>'Long-form'!AN83</f>
        <v>YSD</v>
      </c>
      <c r="S82" s="55">
        <f>'Long-form'!AP83</f>
        <v>0.52737557774322463</v>
      </c>
      <c r="T82" s="55">
        <f>'Long-form'!AQ83</f>
        <v>0.52737557774322463</v>
      </c>
      <c r="U82">
        <f>'Long-form'!BC83</f>
        <v>0</v>
      </c>
      <c r="V82" t="str">
        <f>'Long-form'!BD83</f>
        <v>6 = Beach rock</v>
      </c>
      <c r="W82" t="str">
        <f>'Long-form'!BE83</f>
        <v>Beach rock</v>
      </c>
      <c r="X82" t="str">
        <f>'Long-form'!BF83</f>
        <v>Calcareous cement and lamination</v>
      </c>
      <c r="Y82" t="str">
        <f>'Long-form'!BH83</f>
        <v>HAT-LAT</v>
      </c>
      <c r="Z82" s="55">
        <f>'Long-form'!BT83</f>
        <v>4.5497612203505122E-2</v>
      </c>
      <c r="AA82" s="55">
        <f>'Long-form'!BU83</f>
        <v>1.6161179194636739</v>
      </c>
      <c r="AB82" s="55">
        <f>'Long-form'!BV83</f>
        <v>1.6161179194636739</v>
      </c>
      <c r="AC82" s="55" t="str">
        <f>'Long-form'!BW83</f>
        <v>nd</v>
      </c>
      <c r="AD82" s="55" t="str">
        <f>'Long-form'!BX83</f>
        <v>nd</v>
      </c>
      <c r="AE82" s="55" t="str">
        <f>'Long-form'!BY83</f>
        <v>nd</v>
      </c>
      <c r="AF82" t="str">
        <f>'Long-form'!BZ83</f>
        <v>nd</v>
      </c>
      <c r="AG82">
        <f>'Long-form'!CB83</f>
        <v>0</v>
      </c>
      <c r="AH82">
        <f>'Long-form'!CD83</f>
        <v>0</v>
      </c>
      <c r="AI82" t="e">
        <f>'Long-form'!#REF!</f>
        <v>#REF!</v>
      </c>
    </row>
    <row r="83" spans="1:35">
      <c r="A83" t="str">
        <f>'Long-form'!A84</f>
        <v>WangCC01</v>
      </c>
      <c r="B83" t="str">
        <f>'Long-form'!B84</f>
        <v xml:space="preserve"> Wang, 1998</v>
      </c>
      <c r="C83" t="str">
        <f>'Long-form'!C84</f>
        <v>9a</v>
      </c>
      <c r="D83" t="str">
        <f>'Long-form'!D84</f>
        <v>Hong Kong</v>
      </c>
      <c r="E83" s="55">
        <f>'Long-form'!E84</f>
        <v>22.233827000000002</v>
      </c>
      <c r="F83" s="55">
        <f>'Long-form'!F84</f>
        <v>113.957272</v>
      </c>
      <c r="G83" t="str">
        <f>'Long-form'!G84</f>
        <v>1 = Radiocarbon</v>
      </c>
      <c r="H83" s="56">
        <f>'Long-form'!H84</f>
        <v>1690.6818647162481</v>
      </c>
      <c r="I83" s="56">
        <f>'Long-form'!I84</f>
        <v>442.96222824677955</v>
      </c>
      <c r="J83" s="56">
        <f>'Long-form'!J84</f>
        <v>1136</v>
      </c>
      <c r="K83" s="56">
        <f>'Long-form'!K84</f>
        <v>987</v>
      </c>
      <c r="L83" s="56">
        <f>'Long-form'!L84</f>
        <v>871</v>
      </c>
      <c r="M83" s="56" t="str">
        <f>'Long-form'!Q84</f>
        <v>regressive</v>
      </c>
      <c r="N83" s="55" t="str">
        <f>'Long-form'!R84</f>
        <v>nd</v>
      </c>
      <c r="O83" s="55" t="str">
        <f>'Long-form'!S84</f>
        <v>nd</v>
      </c>
      <c r="P83" s="55">
        <f>'Long-form'!T84</f>
        <v>1</v>
      </c>
      <c r="Q83" s="55">
        <f>'Long-form'!AM84</f>
        <v>0</v>
      </c>
      <c r="R83" s="55" t="str">
        <f>'Long-form'!AN84</f>
        <v>YSD</v>
      </c>
      <c r="S83" s="55">
        <f>'Long-form'!AP84</f>
        <v>1.1261105629555208</v>
      </c>
      <c r="T83" s="55">
        <f>'Long-form'!AQ84</f>
        <v>1.1261105629555208</v>
      </c>
      <c r="U83">
        <f>'Long-form'!BC84</f>
        <v>0</v>
      </c>
      <c r="V83" t="str">
        <f>'Long-form'!BD84</f>
        <v>6 = Beach rock</v>
      </c>
      <c r="W83" t="str">
        <f>'Long-form'!BE84</f>
        <v>Beach rock</v>
      </c>
      <c r="X83" t="str">
        <f>'Long-form'!BF84</f>
        <v>Calcareous cement and lamination</v>
      </c>
      <c r="Y83" t="str">
        <f>'Long-form'!BH84</f>
        <v>HAT-LAT</v>
      </c>
      <c r="Z83" s="55">
        <f>'Long-form'!BT84</f>
        <v>-4.7609125082800019E-2</v>
      </c>
      <c r="AA83" s="55">
        <f>'Long-form'!BU84</f>
        <v>1.8547275025380818</v>
      </c>
      <c r="AB83" s="55">
        <f>'Long-form'!BV84</f>
        <v>1.8547275025380818</v>
      </c>
      <c r="AC83" s="55" t="str">
        <f>'Long-form'!BW84</f>
        <v>nd</v>
      </c>
      <c r="AD83" s="55" t="str">
        <f>'Long-form'!BX84</f>
        <v>nd</v>
      </c>
      <c r="AE83" s="55" t="str">
        <f>'Long-form'!BY84</f>
        <v>nd</v>
      </c>
      <c r="AF83" t="str">
        <f>'Long-form'!BZ84</f>
        <v>nd</v>
      </c>
      <c r="AG83">
        <f>'Long-form'!CB84</f>
        <v>0</v>
      </c>
      <c r="AH83">
        <f>'Long-form'!CD84</f>
        <v>0</v>
      </c>
      <c r="AI83" t="e">
        <f>'Long-form'!#REF!</f>
        <v>#REF!</v>
      </c>
    </row>
    <row r="84" spans="1:35">
      <c r="A84" t="str">
        <f>'Long-form'!A85</f>
        <v>ANU-10154</v>
      </c>
      <c r="B84" t="str">
        <f>'Long-form'!B85</f>
        <v>Yim, 2006</v>
      </c>
      <c r="C84" t="str">
        <f>'Long-form'!C85</f>
        <v>9a</v>
      </c>
      <c r="D84" t="str">
        <f>'Long-form'!D85</f>
        <v>Hong Kong</v>
      </c>
      <c r="E84" s="55">
        <f>'Long-form'!E85</f>
        <v>22.2989</v>
      </c>
      <c r="F84" s="55">
        <f>'Long-form'!F85</f>
        <v>113.89035</v>
      </c>
      <c r="G84" t="str">
        <f>'Long-form'!G85</f>
        <v>1 = Radiocarbon</v>
      </c>
      <c r="H84" s="56">
        <f>'Long-form'!H85</f>
        <v>4480</v>
      </c>
      <c r="I84" s="56">
        <f>'Long-form'!I85</f>
        <v>172.04650534085255</v>
      </c>
      <c r="J84" s="56">
        <f>'Long-form'!J85</f>
        <v>5124</v>
      </c>
      <c r="K84" s="56">
        <f>'Long-form'!K85</f>
        <v>459</v>
      </c>
      <c r="L84" s="56">
        <f>'Long-form'!L85</f>
        <v>477</v>
      </c>
      <c r="M84" s="56" t="str">
        <f>'Long-form'!Q85</f>
        <v>transgressive</v>
      </c>
      <c r="N84" s="55">
        <f>'Long-form'!R85</f>
        <v>0.85</v>
      </c>
      <c r="O84" s="55">
        <f>'Long-form'!S85</f>
        <v>11.15</v>
      </c>
      <c r="P84" s="55">
        <f>'Long-form'!T85</f>
        <v>1</v>
      </c>
      <c r="Q84" s="55">
        <f>'Long-form'!AM85</f>
        <v>-8.0760000000000005</v>
      </c>
      <c r="R84" s="55" t="str">
        <f>'Long-form'!AN85</f>
        <v>YSD</v>
      </c>
      <c r="S84" s="55">
        <f>'Long-form'!AP85</f>
        <v>0.53421812024677706</v>
      </c>
      <c r="T84" s="55">
        <f>'Long-form'!AQ85</f>
        <v>0.53421812024677706</v>
      </c>
      <c r="U84">
        <f>'Long-form'!BC85</f>
        <v>-1</v>
      </c>
      <c r="V84" t="str">
        <f>'Long-form'!BD85</f>
        <v>5 = Sedimentary (e.g., deltaic, estuarine, wetland, lacustrine, marine facies)</v>
      </c>
      <c r="W84" t="str">
        <f>'Long-form'!BE85</f>
        <v>Marine deposit</v>
      </c>
      <c r="X84" t="str">
        <f>'Long-form'!BF85</f>
        <v>Marine foraminifera A. beccarii var., Hanzawaia nipponica (Asano), and Elphidium spp.</v>
      </c>
      <c r="Y84" t="str">
        <f>'Long-form'!BH85</f>
        <v>&lt;MTL</v>
      </c>
      <c r="Z84" s="55">
        <f>'Long-form'!BT85</f>
        <v>-8.0298691256010866</v>
      </c>
      <c r="AA84" s="55">
        <f>'Long-form'!BU85</f>
        <v>0.53655288648930033</v>
      </c>
      <c r="AB84" s="55">
        <f>'Long-form'!BV85</f>
        <v>0.53655288648930033</v>
      </c>
      <c r="AC84" s="55" t="str">
        <f>'Long-form'!BW85</f>
        <v>nd</v>
      </c>
      <c r="AD84" s="55" t="str">
        <f>'Long-form'!BX85</f>
        <v>nd</v>
      </c>
      <c r="AE84" s="55" t="str">
        <f>'Long-form'!BY85</f>
        <v>nd</v>
      </c>
      <c r="AF84" t="str">
        <f>'Long-form'!BZ85</f>
        <v>nd</v>
      </c>
      <c r="AG84">
        <f>'Long-form'!CB85</f>
        <v>0</v>
      </c>
      <c r="AH84">
        <f>'Long-form'!CD85</f>
        <v>0</v>
      </c>
      <c r="AI84" t="e">
        <f>'Long-form'!#REF!</f>
        <v>#REF!</v>
      </c>
    </row>
    <row r="85" spans="1:35">
      <c r="A85" t="str">
        <f>'Long-form'!A86</f>
        <v>ANU-10155</v>
      </c>
      <c r="B85" t="str">
        <f>'Long-form'!B86</f>
        <v>Yim, 2006</v>
      </c>
      <c r="C85" t="str">
        <f>'Long-form'!C86</f>
        <v>9a</v>
      </c>
      <c r="D85" t="str">
        <f>'Long-form'!D86</f>
        <v>Hong Kong</v>
      </c>
      <c r="E85" s="55">
        <f>'Long-form'!E86</f>
        <v>22.2989</v>
      </c>
      <c r="F85" s="55">
        <f>'Long-form'!F86</f>
        <v>113.89035</v>
      </c>
      <c r="G85" t="str">
        <f>'Long-form'!G86</f>
        <v>1 = Radiocarbon</v>
      </c>
      <c r="H85" s="56">
        <f>'Long-form'!H86</f>
        <v>4540</v>
      </c>
      <c r="I85" s="56">
        <f>'Long-form'!I86</f>
        <v>214.70910553583889</v>
      </c>
      <c r="J85" s="56">
        <f>'Long-form'!J86</f>
        <v>5182</v>
      </c>
      <c r="K85" s="56">
        <f>'Long-form'!K86</f>
        <v>523</v>
      </c>
      <c r="L85" s="56">
        <f>'Long-form'!L86</f>
        <v>602</v>
      </c>
      <c r="M85" s="56" t="str">
        <f>'Long-form'!Q86</f>
        <v>transgressive</v>
      </c>
      <c r="N85" s="55">
        <f>'Long-form'!R86</f>
        <v>6.05</v>
      </c>
      <c r="O85" s="55">
        <f>'Long-form'!S86</f>
        <v>5.95</v>
      </c>
      <c r="P85" s="55">
        <f>'Long-form'!T86</f>
        <v>1</v>
      </c>
      <c r="Q85" s="55">
        <f>'Long-form'!AM86</f>
        <v>-13.276000000000002</v>
      </c>
      <c r="R85" s="55" t="str">
        <f>'Long-form'!AN86</f>
        <v>YSD</v>
      </c>
      <c r="S85" s="55">
        <f>'Long-form'!AP86</f>
        <v>0.54748607288222417</v>
      </c>
      <c r="T85" s="55">
        <f>'Long-form'!AQ86</f>
        <v>0.54748607288222417</v>
      </c>
      <c r="U85">
        <f>'Long-form'!BC86</f>
        <v>-1</v>
      </c>
      <c r="V85" t="str">
        <f>'Long-form'!BD86</f>
        <v>5 = Sedimentary (e.g., deltaic, estuarine, wetland, lacustrine, marine facies)</v>
      </c>
      <c r="W85" t="str">
        <f>'Long-form'!BE86</f>
        <v>Marine deposit</v>
      </c>
      <c r="X85" t="str">
        <f>'Long-form'!BF86</f>
        <v>Marine foraminifera A. beccarii var., Hanzawaia nipponica (Asano), and Elphidium spp.</v>
      </c>
      <c r="Y85" t="str">
        <f>'Long-form'!BH86</f>
        <v>&lt;MTL</v>
      </c>
      <c r="Z85" s="55">
        <f>'Long-form'!BT86</f>
        <v>-13.229869125601088</v>
      </c>
      <c r="AA85" s="55">
        <f>'Long-form'!BU86</f>
        <v>0.54976449503401004</v>
      </c>
      <c r="AB85" s="55">
        <f>'Long-form'!BV86</f>
        <v>0.54976449503401004</v>
      </c>
      <c r="AC85" s="55" t="str">
        <f>'Long-form'!BW86</f>
        <v>nd</v>
      </c>
      <c r="AD85" s="55" t="str">
        <f>'Long-form'!BX86</f>
        <v>nd</v>
      </c>
      <c r="AE85" s="55" t="str">
        <f>'Long-form'!BY86</f>
        <v>nd</v>
      </c>
      <c r="AF85" t="str">
        <f>'Long-form'!BZ86</f>
        <v>nd</v>
      </c>
      <c r="AG85">
        <f>'Long-form'!CB86</f>
        <v>0</v>
      </c>
      <c r="AH85">
        <f>'Long-form'!CD86</f>
        <v>0</v>
      </c>
      <c r="AI85" t="e">
        <f>'Long-form'!#REF!</f>
        <v>#REF!</v>
      </c>
    </row>
    <row r="86" spans="1:35">
      <c r="A86" t="str">
        <f>'Long-form'!A87</f>
        <v>KIA-2287</v>
      </c>
      <c r="B86" t="str">
        <f>'Long-form'!B87</f>
        <v>Yim, 2006</v>
      </c>
      <c r="C86" t="str">
        <f>'Long-form'!C87</f>
        <v>9a</v>
      </c>
      <c r="D86" t="str">
        <f>'Long-form'!D87</f>
        <v>Hong Kong</v>
      </c>
      <c r="E86" s="55">
        <f>'Long-form'!E87</f>
        <v>22.2989</v>
      </c>
      <c r="F86" s="55">
        <f>'Long-form'!F87</f>
        <v>113.89035</v>
      </c>
      <c r="G86" t="str">
        <f>'Long-form'!G87</f>
        <v>1 = Radiocarbon</v>
      </c>
      <c r="H86" s="56">
        <f>'Long-form'!H87</f>
        <v>4740</v>
      </c>
      <c r="I86" s="56">
        <f>'Long-form'!I87</f>
        <v>30</v>
      </c>
      <c r="J86" s="56">
        <f>'Long-form'!J87</f>
        <v>4809</v>
      </c>
      <c r="K86" s="56">
        <f>'Long-form'!K87</f>
        <v>248</v>
      </c>
      <c r="L86" s="56">
        <f>'Long-form'!L87</f>
        <v>276</v>
      </c>
      <c r="M86" s="56" t="str">
        <f>'Long-form'!Q87</f>
        <v>transgressive</v>
      </c>
      <c r="N86" s="55">
        <f>'Long-form'!R87</f>
        <v>10.199999999999999</v>
      </c>
      <c r="O86" s="55">
        <f>'Long-form'!S87</f>
        <v>1.8000000000000007</v>
      </c>
      <c r="P86" s="55">
        <f>'Long-form'!T87</f>
        <v>1</v>
      </c>
      <c r="Q86" s="55">
        <f>'Long-form'!AM87</f>
        <v>-17.425999999999998</v>
      </c>
      <c r="R86" s="55" t="str">
        <f>'Long-form'!AN87</f>
        <v>YSD</v>
      </c>
      <c r="S86" s="55">
        <f>'Long-form'!AP87</f>
        <v>0.56942163639960153</v>
      </c>
      <c r="T86" s="55">
        <f>'Long-form'!AQ87</f>
        <v>0.56942163639960153</v>
      </c>
      <c r="U86">
        <f>'Long-form'!BC87</f>
        <v>-1</v>
      </c>
      <c r="V86" t="str">
        <f>'Long-form'!BD87</f>
        <v>5 = Sedimentary (e.g., deltaic, estuarine, wetland, lacustrine, marine facies)</v>
      </c>
      <c r="W86" t="str">
        <f>'Long-form'!BE87</f>
        <v>Marine deposit</v>
      </c>
      <c r="X86" t="str">
        <f>'Long-form'!BF87</f>
        <v>Marine foraminifera A. beccarii var., Hanzawaia nipponica (Asano), and Elphidium spp.</v>
      </c>
      <c r="Y86" t="str">
        <f>'Long-form'!BH87</f>
        <v>&lt;MTL</v>
      </c>
      <c r="Z86" s="55">
        <f>'Long-form'!BT87</f>
        <v>-17.379869125601083</v>
      </c>
      <c r="AA86" s="55">
        <f>'Long-form'!BU87</f>
        <v>0.57161263107107774</v>
      </c>
      <c r="AB86" s="55">
        <f>'Long-form'!BV87</f>
        <v>0.57161263107107774</v>
      </c>
      <c r="AC86" s="55" t="str">
        <f>'Long-form'!BW87</f>
        <v>nd</v>
      </c>
      <c r="AD86" s="55" t="str">
        <f>'Long-form'!BX87</f>
        <v>nd</v>
      </c>
      <c r="AE86" s="55" t="str">
        <f>'Long-form'!BY87</f>
        <v>nd</v>
      </c>
      <c r="AF86" t="str">
        <f>'Long-form'!BZ87</f>
        <v>nd</v>
      </c>
      <c r="AG86">
        <f>'Long-form'!CB87</f>
        <v>0</v>
      </c>
      <c r="AH86">
        <f>'Long-form'!CD87</f>
        <v>0</v>
      </c>
      <c r="AI86" t="e">
        <f>'Long-form'!#REF!</f>
        <v>#REF!</v>
      </c>
    </row>
    <row r="87" spans="1:35">
      <c r="A87" t="str">
        <f>'Long-form'!A88</f>
        <v>ANU-10156</v>
      </c>
      <c r="B87" t="str">
        <f>'Long-form'!B88</f>
        <v>Yim, 2006</v>
      </c>
      <c r="C87" t="str">
        <f>'Long-form'!C88</f>
        <v>9a</v>
      </c>
      <c r="D87" t="str">
        <f>'Long-form'!D88</f>
        <v>Hong Kong</v>
      </c>
      <c r="E87" s="55">
        <f>'Long-form'!E88</f>
        <v>22.2989</v>
      </c>
      <c r="F87" s="55">
        <f>'Long-form'!F88</f>
        <v>113.89035</v>
      </c>
      <c r="G87" t="str">
        <f>'Long-form'!G88</f>
        <v>1 = Radiocarbon</v>
      </c>
      <c r="H87" s="56">
        <f>'Long-form'!H88</f>
        <v>5440</v>
      </c>
      <c r="I87" s="56">
        <f>'Long-form'!I88</f>
        <v>141.42135623730951</v>
      </c>
      <c r="J87" s="56">
        <f>'Long-form'!J88</f>
        <v>6216</v>
      </c>
      <c r="K87" s="56">
        <f>'Long-form'!K88</f>
        <v>314</v>
      </c>
      <c r="L87" s="56">
        <f>'Long-form'!L88</f>
        <v>306</v>
      </c>
      <c r="M87" s="56" t="str">
        <f>'Long-form'!Q88</f>
        <v>transgressive</v>
      </c>
      <c r="N87" s="55">
        <f>'Long-form'!R88</f>
        <v>11.45</v>
      </c>
      <c r="O87" s="55">
        <f>'Long-form'!S88</f>
        <v>0.55000000000000071</v>
      </c>
      <c r="P87" s="55">
        <f>'Long-form'!T88</f>
        <v>1</v>
      </c>
      <c r="Q87" s="55">
        <f>'Long-form'!AM88</f>
        <v>-18.675999999999998</v>
      </c>
      <c r="R87" s="55" t="str">
        <f>'Long-form'!AN88</f>
        <v>YSD</v>
      </c>
      <c r="S87" s="55">
        <f>'Long-form'!AP88</f>
        <v>0.5809827880410916</v>
      </c>
      <c r="T87" s="55">
        <f>'Long-form'!AQ88</f>
        <v>0.5809827880410916</v>
      </c>
      <c r="U87">
        <f>'Long-form'!BC88</f>
        <v>-1</v>
      </c>
      <c r="V87" t="str">
        <f>'Long-form'!BD88</f>
        <v>5 = Sedimentary (e.g., deltaic, estuarine, wetland, lacustrine, marine facies)</v>
      </c>
      <c r="W87" t="str">
        <f>'Long-form'!BE88</f>
        <v>Transgressive contact (nearshore)</v>
      </c>
      <c r="X87" t="str">
        <f>'Long-form'!BF88</f>
        <v>Shallow-water benthonic bethic foraminifera including Ammonia beccarii var., Elphidium advenum (Cushman),</v>
      </c>
      <c r="Y87" t="str">
        <f>'Long-form'!BH88</f>
        <v>&lt;HAT</v>
      </c>
      <c r="Z87" s="55">
        <f>'Long-form'!BT88</f>
        <v>-20.36755827141581</v>
      </c>
      <c r="AA87" s="55">
        <f>'Long-form'!BU88</f>
        <v>0.60822775339505841</v>
      </c>
      <c r="AB87" s="55">
        <f>'Long-form'!BV88</f>
        <v>0.60822775339505841</v>
      </c>
      <c r="AC87" s="55" t="str">
        <f>'Long-form'!BW88</f>
        <v>nd</v>
      </c>
      <c r="AD87" s="55" t="str">
        <f>'Long-form'!BX88</f>
        <v>nd</v>
      </c>
      <c r="AE87" s="55" t="str">
        <f>'Long-form'!BY88</f>
        <v>nd</v>
      </c>
      <c r="AF87" t="str">
        <f>'Long-form'!BZ88</f>
        <v>nd</v>
      </c>
      <c r="AG87">
        <f>'Long-form'!CB88</f>
        <v>0</v>
      </c>
      <c r="AH87">
        <f>'Long-form'!CD88</f>
        <v>0</v>
      </c>
      <c r="AI87" t="e">
        <f>'Long-form'!#REF!</f>
        <v>#REF!</v>
      </c>
    </row>
    <row r="88" spans="1:35">
      <c r="A88" t="str">
        <f>'Long-form'!A89</f>
        <v>ANU-10157</v>
      </c>
      <c r="B88" t="str">
        <f>'Long-form'!B89</f>
        <v>Yim, 2006</v>
      </c>
      <c r="C88" t="str">
        <f>'Long-form'!C89</f>
        <v>9a</v>
      </c>
      <c r="D88" t="str">
        <f>'Long-form'!D89</f>
        <v>Hong Kong</v>
      </c>
      <c r="E88" s="55">
        <f>'Long-form'!E89</f>
        <v>22.2989</v>
      </c>
      <c r="F88" s="55">
        <f>'Long-form'!F89</f>
        <v>113.89035</v>
      </c>
      <c r="G88" t="str">
        <f>'Long-form'!G89</f>
        <v>1 = Radiocarbon</v>
      </c>
      <c r="H88" s="56">
        <f>'Long-form'!H89</f>
        <v>19430</v>
      </c>
      <c r="I88" s="56">
        <f>'Long-form'!I89</f>
        <v>392.93765408777</v>
      </c>
      <c r="J88" s="56">
        <f>'Long-form'!J89</f>
        <v>23409</v>
      </c>
      <c r="K88" s="56">
        <f>'Long-form'!K89</f>
        <v>825</v>
      </c>
      <c r="L88" s="56">
        <f>'Long-form'!L89</f>
        <v>909</v>
      </c>
      <c r="M88" s="56" t="str">
        <f>'Long-form'!Q89</f>
        <v>transgressive</v>
      </c>
      <c r="N88" s="55">
        <f>'Long-form'!R89</f>
        <v>12.15</v>
      </c>
      <c r="O88" s="55" t="str">
        <f>'Long-form'!S89</f>
        <v>nd</v>
      </c>
      <c r="P88" s="55">
        <f>'Long-form'!T89</f>
        <v>1</v>
      </c>
      <c r="Q88" s="55">
        <f>'Long-form'!AM89</f>
        <v>-19.376000000000001</v>
      </c>
      <c r="R88" s="55" t="str">
        <f>'Long-form'!AN89</f>
        <v>YSD</v>
      </c>
      <c r="S88" s="55">
        <f>'Long-form'!AP89</f>
        <v>0.58664213963880918</v>
      </c>
      <c r="T88" s="55">
        <f>'Long-form'!AQ89</f>
        <v>0.58664213963880918</v>
      </c>
      <c r="U88">
        <f>'Long-form'!BC89</f>
        <v>1</v>
      </c>
      <c r="V88" t="str">
        <f>'Long-form'!BD89</f>
        <v>5 = Sedimentary (e.g., deltaic, estuarine, wetland, lacustrine, marine facies)</v>
      </c>
      <c r="W88" t="str">
        <f>'Long-form'!BE89</f>
        <v>Terrestrial soil</v>
      </c>
      <c r="X88" t="str">
        <f>'Long-form'!BF89</f>
        <v>Paleosol</v>
      </c>
      <c r="Y88" t="str">
        <f>'Long-form'!BH89</f>
        <v>&gt;MTL</v>
      </c>
      <c r="Z88" s="55">
        <f>'Long-form'!BT89</f>
        <v>-19.329869125601085</v>
      </c>
      <c r="AA88" s="55">
        <f>'Long-form'!BU89</f>
        <v>0.58876905489334275</v>
      </c>
      <c r="AB88" s="55">
        <f>'Long-form'!BV89</f>
        <v>0.58876905489334275</v>
      </c>
      <c r="AC88" s="55" t="str">
        <f>'Long-form'!BW89</f>
        <v>nd</v>
      </c>
      <c r="AD88" s="55" t="str">
        <f>'Long-form'!BX89</f>
        <v>nd</v>
      </c>
      <c r="AE88" s="55" t="str">
        <f>'Long-form'!BY89</f>
        <v>nd</v>
      </c>
      <c r="AF88" t="str">
        <f>'Long-form'!BZ89</f>
        <v>nd</v>
      </c>
      <c r="AG88">
        <f>'Long-form'!CB89</f>
        <v>0</v>
      </c>
      <c r="AH88">
        <f>'Long-form'!CD89</f>
        <v>0</v>
      </c>
      <c r="AI88" t="e">
        <f>'Long-form'!#REF!</f>
        <v>#REF!</v>
      </c>
    </row>
    <row r="89" spans="1:35">
      <c r="A89" t="str">
        <f>'Long-form'!A90</f>
        <v>KIA-2290</v>
      </c>
      <c r="B89" t="str">
        <f>'Long-form'!B90</f>
        <v>Yim, 2006</v>
      </c>
      <c r="C89" t="str">
        <f>'Long-form'!C90</f>
        <v>9a</v>
      </c>
      <c r="D89" t="str">
        <f>'Long-form'!D90</f>
        <v>Hong Kong</v>
      </c>
      <c r="E89" s="55">
        <f>'Long-form'!E90</f>
        <v>22.331022999999998</v>
      </c>
      <c r="F89" s="55">
        <f>'Long-form'!F90</f>
        <v>114.47753899999999</v>
      </c>
      <c r="G89" t="str">
        <f>'Long-form'!G90</f>
        <v>1 = Radiocarbon</v>
      </c>
      <c r="H89" s="56">
        <f>'Long-form'!H90</f>
        <v>780</v>
      </c>
      <c r="I89" s="56">
        <f>'Long-form'!I90</f>
        <v>30</v>
      </c>
      <c r="J89" s="56">
        <f>'Long-form'!J90</f>
        <v>249</v>
      </c>
      <c r="K89" s="56">
        <f>'Long-form'!K90</f>
        <v>198</v>
      </c>
      <c r="L89" s="56">
        <f>'Long-form'!L90</f>
        <v>210</v>
      </c>
      <c r="M89" s="56" t="str">
        <f>'Long-form'!Q90</f>
        <v>transgressive</v>
      </c>
      <c r="N89" s="55">
        <f>'Long-form'!R90</f>
        <v>0.5</v>
      </c>
      <c r="O89" s="55" t="str">
        <f>'Long-form'!S90</f>
        <v>nd</v>
      </c>
      <c r="P89" s="55">
        <f>'Long-form'!T90</f>
        <v>1</v>
      </c>
      <c r="Q89" s="55">
        <f>'Long-form'!AM90</f>
        <v>-27.526</v>
      </c>
      <c r="R89" s="55" t="str">
        <f>'Long-form'!AN90</f>
        <v>YSD</v>
      </c>
      <c r="S89" s="55">
        <f>'Long-form'!AP90</f>
        <v>0.53171891070376653</v>
      </c>
      <c r="T89" s="55">
        <f>'Long-form'!AQ90</f>
        <v>0.53171891070376653</v>
      </c>
      <c r="U89">
        <f>'Long-form'!BC90</f>
        <v>-1</v>
      </c>
      <c r="V89" t="str">
        <f>'Long-form'!BD90</f>
        <v>5 = Sedimentary (e.g., deltaic, estuarine, wetland, lacustrine, marine facies)</v>
      </c>
      <c r="W89" t="str">
        <f>'Long-form'!BE90</f>
        <v>Marine deposit</v>
      </c>
      <c r="X89" t="str">
        <f>'Long-form'!BF90</f>
        <v>Marine foraminifera A. beccarii var., Hanzawaia nipponica (Asano), and Elphidium spp.</v>
      </c>
      <c r="Y89" t="str">
        <f>'Long-form'!BH90</f>
        <v>&lt;MTL</v>
      </c>
      <c r="Z89" s="55">
        <f>'Long-form'!BT90</f>
        <v>-27.514994699718692</v>
      </c>
      <c r="AA89" s="55">
        <f>'Long-form'!BU90</f>
        <v>0.5340646028337771</v>
      </c>
      <c r="AB89" s="55">
        <f>'Long-form'!BV90</f>
        <v>0.5340646028337771</v>
      </c>
      <c r="AC89" s="55" t="str">
        <f>'Long-form'!BW90</f>
        <v>nd</v>
      </c>
      <c r="AD89" s="55" t="str">
        <f>'Long-form'!BX90</f>
        <v>nd</v>
      </c>
      <c r="AE89" s="55" t="str">
        <f>'Long-form'!BY90</f>
        <v>nd</v>
      </c>
      <c r="AF89" t="str">
        <f>'Long-form'!BZ90</f>
        <v>nd</v>
      </c>
      <c r="AG89">
        <f>'Long-form'!CB90</f>
        <v>0</v>
      </c>
      <c r="AH89">
        <f>'Long-form'!CD90</f>
        <v>0</v>
      </c>
      <c r="AI89" t="e">
        <f>'Long-form'!#REF!</f>
        <v>#REF!</v>
      </c>
    </row>
    <row r="90" spans="1:35">
      <c r="A90" t="str">
        <f>'Long-form'!A91</f>
        <v>KIA-2291</v>
      </c>
      <c r="B90" t="str">
        <f>'Long-form'!B91</f>
        <v>Yim, 2006</v>
      </c>
      <c r="C90" t="str">
        <f>'Long-form'!C91</f>
        <v>9a</v>
      </c>
      <c r="D90" t="str">
        <f>'Long-form'!D91</f>
        <v>Hong Kong</v>
      </c>
      <c r="E90" s="55">
        <f>'Long-form'!E91</f>
        <v>22.331022999999998</v>
      </c>
      <c r="F90" s="55">
        <f>'Long-form'!F91</f>
        <v>114.47753899999999</v>
      </c>
      <c r="G90" t="str">
        <f>'Long-form'!G91</f>
        <v>1 = Radiocarbon</v>
      </c>
      <c r="H90" s="56">
        <f>'Long-form'!H91</f>
        <v>1880</v>
      </c>
      <c r="I90" s="56">
        <f>'Long-form'!I91</f>
        <v>30</v>
      </c>
      <c r="J90" s="56">
        <f>'Long-form'!J91</f>
        <v>1288</v>
      </c>
      <c r="K90" s="56">
        <f>'Long-form'!K91</f>
        <v>210</v>
      </c>
      <c r="L90" s="56">
        <f>'Long-form'!L91</f>
        <v>201</v>
      </c>
      <c r="M90" s="56" t="str">
        <f>'Long-form'!Q91</f>
        <v>transgressive</v>
      </c>
      <c r="N90" s="55">
        <f>'Long-form'!R91</f>
        <v>1.5</v>
      </c>
      <c r="O90" s="55" t="str">
        <f>'Long-form'!S91</f>
        <v>nd</v>
      </c>
      <c r="P90" s="55">
        <f>'Long-form'!T91</f>
        <v>1</v>
      </c>
      <c r="Q90" s="55">
        <f>'Long-form'!AM91</f>
        <v>-28.526</v>
      </c>
      <c r="R90" s="55" t="str">
        <f>'Long-form'!AN91</f>
        <v>YSD</v>
      </c>
      <c r="S90" s="55">
        <f>'Long-form'!AP91</f>
        <v>0.53247065646850444</v>
      </c>
      <c r="T90" s="55">
        <f>'Long-form'!AQ91</f>
        <v>0.53247065646850444</v>
      </c>
      <c r="U90">
        <f>'Long-form'!BC91</f>
        <v>-1</v>
      </c>
      <c r="V90" t="str">
        <f>'Long-form'!BD91</f>
        <v>5 = Sedimentary (e.g., deltaic, estuarine, wetland, lacustrine, marine facies)</v>
      </c>
      <c r="W90" t="str">
        <f>'Long-form'!BE91</f>
        <v>Marine deposit</v>
      </c>
      <c r="X90" t="str">
        <f>'Long-form'!BF91</f>
        <v>Marine foraminifera A. beccarii var., Hanzawaia nipponica (Asano), and Elphidium spp.</v>
      </c>
      <c r="Y90" t="str">
        <f>'Long-form'!BH91</f>
        <v>&lt;MTL</v>
      </c>
      <c r="Z90" s="55">
        <f>'Long-form'!BT91</f>
        <v>-28.514994699718692</v>
      </c>
      <c r="AA90" s="55">
        <f>'Long-form'!BU91</f>
        <v>0.53481305144882174</v>
      </c>
      <c r="AB90" s="55">
        <f>'Long-form'!BV91</f>
        <v>0.53481305144882174</v>
      </c>
      <c r="AC90" s="55" t="str">
        <f>'Long-form'!BW91</f>
        <v>nd</v>
      </c>
      <c r="AD90" s="55" t="str">
        <f>'Long-form'!BX91</f>
        <v>nd</v>
      </c>
      <c r="AE90" s="55" t="str">
        <f>'Long-form'!BY91</f>
        <v>nd</v>
      </c>
      <c r="AF90" t="str">
        <f>'Long-form'!BZ91</f>
        <v>nd</v>
      </c>
      <c r="AG90">
        <f>'Long-form'!CB91</f>
        <v>0</v>
      </c>
      <c r="AH90">
        <f>'Long-form'!CD91</f>
        <v>0</v>
      </c>
      <c r="AI90" t="e">
        <f>'Long-form'!#REF!</f>
        <v>#REF!</v>
      </c>
    </row>
    <row r="91" spans="1:35">
      <c r="A91" t="str">
        <f>'Long-form'!A92</f>
        <v>KIA-2292</v>
      </c>
      <c r="B91" t="str">
        <f>'Long-form'!B92</f>
        <v>Yim, 2006</v>
      </c>
      <c r="C91" t="str">
        <f>'Long-form'!C92</f>
        <v>9a</v>
      </c>
      <c r="D91" t="str">
        <f>'Long-form'!D92</f>
        <v>Hong Kong</v>
      </c>
      <c r="E91" s="55">
        <f>'Long-form'!E92</f>
        <v>22.331022999999998</v>
      </c>
      <c r="F91" s="55">
        <f>'Long-form'!F92</f>
        <v>114.47753899999999</v>
      </c>
      <c r="G91" t="str">
        <f>'Long-form'!G92</f>
        <v>1 = Radiocarbon</v>
      </c>
      <c r="H91" s="56">
        <f>'Long-form'!H92</f>
        <v>2940</v>
      </c>
      <c r="I91" s="56">
        <f>'Long-form'!I92</f>
        <v>30</v>
      </c>
      <c r="J91" s="56">
        <f>'Long-form'!J92</f>
        <v>2550</v>
      </c>
      <c r="K91" s="56">
        <f>'Long-form'!K92</f>
        <v>199</v>
      </c>
      <c r="L91" s="56">
        <f>'Long-form'!L92</f>
        <v>224</v>
      </c>
      <c r="M91" s="56" t="str">
        <f>'Long-form'!Q92</f>
        <v>transgressive</v>
      </c>
      <c r="N91" s="55">
        <f>'Long-form'!R92</f>
        <v>3.3</v>
      </c>
      <c r="O91" s="55" t="str">
        <f>'Long-form'!S92</f>
        <v>nd</v>
      </c>
      <c r="P91" s="55">
        <f>'Long-form'!T92</f>
        <v>1</v>
      </c>
      <c r="Q91" s="55">
        <f>'Long-form'!AM92</f>
        <v>-30.326000000000001</v>
      </c>
      <c r="R91" s="55" t="str">
        <f>'Long-form'!AN92</f>
        <v>YSD</v>
      </c>
      <c r="S91" s="55">
        <f>'Long-form'!AP92</f>
        <v>0.53570607612757204</v>
      </c>
      <c r="T91" s="55">
        <f>'Long-form'!AQ92</f>
        <v>0.53570607612757204</v>
      </c>
      <c r="U91">
        <f>'Long-form'!BC92</f>
        <v>-1</v>
      </c>
      <c r="V91" t="str">
        <f>'Long-form'!BD92</f>
        <v>5 = Sedimentary (e.g., deltaic, estuarine, wetland, lacustrine, marine facies)</v>
      </c>
      <c r="W91" t="str">
        <f>'Long-form'!BE92</f>
        <v>Marine deposit</v>
      </c>
      <c r="X91" t="str">
        <f>'Long-form'!BF92</f>
        <v>Marine foraminifera A. beccarii var., Hanzawaia nipponica (Asano), and Elphidium spp.</v>
      </c>
      <c r="Y91" t="str">
        <f>'Long-form'!BH92</f>
        <v>&lt;MTL</v>
      </c>
      <c r="Z91" s="55">
        <f>'Long-form'!BT92</f>
        <v>-30.314994699718692</v>
      </c>
      <c r="AA91" s="55">
        <f>'Long-form'!BU92</f>
        <v>0.53803438551824923</v>
      </c>
      <c r="AB91" s="55">
        <f>'Long-form'!BV92</f>
        <v>0.53803438551824923</v>
      </c>
      <c r="AC91" s="55" t="str">
        <f>'Long-form'!BW92</f>
        <v>nd</v>
      </c>
      <c r="AD91" s="55" t="str">
        <f>'Long-form'!BX92</f>
        <v>nd</v>
      </c>
      <c r="AE91" s="55" t="str">
        <f>'Long-form'!BY92</f>
        <v>nd</v>
      </c>
      <c r="AF91" t="str">
        <f>'Long-form'!BZ92</f>
        <v>nd</v>
      </c>
      <c r="AG91">
        <f>'Long-form'!CB92</f>
        <v>0</v>
      </c>
      <c r="AH91">
        <f>'Long-form'!CD92</f>
        <v>0</v>
      </c>
      <c r="AI91" t="e">
        <f>'Long-form'!#REF!</f>
        <v>#REF!</v>
      </c>
    </row>
    <row r="92" spans="1:35">
      <c r="A92" t="str">
        <f>'Long-form'!A93</f>
        <v>KIA-2293</v>
      </c>
      <c r="B92" t="str">
        <f>'Long-form'!B93</f>
        <v>Yim, 2006</v>
      </c>
      <c r="C92" t="str">
        <f>'Long-form'!C93</f>
        <v>9a</v>
      </c>
      <c r="D92" t="str">
        <f>'Long-form'!D93</f>
        <v>Hong Kong</v>
      </c>
      <c r="E92" s="55">
        <f>'Long-form'!E93</f>
        <v>22.331022999999998</v>
      </c>
      <c r="F92" s="55">
        <f>'Long-form'!F93</f>
        <v>114.47753899999999</v>
      </c>
      <c r="G92" t="str">
        <f>'Long-form'!G93</f>
        <v>1 = Radiocarbon</v>
      </c>
      <c r="H92" s="56">
        <f>'Long-form'!H93</f>
        <v>7490</v>
      </c>
      <c r="I92" s="56">
        <f>'Long-form'!I93</f>
        <v>50</v>
      </c>
      <c r="J92" s="56">
        <f>'Long-form'!J93</f>
        <v>7779</v>
      </c>
      <c r="K92" s="56">
        <f>'Long-form'!K93</f>
        <v>198</v>
      </c>
      <c r="L92" s="56">
        <f>'Long-form'!L93</f>
        <v>207</v>
      </c>
      <c r="M92" s="56" t="str">
        <f>'Long-form'!Q93</f>
        <v>transgressive</v>
      </c>
      <c r="N92" s="55">
        <f>'Long-form'!R93</f>
        <v>7.25</v>
      </c>
      <c r="O92" s="55" t="str">
        <f>'Long-form'!S93</f>
        <v>nd</v>
      </c>
      <c r="P92" s="55">
        <f>'Long-form'!T93</f>
        <v>1</v>
      </c>
      <c r="Q92" s="55">
        <f>'Long-form'!AM93</f>
        <v>-34.276000000000003</v>
      </c>
      <c r="R92" s="55" t="str">
        <f>'Long-form'!AN93</f>
        <v>YSD</v>
      </c>
      <c r="S92" s="55">
        <f>'Long-form'!AP93</f>
        <v>0.55104446281584207</v>
      </c>
      <c r="T92" s="55">
        <f>'Long-form'!AQ93</f>
        <v>0.55104446281584207</v>
      </c>
      <c r="U92">
        <f>'Long-form'!BC93</f>
        <v>-1</v>
      </c>
      <c r="V92" t="str">
        <f>'Long-form'!BD93</f>
        <v>5 = Sedimentary (e.g., deltaic, estuarine, wetland, lacustrine, marine facies)</v>
      </c>
      <c r="W92" t="str">
        <f>'Long-form'!BE93</f>
        <v>Marine deposit</v>
      </c>
      <c r="X92" t="str">
        <f>'Long-form'!BF93</f>
        <v>Marine foraminifera A. beccarii var., Hanzawaia nipponica (Asano), and Elphidium spp.</v>
      </c>
      <c r="Y92" t="str">
        <f>'Long-form'!BH93</f>
        <v>&lt;MTL</v>
      </c>
      <c r="Z92" s="55">
        <f>'Long-form'!BT93</f>
        <v>-34.264994699718692</v>
      </c>
      <c r="AA92" s="55">
        <f>'Long-form'!BU93</f>
        <v>0.55330823236239668</v>
      </c>
      <c r="AB92" s="55">
        <f>'Long-form'!BV93</f>
        <v>0.55330823236239668</v>
      </c>
      <c r="AC92" s="55" t="str">
        <f>'Long-form'!BW93</f>
        <v>nd</v>
      </c>
      <c r="AD92" s="55" t="str">
        <f>'Long-form'!BX93</f>
        <v>nd</v>
      </c>
      <c r="AE92" s="55" t="str">
        <f>'Long-form'!BY93</f>
        <v>nd</v>
      </c>
      <c r="AF92" t="str">
        <f>'Long-form'!BZ93</f>
        <v>nd</v>
      </c>
      <c r="AG92">
        <f>'Long-form'!CB93</f>
        <v>0</v>
      </c>
      <c r="AH92">
        <f>'Long-form'!CD93</f>
        <v>0</v>
      </c>
      <c r="AI92" t="e">
        <f>'Long-form'!#REF!</f>
        <v>#REF!</v>
      </c>
    </row>
    <row r="93" spans="1:35">
      <c r="A93" t="str">
        <f>'Long-form'!A94</f>
        <v>GIFA-101372</v>
      </c>
      <c r="B93" t="str">
        <f>'Long-form'!B94</f>
        <v>Yim, 2006</v>
      </c>
      <c r="C93" t="str">
        <f>'Long-form'!C94</f>
        <v>9a</v>
      </c>
      <c r="D93" t="str">
        <f>'Long-form'!D94</f>
        <v>Hong Kong</v>
      </c>
      <c r="E93" s="55">
        <f>'Long-form'!E94</f>
        <v>21.664967000000001</v>
      </c>
      <c r="F93" s="55">
        <f>'Long-form'!F94</f>
        <v>114.191867</v>
      </c>
      <c r="G93" t="str">
        <f>'Long-form'!G94</f>
        <v>1 = Radiocarbon</v>
      </c>
      <c r="H93" s="56">
        <f>'Long-form'!H94</f>
        <v>5820</v>
      </c>
      <c r="I93" s="56">
        <f>'Long-form'!I94</f>
        <v>70</v>
      </c>
      <c r="J93" s="56">
        <f>'Long-form'!J94</f>
        <v>6049</v>
      </c>
      <c r="K93" s="56">
        <f>'Long-form'!K94</f>
        <v>239</v>
      </c>
      <c r="L93" s="56">
        <f>'Long-form'!L94</f>
        <v>267</v>
      </c>
      <c r="M93" s="56" t="str">
        <f>'Long-form'!Q94</f>
        <v>transgressive</v>
      </c>
      <c r="N93" s="55">
        <f>'Long-form'!R94</f>
        <v>2.125</v>
      </c>
      <c r="O93" s="55" t="str">
        <f>'Long-form'!S94</f>
        <v>nd</v>
      </c>
      <c r="P93" s="55">
        <f>'Long-form'!T94</f>
        <v>1</v>
      </c>
      <c r="Q93" s="55">
        <f>'Long-form'!AM94</f>
        <v>-55.156000000000006</v>
      </c>
      <c r="R93" s="55" t="str">
        <f>'Long-form'!AN94</f>
        <v>YSD</v>
      </c>
      <c r="S93" s="55">
        <f>'Long-form'!AP94</f>
        <v>0.54768261794583184</v>
      </c>
      <c r="T93" s="55">
        <f>'Long-form'!AQ94</f>
        <v>0.54768261794583184</v>
      </c>
      <c r="U93">
        <f>'Long-form'!BC94</f>
        <v>-1</v>
      </c>
      <c r="V93" t="str">
        <f>'Long-form'!BD94</f>
        <v>5 = Sedimentary (e.g., deltaic, estuarine, wetland, lacustrine, marine facies)</v>
      </c>
      <c r="W93" t="str">
        <f>'Long-form'!BE94</f>
        <v>Marine deposit</v>
      </c>
      <c r="X93" t="str">
        <f>'Long-form'!BF94</f>
        <v>Marine foraminifera A. beccarii var., Hanzawaia nipponica (Asano), and Elphidium spp.</v>
      </c>
      <c r="Y93" t="str">
        <f>'Long-form'!BH94</f>
        <v>&lt;HAT</v>
      </c>
      <c r="Z93" s="55">
        <f>'Long-form'!BT94</f>
        <v>-56.222410003512977</v>
      </c>
      <c r="AA93" s="55">
        <f>'Long-form'!BU94</f>
        <v>0.57650346920031625</v>
      </c>
      <c r="AB93" s="55">
        <f>'Long-form'!BV94</f>
        <v>0.57650346920031625</v>
      </c>
      <c r="AC93" s="55" t="str">
        <f>'Long-form'!BW94</f>
        <v>nd</v>
      </c>
      <c r="AD93" s="55" t="str">
        <f>'Long-form'!BX94</f>
        <v>nd</v>
      </c>
      <c r="AE93" s="55" t="str">
        <f>'Long-form'!BY94</f>
        <v>nd</v>
      </c>
      <c r="AF93" t="str">
        <f>'Long-form'!BZ94</f>
        <v>nd</v>
      </c>
      <c r="AG93">
        <f>'Long-form'!CB94</f>
        <v>0</v>
      </c>
      <c r="AH93">
        <f>'Long-form'!CD94</f>
        <v>0</v>
      </c>
      <c r="AI93" t="e">
        <f>'Long-form'!#REF!</f>
        <v>#REF!</v>
      </c>
    </row>
    <row r="94" spans="1:35">
      <c r="A94" t="str">
        <f>'Long-form'!A95</f>
        <v>GIFA-101373</v>
      </c>
      <c r="B94" t="str">
        <f>'Long-form'!B95</f>
        <v>Yim, 2006</v>
      </c>
      <c r="C94" t="str">
        <f>'Long-form'!C95</f>
        <v>9a</v>
      </c>
      <c r="D94" t="str">
        <f>'Long-form'!D95</f>
        <v>Hong Kong</v>
      </c>
      <c r="E94" s="55">
        <f>'Long-form'!E95</f>
        <v>21.664967000000001</v>
      </c>
      <c r="F94" s="55">
        <f>'Long-form'!F95</f>
        <v>114.191867</v>
      </c>
      <c r="G94" t="str">
        <f>'Long-form'!G95</f>
        <v>1 = Radiocarbon</v>
      </c>
      <c r="H94" s="56">
        <f>'Long-form'!H95</f>
        <v>9740</v>
      </c>
      <c r="I94" s="56">
        <f>'Long-form'!I95</f>
        <v>100</v>
      </c>
      <c r="J94" s="56">
        <f>'Long-form'!J95</f>
        <v>10519</v>
      </c>
      <c r="K94" s="56">
        <f>'Long-form'!K95</f>
        <v>453</v>
      </c>
      <c r="L94" s="56">
        <f>'Long-form'!L95</f>
        <v>341</v>
      </c>
      <c r="M94" s="56" t="str">
        <f>'Long-form'!Q95</f>
        <v>transgressive</v>
      </c>
      <c r="N94" s="55">
        <f>'Long-form'!R95</f>
        <v>2.375</v>
      </c>
      <c r="O94" s="55" t="str">
        <f>'Long-form'!S95</f>
        <v>nd</v>
      </c>
      <c r="P94" s="55">
        <f>'Long-form'!T95</f>
        <v>1</v>
      </c>
      <c r="Q94" s="55">
        <f>'Long-form'!AM95</f>
        <v>-55.406000000000006</v>
      </c>
      <c r="R94" s="55" t="str">
        <f>'Long-form'!AN95</f>
        <v>YSD</v>
      </c>
      <c r="S94" s="55">
        <f>'Long-form'!AP95</f>
        <v>0.54809328585561057</v>
      </c>
      <c r="T94" s="55">
        <f>'Long-form'!AQ95</f>
        <v>0.54809328585561057</v>
      </c>
      <c r="U94">
        <f>'Long-form'!BC95</f>
        <v>-1</v>
      </c>
      <c r="V94" t="str">
        <f>'Long-form'!BD95</f>
        <v>5 = Sedimentary (e.g., deltaic, estuarine, wetland, lacustrine, marine facies)</v>
      </c>
      <c r="W94" t="str">
        <f>'Long-form'!BE95</f>
        <v>Transgressive contact</v>
      </c>
      <c r="X94" t="str">
        <f>'Long-form'!BF95</f>
        <v>Shallow-water benthonic bethic foraminifera including Ammonia beccarii var., Elphidium advenum (Cushman),</v>
      </c>
      <c r="Y94" t="str">
        <f>'Long-form'!BH95</f>
        <v>&lt;MTL</v>
      </c>
      <c r="Z94" s="55">
        <f>'Long-form'!BT95</f>
        <v>-55.4011094795692</v>
      </c>
      <c r="AA94" s="55">
        <f>'Long-form'!BU95</f>
        <v>0.55036919426872</v>
      </c>
      <c r="AB94" s="55">
        <f>'Long-form'!BV95</f>
        <v>0.55036919426872</v>
      </c>
      <c r="AC94" s="55" t="str">
        <f>'Long-form'!BW95</f>
        <v>nd</v>
      </c>
      <c r="AD94" s="55" t="str">
        <f>'Long-form'!BX95</f>
        <v>nd</v>
      </c>
      <c r="AE94" s="55" t="str">
        <f>'Long-form'!BY95</f>
        <v>nd</v>
      </c>
      <c r="AF94" t="str">
        <f>'Long-form'!BZ95</f>
        <v>nd</v>
      </c>
      <c r="AG94">
        <f>'Long-form'!CB95</f>
        <v>0</v>
      </c>
      <c r="AH94">
        <f>'Long-form'!CD95</f>
        <v>0</v>
      </c>
      <c r="AI94" t="e">
        <f>'Long-form'!#REF!</f>
        <v>#REF!</v>
      </c>
    </row>
    <row r="95" spans="1:35">
      <c r="A95" t="str">
        <f>'Long-form'!A96</f>
        <v>GIFA-101374</v>
      </c>
      <c r="B95" t="str">
        <f>'Long-form'!B96</f>
        <v>Yim, 2006</v>
      </c>
      <c r="C95" t="str">
        <f>'Long-form'!C96</f>
        <v>9a</v>
      </c>
      <c r="D95" t="str">
        <f>'Long-form'!D96</f>
        <v>Hong Kong</v>
      </c>
      <c r="E95" s="55">
        <f>'Long-form'!E96</f>
        <v>21.665367</v>
      </c>
      <c r="F95" s="55">
        <f>'Long-form'!F96</f>
        <v>114.300667</v>
      </c>
      <c r="G95" t="str">
        <f>'Long-form'!G96</f>
        <v>1 = Radiocarbon</v>
      </c>
      <c r="H95" s="56">
        <f>'Long-form'!H96</f>
        <v>2150</v>
      </c>
      <c r="I95" s="56">
        <f>'Long-form'!I96</f>
        <v>60</v>
      </c>
      <c r="J95" s="56">
        <f>'Long-form'!J96</f>
        <v>1576</v>
      </c>
      <c r="K95" s="56">
        <f>'Long-form'!K96</f>
        <v>248</v>
      </c>
      <c r="L95" s="56">
        <f>'Long-form'!L96</f>
        <v>242</v>
      </c>
      <c r="M95" s="56" t="str">
        <f>'Long-form'!Q96</f>
        <v>nd</v>
      </c>
      <c r="N95" s="55">
        <f>'Long-form'!R96</f>
        <v>0.125</v>
      </c>
      <c r="O95" s="55" t="str">
        <f>'Long-form'!S96</f>
        <v>nd</v>
      </c>
      <c r="P95" s="55">
        <f>'Long-form'!T96</f>
        <v>1</v>
      </c>
      <c r="Q95" s="55">
        <f>'Long-form'!AM96</f>
        <v>-52.156000000000006</v>
      </c>
      <c r="R95" s="55" t="str">
        <f>'Long-form'!AN96</f>
        <v>YSD</v>
      </c>
      <c r="S95" s="55">
        <f>'Long-form'!AP96</f>
        <v>0.5460368577303184</v>
      </c>
      <c r="T95" s="55">
        <f>'Long-form'!AQ96</f>
        <v>0.5460368577303184</v>
      </c>
      <c r="U95">
        <f>'Long-form'!BC96</f>
        <v>-1</v>
      </c>
      <c r="V95" t="str">
        <f>'Long-form'!BD96</f>
        <v>5 = Sedimentary (e.g., deltaic, estuarine, wetland, lacustrine, marine facies)</v>
      </c>
      <c r="W95" t="str">
        <f>'Long-form'!BE96</f>
        <v>Transgressive contact (Uncertain)</v>
      </c>
      <c r="X95" t="str">
        <f>'Long-form'!BF96</f>
        <v>Gravel and sand, not other evidence</v>
      </c>
      <c r="Y95" t="str">
        <f>'Long-form'!BH96</f>
        <v>&lt;HAT</v>
      </c>
      <c r="Z95" s="55">
        <f>'Long-form'!BT96</f>
        <v>-53.241783833301355</v>
      </c>
      <c r="AA95" s="55">
        <f>'Long-form'!BU96</f>
        <v>0.57494021428318953</v>
      </c>
      <c r="AB95" s="55">
        <f>'Long-form'!BV96</f>
        <v>0.57494021428318953</v>
      </c>
      <c r="AC95" s="55" t="str">
        <f>'Long-form'!BW96</f>
        <v>nd</v>
      </c>
      <c r="AD95" s="55" t="str">
        <f>'Long-form'!BX96</f>
        <v>nd</v>
      </c>
      <c r="AE95" s="55" t="str">
        <f>'Long-form'!BY96</f>
        <v>nd</v>
      </c>
      <c r="AF95" t="str">
        <f>'Long-form'!BZ96</f>
        <v>nd</v>
      </c>
      <c r="AG95">
        <f>'Long-form'!CB96</f>
        <v>1</v>
      </c>
      <c r="AH95">
        <f>'Long-form'!CD96</f>
        <v>0</v>
      </c>
      <c r="AI95" t="e">
        <f>'Long-form'!#REF!</f>
        <v>#REF!</v>
      </c>
    </row>
    <row r="96" spans="1:35">
      <c r="A96" t="str">
        <f>'Long-form'!A97</f>
        <v>GIFA-101375</v>
      </c>
      <c r="B96" t="str">
        <f>'Long-form'!B97</f>
        <v>Yim, 2006</v>
      </c>
      <c r="C96" t="str">
        <f>'Long-form'!C97</f>
        <v>9a</v>
      </c>
      <c r="D96" t="str">
        <f>'Long-form'!D97</f>
        <v>Hong Kong</v>
      </c>
      <c r="E96" s="55">
        <f>'Long-form'!E97</f>
        <v>21.665367</v>
      </c>
      <c r="F96" s="55">
        <f>'Long-form'!F97</f>
        <v>114.300667</v>
      </c>
      <c r="G96" t="str">
        <f>'Long-form'!G97</f>
        <v>1 = Radiocarbon</v>
      </c>
      <c r="H96" s="56">
        <f>'Long-form'!H97</f>
        <v>4750</v>
      </c>
      <c r="I96" s="56">
        <f>'Long-form'!I97</f>
        <v>70</v>
      </c>
      <c r="J96" s="56">
        <f>'Long-form'!J97</f>
        <v>4823</v>
      </c>
      <c r="K96" s="56">
        <f>'Long-form'!K97</f>
        <v>324</v>
      </c>
      <c r="L96" s="56">
        <f>'Long-form'!L97</f>
        <v>312</v>
      </c>
      <c r="M96" s="56" t="str">
        <f>'Long-form'!Q97</f>
        <v>nd</v>
      </c>
      <c r="N96" s="55">
        <f>'Long-form'!R97</f>
        <v>0.625</v>
      </c>
      <c r="O96" s="55" t="str">
        <f>'Long-form'!S97</f>
        <v>nd</v>
      </c>
      <c r="P96" s="55">
        <f>'Long-form'!T97</f>
        <v>1</v>
      </c>
      <c r="Q96" s="55">
        <f>'Long-form'!AM97</f>
        <v>-52.656000000000006</v>
      </c>
      <c r="R96" s="55" t="str">
        <f>'Long-form'!AN97</f>
        <v>YSD</v>
      </c>
      <c r="S96" s="55">
        <f>'Long-form'!AP97</f>
        <v>0.54617419382464416</v>
      </c>
      <c r="T96" s="55">
        <f>'Long-form'!AQ97</f>
        <v>0.54617419382464416</v>
      </c>
      <c r="U96">
        <f>'Long-form'!BC97</f>
        <v>-1</v>
      </c>
      <c r="V96" t="str">
        <f>'Long-form'!BD97</f>
        <v>5 = Sedimentary (e.g., deltaic, estuarine, wetland, lacustrine, marine facies)</v>
      </c>
      <c r="W96" t="str">
        <f>'Long-form'!BE97</f>
        <v>Transgressive contact (Uncertain)</v>
      </c>
      <c r="X96" t="str">
        <f>'Long-form'!BF97</f>
        <v>Gravel and sand, not other evidence</v>
      </c>
      <c r="Y96" t="str">
        <f>'Long-form'!BH97</f>
        <v>&lt;HAT</v>
      </c>
      <c r="Z96" s="55">
        <f>'Long-form'!BT97</f>
        <v>-53.741783833301355</v>
      </c>
      <c r="AA96" s="55">
        <f>'Long-form'!BU97</f>
        <v>0.57507064783381179</v>
      </c>
      <c r="AB96" s="55">
        <f>'Long-form'!BV97</f>
        <v>0.57507064783381179</v>
      </c>
      <c r="AC96" s="55" t="str">
        <f>'Long-form'!BW97</f>
        <v>nd</v>
      </c>
      <c r="AD96" s="55" t="str">
        <f>'Long-form'!BX97</f>
        <v>nd</v>
      </c>
      <c r="AE96" s="55" t="str">
        <f>'Long-form'!BY97</f>
        <v>nd</v>
      </c>
      <c r="AF96" t="str">
        <f>'Long-form'!BZ97</f>
        <v>nd</v>
      </c>
      <c r="AG96">
        <f>'Long-form'!CB97</f>
        <v>1</v>
      </c>
      <c r="AH96">
        <f>'Long-form'!CD97</f>
        <v>0</v>
      </c>
      <c r="AI96" t="e">
        <f>'Long-form'!#REF!</f>
        <v>#REF!</v>
      </c>
    </row>
    <row r="97" spans="1:35">
      <c r="A97" t="str">
        <f>'Long-form'!A98</f>
        <v>GIFA-101376</v>
      </c>
      <c r="B97" t="str">
        <f>'Long-form'!B98</f>
        <v>Yim, 2006</v>
      </c>
      <c r="C97" t="str">
        <f>'Long-form'!C98</f>
        <v>9a</v>
      </c>
      <c r="D97" t="str">
        <f>'Long-form'!D98</f>
        <v>Hong Kong</v>
      </c>
      <c r="E97" s="55">
        <f>'Long-form'!E98</f>
        <v>21.665367</v>
      </c>
      <c r="F97" s="55">
        <f>'Long-form'!F98</f>
        <v>114.300667</v>
      </c>
      <c r="G97" t="str">
        <f>'Long-form'!G98</f>
        <v>1 = Radiocarbon</v>
      </c>
      <c r="H97" s="56">
        <f>'Long-form'!H98</f>
        <v>2320</v>
      </c>
      <c r="I97" s="56">
        <f>'Long-form'!I98</f>
        <v>45</v>
      </c>
      <c r="J97" s="56">
        <f>'Long-form'!J98</f>
        <v>1777</v>
      </c>
      <c r="K97" s="56">
        <f>'Long-form'!K98</f>
        <v>241</v>
      </c>
      <c r="L97" s="56">
        <f>'Long-form'!L98</f>
        <v>245</v>
      </c>
      <c r="M97" s="56" t="str">
        <f>'Long-form'!Q98</f>
        <v>nd</v>
      </c>
      <c r="N97" s="55">
        <f>'Long-form'!R98</f>
        <v>0.625</v>
      </c>
      <c r="O97" s="55" t="str">
        <f>'Long-form'!S98</f>
        <v>nd</v>
      </c>
      <c r="P97" s="55">
        <f>'Long-form'!T98</f>
        <v>1</v>
      </c>
      <c r="Q97" s="55">
        <f>'Long-form'!AM98</f>
        <v>-52.656000000000006</v>
      </c>
      <c r="R97" s="55" t="str">
        <f>'Long-form'!AN98</f>
        <v>YSD</v>
      </c>
      <c r="S97" s="55">
        <f>'Long-form'!AP98</f>
        <v>0.54617419382464416</v>
      </c>
      <c r="T97" s="55">
        <f>'Long-form'!AQ98</f>
        <v>0.54617419382464416</v>
      </c>
      <c r="U97">
        <f>'Long-form'!BC98</f>
        <v>-1</v>
      </c>
      <c r="V97" t="str">
        <f>'Long-form'!BD98</f>
        <v>5 = Sedimentary (e.g., deltaic, estuarine, wetland, lacustrine, marine facies)</v>
      </c>
      <c r="W97" t="str">
        <f>'Long-form'!BE98</f>
        <v>Transgressive contact (Uncertain)</v>
      </c>
      <c r="X97" t="str">
        <f>'Long-form'!BF98</f>
        <v>Gravel and sand, not other evidence</v>
      </c>
      <c r="Y97" t="str">
        <f>'Long-form'!BH98</f>
        <v>&lt;HAT</v>
      </c>
      <c r="Z97" s="55">
        <f>'Long-form'!BT98</f>
        <v>-53.741783833301355</v>
      </c>
      <c r="AA97" s="55">
        <f>'Long-form'!BU98</f>
        <v>0.57507064783381179</v>
      </c>
      <c r="AB97" s="55">
        <f>'Long-form'!BV98</f>
        <v>0.57507064783381179</v>
      </c>
      <c r="AC97" s="55" t="str">
        <f>'Long-form'!BW98</f>
        <v>nd</v>
      </c>
      <c r="AD97" s="55" t="str">
        <f>'Long-form'!BX98</f>
        <v>nd</v>
      </c>
      <c r="AE97" s="55" t="str">
        <f>'Long-form'!BY98</f>
        <v>nd</v>
      </c>
      <c r="AF97" t="str">
        <f>'Long-form'!BZ98</f>
        <v>nd</v>
      </c>
      <c r="AG97">
        <f>'Long-form'!CB98</f>
        <v>1</v>
      </c>
      <c r="AH97">
        <f>'Long-form'!CD98</f>
        <v>0</v>
      </c>
      <c r="AI97" t="e">
        <f>'Long-form'!#REF!</f>
        <v>#REF!</v>
      </c>
    </row>
    <row r="98" spans="1:35">
      <c r="A98" t="str">
        <f>'Long-form'!A99</f>
        <v>GIFA-101377</v>
      </c>
      <c r="B98" t="str">
        <f>'Long-form'!B99</f>
        <v>Yim, 2006</v>
      </c>
      <c r="C98" t="str">
        <f>'Long-form'!C99</f>
        <v>9a</v>
      </c>
      <c r="D98" t="str">
        <f>'Long-form'!D99</f>
        <v>Hong Kong</v>
      </c>
      <c r="E98" s="55">
        <f>'Long-form'!E99</f>
        <v>21.665367</v>
      </c>
      <c r="F98" s="55">
        <f>'Long-form'!F99</f>
        <v>114.300667</v>
      </c>
      <c r="G98" t="str">
        <f>'Long-form'!G99</f>
        <v>1 = Radiocarbon</v>
      </c>
      <c r="H98" s="56">
        <f>'Long-form'!H99</f>
        <v>4040</v>
      </c>
      <c r="I98" s="56">
        <f>'Long-form'!I99</f>
        <v>70</v>
      </c>
      <c r="J98" s="56">
        <f>'Long-form'!J99</f>
        <v>3899</v>
      </c>
      <c r="K98" s="56">
        <f>'Long-form'!K99</f>
        <v>313</v>
      </c>
      <c r="L98" s="56">
        <f>'Long-form'!L99</f>
        <v>300</v>
      </c>
      <c r="M98" s="56" t="str">
        <f>'Long-form'!Q99</f>
        <v>nd</v>
      </c>
      <c r="N98" s="55">
        <f>'Long-form'!R99</f>
        <v>0.625</v>
      </c>
      <c r="O98" s="55" t="str">
        <f>'Long-form'!S99</f>
        <v>nd</v>
      </c>
      <c r="P98" s="55">
        <f>'Long-form'!T99</f>
        <v>1</v>
      </c>
      <c r="Q98" s="55">
        <f>'Long-form'!AM99</f>
        <v>-52.656000000000006</v>
      </c>
      <c r="R98" s="55" t="str">
        <f>'Long-form'!AN99</f>
        <v>YSD</v>
      </c>
      <c r="S98" s="55">
        <f>'Long-form'!AP99</f>
        <v>0.54617419382464416</v>
      </c>
      <c r="T98" s="55">
        <f>'Long-form'!AQ99</f>
        <v>0.54617419382464416</v>
      </c>
      <c r="U98">
        <f>'Long-form'!BC99</f>
        <v>-1</v>
      </c>
      <c r="V98" t="str">
        <f>'Long-form'!BD99</f>
        <v>5 = Sedimentary (e.g., deltaic, estuarine, wetland, lacustrine, marine facies)</v>
      </c>
      <c r="W98" t="str">
        <f>'Long-form'!BE99</f>
        <v>Transgressive contact (Uncertain)</v>
      </c>
      <c r="X98" t="str">
        <f>'Long-form'!BF99</f>
        <v>Gravel and sand, not other evidence</v>
      </c>
      <c r="Y98" t="str">
        <f>'Long-form'!BH99</f>
        <v>&lt;HAT</v>
      </c>
      <c r="Z98" s="55">
        <f>'Long-form'!BT99</f>
        <v>-53.741783833301355</v>
      </c>
      <c r="AA98" s="55">
        <f>'Long-form'!BU99</f>
        <v>0.57507064783381179</v>
      </c>
      <c r="AB98" s="55">
        <f>'Long-form'!BV99</f>
        <v>0.57507064783381179</v>
      </c>
      <c r="AC98" s="55" t="str">
        <f>'Long-form'!BW99</f>
        <v>nd</v>
      </c>
      <c r="AD98" s="55" t="str">
        <f>'Long-form'!BX99</f>
        <v>nd</v>
      </c>
      <c r="AE98" s="55" t="str">
        <f>'Long-form'!BY99</f>
        <v>nd</v>
      </c>
      <c r="AF98" t="str">
        <f>'Long-form'!BZ99</f>
        <v>nd</v>
      </c>
      <c r="AG98">
        <f>'Long-form'!CB99</f>
        <v>1</v>
      </c>
      <c r="AH98">
        <f>'Long-form'!CD99</f>
        <v>0</v>
      </c>
      <c r="AI98" t="e">
        <f>'Long-form'!#REF!</f>
        <v>#REF!</v>
      </c>
    </row>
    <row r="99" spans="1:35">
      <c r="A99" t="str">
        <f>'Long-form'!A100</f>
        <v>GIFA-101378</v>
      </c>
      <c r="B99" t="str">
        <f>'Long-form'!B100</f>
        <v>Yim, 2006</v>
      </c>
      <c r="C99" t="str">
        <f>'Long-form'!C100</f>
        <v>9a</v>
      </c>
      <c r="D99" t="str">
        <f>'Long-form'!D100</f>
        <v>Hong Kong</v>
      </c>
      <c r="E99" s="55">
        <f>'Long-form'!E100</f>
        <v>21.665367</v>
      </c>
      <c r="F99" s="55">
        <f>'Long-form'!F100</f>
        <v>114.300667</v>
      </c>
      <c r="G99" t="str">
        <f>'Long-form'!G100</f>
        <v>1 = Radiocarbon</v>
      </c>
      <c r="H99" s="56">
        <f>'Long-form'!H100</f>
        <v>3060</v>
      </c>
      <c r="I99" s="56">
        <f>'Long-form'!I100</f>
        <v>70</v>
      </c>
      <c r="J99" s="56">
        <f>'Long-form'!J100</f>
        <v>2690</v>
      </c>
      <c r="K99" s="56">
        <f>'Long-form'!K100</f>
        <v>266</v>
      </c>
      <c r="L99" s="56">
        <f>'Long-form'!L100</f>
        <v>308</v>
      </c>
      <c r="M99" s="56" t="str">
        <f>'Long-form'!Q100</f>
        <v>nd</v>
      </c>
      <c r="N99" s="55">
        <f>'Long-form'!R100</f>
        <v>0.625</v>
      </c>
      <c r="O99" s="55" t="str">
        <f>'Long-form'!S100</f>
        <v>nd</v>
      </c>
      <c r="P99" s="55">
        <f>'Long-form'!T100</f>
        <v>1</v>
      </c>
      <c r="Q99" s="55">
        <f>'Long-form'!AM100</f>
        <v>-52.656000000000006</v>
      </c>
      <c r="R99" s="55" t="str">
        <f>'Long-form'!AN100</f>
        <v>YSD</v>
      </c>
      <c r="S99" s="55">
        <f>'Long-form'!AP100</f>
        <v>0.54617419382464416</v>
      </c>
      <c r="T99" s="55">
        <f>'Long-form'!AQ100</f>
        <v>0.54617419382464416</v>
      </c>
      <c r="U99">
        <f>'Long-form'!BC100</f>
        <v>-1</v>
      </c>
      <c r="V99" t="str">
        <f>'Long-form'!BD100</f>
        <v>5 = Sedimentary (e.g., deltaic, estuarine, wetland, lacustrine, marine facies)</v>
      </c>
      <c r="W99" t="str">
        <f>'Long-form'!BE100</f>
        <v>Transgressive contact (Uncertain)</v>
      </c>
      <c r="X99" t="str">
        <f>'Long-form'!BF100</f>
        <v>Gravel and sand, not other evidence</v>
      </c>
      <c r="Y99" t="str">
        <f>'Long-form'!BH100</f>
        <v>&lt;HAT</v>
      </c>
      <c r="Z99" s="55">
        <f>'Long-form'!BT100</f>
        <v>-53.741783833301355</v>
      </c>
      <c r="AA99" s="55">
        <f>'Long-form'!BU100</f>
        <v>0.57507064783381179</v>
      </c>
      <c r="AB99" s="55">
        <f>'Long-form'!BV100</f>
        <v>0.57507064783381179</v>
      </c>
      <c r="AC99" s="55" t="str">
        <f>'Long-form'!BW100</f>
        <v>nd</v>
      </c>
      <c r="AD99" s="55" t="str">
        <f>'Long-form'!BX100</f>
        <v>nd</v>
      </c>
      <c r="AE99" s="55" t="str">
        <f>'Long-form'!BY100</f>
        <v>nd</v>
      </c>
      <c r="AF99" t="str">
        <f>'Long-form'!BZ100</f>
        <v>nd</v>
      </c>
      <c r="AG99">
        <f>'Long-form'!CB100</f>
        <v>1</v>
      </c>
      <c r="AH99">
        <f>'Long-form'!CD100</f>
        <v>0</v>
      </c>
      <c r="AI99" t="e">
        <f>'Long-form'!#REF!</f>
        <v>#REF!</v>
      </c>
    </row>
    <row r="100" spans="1:35">
      <c r="A100" t="str">
        <f>'Long-form'!A101</f>
        <v>GIFA-101379</v>
      </c>
      <c r="B100" t="str">
        <f>'Long-form'!B101</f>
        <v>Yim, 2006</v>
      </c>
      <c r="C100" t="str">
        <f>'Long-form'!C101</f>
        <v>9a</v>
      </c>
      <c r="D100" t="str">
        <f>'Long-form'!D101</f>
        <v>Hong Kong</v>
      </c>
      <c r="E100" s="55">
        <f>'Long-form'!E101</f>
        <v>21.665533</v>
      </c>
      <c r="F100" s="55">
        <f>'Long-form'!F101</f>
        <v>114.37155</v>
      </c>
      <c r="G100" t="str">
        <f>'Long-form'!G101</f>
        <v>1 = Radiocarbon</v>
      </c>
      <c r="H100" s="56">
        <f>'Long-form'!H101</f>
        <v>830</v>
      </c>
      <c r="I100" s="56">
        <f>'Long-form'!I101</f>
        <v>60</v>
      </c>
      <c r="J100" s="56">
        <f>'Long-form'!J101</f>
        <v>301</v>
      </c>
      <c r="K100" s="56">
        <f>'Long-form'!K101</f>
        <v>197</v>
      </c>
      <c r="L100" s="56">
        <f>'Long-form'!L101</f>
        <v>235</v>
      </c>
      <c r="M100" s="56" t="str">
        <f>'Long-form'!Q101</f>
        <v>transgressive</v>
      </c>
      <c r="N100" s="55">
        <f>'Long-form'!R101</f>
        <v>0.375</v>
      </c>
      <c r="O100" s="55" t="str">
        <f>'Long-form'!S101</f>
        <v>nd</v>
      </c>
      <c r="P100" s="55">
        <f>'Long-form'!T101</f>
        <v>1</v>
      </c>
      <c r="Q100" s="55">
        <f>'Long-form'!AM101</f>
        <v>-59.406000000000006</v>
      </c>
      <c r="R100" s="55" t="str">
        <f>'Long-form'!AN101</f>
        <v>YSD</v>
      </c>
      <c r="S100" s="55">
        <f>'Long-form'!AP101</f>
        <v>0.54608264026610476</v>
      </c>
      <c r="T100" s="55">
        <f>'Long-form'!AQ101</f>
        <v>0.54608264026610476</v>
      </c>
      <c r="U100">
        <f>'Long-form'!BC101</f>
        <v>-1</v>
      </c>
      <c r="V100" t="str">
        <f>'Long-form'!BD101</f>
        <v>5 = Sedimentary (e.g., deltaic, estuarine, wetland, lacustrine, marine facies)</v>
      </c>
      <c r="W100" t="str">
        <f>'Long-form'!BE101</f>
        <v>Marine deposit</v>
      </c>
      <c r="X100" t="str">
        <f>'Long-form'!BF101</f>
        <v>Marine foraminifera A. beccarii var., Hanzawaia nipponica (Asano), and Elphidium spp.</v>
      </c>
      <c r="Y100" t="str">
        <f>'Long-form'!BH101</f>
        <v>&lt;MTL</v>
      </c>
      <c r="Z100" s="55">
        <f>'Long-form'!BT101</f>
        <v>-59.442568944281511</v>
      </c>
      <c r="AA100" s="55">
        <f>'Long-form'!BU101</f>
        <v>0.5483668936031787</v>
      </c>
      <c r="AB100" s="55">
        <f>'Long-form'!BV101</f>
        <v>0.5483668936031787</v>
      </c>
      <c r="AC100" s="55" t="str">
        <f>'Long-form'!BW101</f>
        <v>nd</v>
      </c>
      <c r="AD100" s="55" t="str">
        <f>'Long-form'!BX101</f>
        <v>nd</v>
      </c>
      <c r="AE100" s="55" t="str">
        <f>'Long-form'!BY101</f>
        <v>nd</v>
      </c>
      <c r="AF100" t="str">
        <f>'Long-form'!BZ101</f>
        <v>nd</v>
      </c>
      <c r="AG100">
        <f>'Long-form'!CB101</f>
        <v>0</v>
      </c>
      <c r="AH100">
        <f>'Long-form'!CD101</f>
        <v>0</v>
      </c>
      <c r="AI100" t="e">
        <f>'Long-form'!#REF!</f>
        <v>#REF!</v>
      </c>
    </row>
    <row r="101" spans="1:35">
      <c r="A101" t="str">
        <f>'Long-form'!A102</f>
        <v>GIFA-101380</v>
      </c>
      <c r="B101" t="str">
        <f>'Long-form'!B102</f>
        <v>Yim, 2006</v>
      </c>
      <c r="C101" t="str">
        <f>'Long-form'!C102</f>
        <v>9a</v>
      </c>
      <c r="D101" t="str">
        <f>'Long-form'!D102</f>
        <v>Hong Kong</v>
      </c>
      <c r="E101" s="55">
        <f>'Long-form'!E102</f>
        <v>21.665533</v>
      </c>
      <c r="F101" s="55">
        <f>'Long-form'!F102</f>
        <v>114.37155</v>
      </c>
      <c r="G101" t="str">
        <f>'Long-form'!G102</f>
        <v>1 = Radiocarbon</v>
      </c>
      <c r="H101" s="56">
        <f>'Long-form'!H102</f>
        <v>7710</v>
      </c>
      <c r="I101" s="56">
        <f>'Long-form'!I102</f>
        <v>70</v>
      </c>
      <c r="J101" s="56">
        <f>'Long-form'!J102</f>
        <v>8005</v>
      </c>
      <c r="K101" s="56">
        <f>'Long-form'!K102</f>
        <v>260</v>
      </c>
      <c r="L101" s="56">
        <f>'Long-form'!L102</f>
        <v>243</v>
      </c>
      <c r="M101" s="56" t="str">
        <f>'Long-form'!Q102</f>
        <v>transgressive</v>
      </c>
      <c r="N101" s="55">
        <f>'Long-form'!R102</f>
        <v>1.05</v>
      </c>
      <c r="O101" s="55" t="str">
        <f>'Long-form'!S102</f>
        <v>nd</v>
      </c>
      <c r="P101" s="55">
        <f>'Long-form'!T102</f>
        <v>1</v>
      </c>
      <c r="Q101" s="55">
        <f>'Long-form'!AM102</f>
        <v>-60.076000000000001</v>
      </c>
      <c r="R101" s="55" t="str">
        <f>'Long-form'!AN102</f>
        <v>YSD</v>
      </c>
      <c r="S101" s="55">
        <f>'Long-form'!AP102</f>
        <v>0.53429018332737499</v>
      </c>
      <c r="T101" s="55">
        <f>'Long-form'!AQ102</f>
        <v>0.53429018332737499</v>
      </c>
      <c r="U101">
        <f>'Long-form'!BC102</f>
        <v>-1</v>
      </c>
      <c r="V101" t="str">
        <f>'Long-form'!BD102</f>
        <v>5 = Sedimentary (e.g., deltaic, estuarine, wetland, lacustrine, marine facies)</v>
      </c>
      <c r="W101" t="str">
        <f>'Long-form'!BE102</f>
        <v>Transgressive contact</v>
      </c>
      <c r="X101" t="str">
        <f>'Long-form'!BF102</f>
        <v>Shallow-water benthonic bethic foraminifera including Ammonia beccarii var., Elphidium advenum (Cushman),</v>
      </c>
      <c r="Y101" t="str">
        <f>'Long-form'!BH102</f>
        <v>&lt;HAT</v>
      </c>
      <c r="Z101" s="55">
        <f>'Long-form'!BT102</f>
        <v>-61.227295911534632</v>
      </c>
      <c r="AA101" s="55">
        <f>'Long-form'!BU102</f>
        <v>0.56379606241973701</v>
      </c>
      <c r="AB101" s="55">
        <f>'Long-form'!BV102</f>
        <v>0.56379606241973701</v>
      </c>
      <c r="AC101" s="55" t="str">
        <f>'Long-form'!BW102</f>
        <v>nd</v>
      </c>
      <c r="AD101" s="55" t="str">
        <f>'Long-form'!BX102</f>
        <v>nd</v>
      </c>
      <c r="AE101" s="55" t="str">
        <f>'Long-form'!BY102</f>
        <v>nd</v>
      </c>
      <c r="AF101" t="str">
        <f>'Long-form'!BZ102</f>
        <v>nd</v>
      </c>
      <c r="AG101">
        <f>'Long-form'!CB102</f>
        <v>0</v>
      </c>
      <c r="AH101">
        <f>'Long-form'!CD102</f>
        <v>0</v>
      </c>
      <c r="AI101" t="e">
        <f>'Long-form'!#REF!</f>
        <v>#REF!</v>
      </c>
    </row>
    <row r="102" spans="1:35">
      <c r="A102" t="str">
        <f>'Long-form'!A103</f>
        <v>Gif-11683</v>
      </c>
      <c r="B102" t="str">
        <f>'Long-form'!B103</f>
        <v>Yim, 2006</v>
      </c>
      <c r="C102" t="str">
        <f>'Long-form'!C103</f>
        <v>9a</v>
      </c>
      <c r="D102" t="str">
        <f>'Long-form'!D103</f>
        <v>Hong Kong</v>
      </c>
      <c r="E102" s="55">
        <f>'Long-form'!E103</f>
        <v>21.665666999999999</v>
      </c>
      <c r="F102" s="55">
        <f>'Long-form'!F103</f>
        <v>114.483717</v>
      </c>
      <c r="G102" t="str">
        <f>'Long-form'!G103</f>
        <v>1 = Radiocarbon</v>
      </c>
      <c r="H102" s="56">
        <f>'Long-form'!H103</f>
        <v>2840</v>
      </c>
      <c r="I102" s="56">
        <f>'Long-form'!I103</f>
        <v>114.12712210513327</v>
      </c>
      <c r="J102" s="56">
        <f>'Long-form'!J103</f>
        <v>2979</v>
      </c>
      <c r="K102" s="56">
        <f>'Long-form'!K103</f>
        <v>343</v>
      </c>
      <c r="L102" s="56">
        <f>'Long-form'!L103</f>
        <v>227</v>
      </c>
      <c r="M102" s="56" t="str">
        <f>'Long-form'!Q103</f>
        <v>transgressive</v>
      </c>
      <c r="N102" s="55">
        <f>'Long-form'!R103</f>
        <v>0.125</v>
      </c>
      <c r="O102" s="55" t="str">
        <f>'Long-form'!S103</f>
        <v>nd</v>
      </c>
      <c r="P102" s="55">
        <f>'Long-form'!T103</f>
        <v>1</v>
      </c>
      <c r="Q102" s="55">
        <f>'Long-form'!AM103</f>
        <v>-66.146000000000001</v>
      </c>
      <c r="R102" s="55" t="str">
        <f>'Long-form'!AN103</f>
        <v>YSD</v>
      </c>
      <c r="S102" s="55">
        <f>'Long-form'!AP103</f>
        <v>0.54829850446631712</v>
      </c>
      <c r="T102" s="55">
        <f>'Long-form'!AQ103</f>
        <v>0.54829850446631712</v>
      </c>
      <c r="U102">
        <f>'Long-form'!BC103</f>
        <v>-1</v>
      </c>
      <c r="V102" t="str">
        <f>'Long-form'!BD103</f>
        <v>5 = Sedimentary (e.g., deltaic, estuarine, wetland, lacustrine, marine facies)</v>
      </c>
      <c r="W102" t="str">
        <f>'Long-form'!BE103</f>
        <v>Marine deposit</v>
      </c>
      <c r="X102" t="str">
        <f>'Long-form'!BF103</f>
        <v>Marine foraminifera Bigenerina Taiwanica, Textularia conica,Pseudorotalia indopacifica</v>
      </c>
      <c r="Y102" t="str">
        <f>'Long-form'!BH103</f>
        <v>&lt;MTL</v>
      </c>
      <c r="Z102" s="55">
        <f>'Long-form'!BT103</f>
        <v>-66.192171864937848</v>
      </c>
      <c r="AA102" s="55">
        <f>'Long-form'!BU103</f>
        <v>0.55057356456698858</v>
      </c>
      <c r="AB102" s="55">
        <f>'Long-form'!BV103</f>
        <v>0.55057356456698858</v>
      </c>
      <c r="AC102" s="55" t="str">
        <f>'Long-form'!BW103</f>
        <v>nd</v>
      </c>
      <c r="AD102" s="55" t="str">
        <f>'Long-form'!BX103</f>
        <v>nd</v>
      </c>
      <c r="AE102" s="55" t="str">
        <f>'Long-form'!BY103</f>
        <v>nd</v>
      </c>
      <c r="AF102" t="str">
        <f>'Long-form'!BZ103</f>
        <v>nd</v>
      </c>
      <c r="AG102">
        <f>'Long-form'!CB103</f>
        <v>0</v>
      </c>
      <c r="AH102">
        <f>'Long-form'!CD103</f>
        <v>0</v>
      </c>
      <c r="AI102" t="e">
        <f>'Long-form'!#REF!</f>
        <v>#REF!</v>
      </c>
    </row>
    <row r="103" spans="1:35">
      <c r="A103" t="str">
        <f>'Long-form'!A104</f>
        <v>Gif-11689</v>
      </c>
      <c r="B103" t="str">
        <f>'Long-form'!B104</f>
        <v>Yim, 2006</v>
      </c>
      <c r="C103" t="str">
        <f>'Long-form'!C104</f>
        <v>9a</v>
      </c>
      <c r="D103" t="str">
        <f>'Long-form'!D104</f>
        <v>Hong Kong</v>
      </c>
      <c r="E103" s="55">
        <f>'Long-form'!E104</f>
        <v>21.665666999999999</v>
      </c>
      <c r="F103" s="55">
        <f>'Long-form'!F104</f>
        <v>114.483717</v>
      </c>
      <c r="G103" t="str">
        <f>'Long-form'!G104</f>
        <v>1 = Radiocarbon</v>
      </c>
      <c r="H103" s="56">
        <f>'Long-form'!H104</f>
        <v>3385</v>
      </c>
      <c r="I103" s="56">
        <f>'Long-form'!I104</f>
        <v>105.94810050208545</v>
      </c>
      <c r="J103" s="56">
        <f>'Long-form'!J104</f>
        <v>3632</v>
      </c>
      <c r="K103" s="56">
        <f>'Long-form'!K104</f>
        <v>256</v>
      </c>
      <c r="L103" s="56">
        <f>'Long-form'!L104</f>
        <v>238</v>
      </c>
      <c r="M103" s="56" t="str">
        <f>'Long-form'!Q104</f>
        <v>transgressive</v>
      </c>
      <c r="N103" s="55">
        <f>'Long-form'!R104</f>
        <v>0.375</v>
      </c>
      <c r="O103" s="55" t="str">
        <f>'Long-form'!S104</f>
        <v>nd</v>
      </c>
      <c r="P103" s="55">
        <f>'Long-form'!T104</f>
        <v>1</v>
      </c>
      <c r="Q103" s="55">
        <f>'Long-form'!AM104</f>
        <v>-66.405999999999992</v>
      </c>
      <c r="R103" s="55" t="str">
        <f>'Long-form'!AN104</f>
        <v>YSD</v>
      </c>
      <c r="S103" s="55">
        <f>'Long-form'!AP104</f>
        <v>0.54834409817194163</v>
      </c>
      <c r="T103" s="55">
        <f>'Long-form'!AQ104</f>
        <v>0.54834409817194163</v>
      </c>
      <c r="U103">
        <f>'Long-form'!BC104</f>
        <v>-1</v>
      </c>
      <c r="V103" t="str">
        <f>'Long-form'!BD104</f>
        <v>5 = Sedimentary (e.g., deltaic, estuarine, wetland, lacustrine, marine facies)</v>
      </c>
      <c r="W103" t="str">
        <f>'Long-form'!BE104</f>
        <v>Marine deposit</v>
      </c>
      <c r="X103" t="str">
        <f>'Long-form'!BF104</f>
        <v>Marine foraminifera Bigenerina Taiwanica, Textularia conica,Pseudorotalia indopacifica</v>
      </c>
      <c r="Y103" t="str">
        <f>'Long-form'!BH104</f>
        <v>&lt;MTL</v>
      </c>
      <c r="Z103" s="55">
        <f>'Long-form'!BT104</f>
        <v>-66.452171864937839</v>
      </c>
      <c r="AA103" s="55">
        <f>'Long-form'!BU104</f>
        <v>0.55061896988752568</v>
      </c>
      <c r="AB103" s="55">
        <f>'Long-form'!BV104</f>
        <v>0.55061896988752568</v>
      </c>
      <c r="AC103" s="55" t="str">
        <f>'Long-form'!BW104</f>
        <v>nd</v>
      </c>
      <c r="AD103" s="55" t="str">
        <f>'Long-form'!BX104</f>
        <v>nd</v>
      </c>
      <c r="AE103" s="55" t="str">
        <f>'Long-form'!BY104</f>
        <v>nd</v>
      </c>
      <c r="AF103" t="str">
        <f>'Long-form'!BZ104</f>
        <v>nd</v>
      </c>
      <c r="AG103">
        <f>'Long-form'!CB104</f>
        <v>0</v>
      </c>
      <c r="AH103">
        <f>'Long-form'!CD104</f>
        <v>0</v>
      </c>
      <c r="AI103" t="e">
        <f>'Long-form'!#REF!</f>
        <v>#REF!</v>
      </c>
    </row>
    <row r="104" spans="1:35">
      <c r="A104" t="str">
        <f>'Long-form'!A105</f>
        <v>Gif-11686</v>
      </c>
      <c r="B104" t="str">
        <f>'Long-form'!B105</f>
        <v>Yim, 2006</v>
      </c>
      <c r="C104" t="str">
        <f>'Long-form'!C105</f>
        <v>9a</v>
      </c>
      <c r="D104" t="str">
        <f>'Long-form'!D105</f>
        <v>Hong Kong</v>
      </c>
      <c r="E104" s="55">
        <f>'Long-form'!E105</f>
        <v>21.665666999999999</v>
      </c>
      <c r="F104" s="55">
        <f>'Long-form'!F105</f>
        <v>114.483717</v>
      </c>
      <c r="G104" t="str">
        <f>'Long-form'!G105</f>
        <v>1 = Radiocarbon</v>
      </c>
      <c r="H104" s="56">
        <f>'Long-form'!H105</f>
        <v>3920</v>
      </c>
      <c r="I104" s="56">
        <f>'Long-form'!I105</f>
        <v>116.61903789690601</v>
      </c>
      <c r="J104" s="56">
        <f>'Long-form'!J105</f>
        <v>4350</v>
      </c>
      <c r="K104" s="56">
        <f>'Long-form'!K105</f>
        <v>455</v>
      </c>
      <c r="L104" s="56">
        <f>'Long-form'!L105</f>
        <v>362</v>
      </c>
      <c r="M104" s="56" t="str">
        <f>'Long-form'!Q105</f>
        <v>transgressive</v>
      </c>
      <c r="N104" s="55">
        <f>'Long-form'!R105</f>
        <v>0.625</v>
      </c>
      <c r="O104" s="55" t="str">
        <f>'Long-form'!S105</f>
        <v>nd</v>
      </c>
      <c r="P104" s="55">
        <f>'Long-form'!T105</f>
        <v>1</v>
      </c>
      <c r="Q104" s="55">
        <f>'Long-form'!AM105</f>
        <v>-66.655999999999992</v>
      </c>
      <c r="R104" s="55" t="str">
        <f>'Long-form'!AN105</f>
        <v>YSD</v>
      </c>
      <c r="S104" s="55">
        <f>'Long-form'!AP105</f>
        <v>0.54959644285602871</v>
      </c>
      <c r="T104" s="55">
        <f>'Long-form'!AQ105</f>
        <v>0.54959644285602871</v>
      </c>
      <c r="U104">
        <f>'Long-form'!BC105</f>
        <v>-1</v>
      </c>
      <c r="V104" t="str">
        <f>'Long-form'!BD105</f>
        <v>5 = Sedimentary (e.g., deltaic, estuarine, wetland, lacustrine, marine facies)</v>
      </c>
      <c r="W104" t="str">
        <f>'Long-form'!BE105</f>
        <v>Marine deposit</v>
      </c>
      <c r="X104" t="str">
        <f>'Long-form'!BF105</f>
        <v>Marine foraminifera Bigenerina Taiwanica, Textularia conica,Pseudorotalia indopacifica</v>
      </c>
      <c r="Y104" t="str">
        <f>'Long-form'!BH105</f>
        <v>&lt;MTL</v>
      </c>
      <c r="Z104" s="55">
        <f>'Long-form'!BT105</f>
        <v>-66.702171864937839</v>
      </c>
      <c r="AA104" s="55">
        <f>'Long-form'!BU105</f>
        <v>0.55186615225070657</v>
      </c>
      <c r="AB104" s="55">
        <f>'Long-form'!BV105</f>
        <v>0.55186615225070657</v>
      </c>
      <c r="AC104" s="55" t="str">
        <f>'Long-form'!BW105</f>
        <v>nd</v>
      </c>
      <c r="AD104" s="55" t="str">
        <f>'Long-form'!BX105</f>
        <v>nd</v>
      </c>
      <c r="AE104" s="55" t="str">
        <f>'Long-form'!BY105</f>
        <v>nd</v>
      </c>
      <c r="AF104" t="str">
        <f>'Long-form'!BZ105</f>
        <v>nd</v>
      </c>
      <c r="AG104">
        <f>'Long-form'!CB105</f>
        <v>0</v>
      </c>
      <c r="AH104">
        <f>'Long-form'!CD105</f>
        <v>0</v>
      </c>
      <c r="AI104" t="e">
        <f>'Long-form'!#REF!</f>
        <v>#REF!</v>
      </c>
    </row>
    <row r="105" spans="1:35">
      <c r="A105" t="str">
        <f>'Long-form'!A106</f>
        <v>Gif-11676</v>
      </c>
      <c r="B105" t="str">
        <f>'Long-form'!B106</f>
        <v>Yim, 2006</v>
      </c>
      <c r="C105">
        <f>'Long-form'!C106</f>
        <v>0</v>
      </c>
      <c r="D105" t="str">
        <f>'Long-form'!D106</f>
        <v>Hong Kong</v>
      </c>
      <c r="E105" s="55">
        <f>'Long-form'!E106</f>
        <v>21.665666999999999</v>
      </c>
      <c r="F105" s="55">
        <f>'Long-form'!F106</f>
        <v>114.483717</v>
      </c>
      <c r="G105" t="str">
        <f>'Long-form'!G106</f>
        <v>1 = Radiocarbon</v>
      </c>
      <c r="H105" s="56">
        <f>'Long-form'!H106</f>
        <v>4690</v>
      </c>
      <c r="I105" s="56">
        <f>'Long-form'!I106</f>
        <v>107.70329614269008</v>
      </c>
      <c r="J105" s="56">
        <f>'Long-form'!J106</f>
        <v>5408</v>
      </c>
      <c r="K105" s="56">
        <f>'Long-form'!K106</f>
        <v>193</v>
      </c>
      <c r="L105" s="56">
        <f>'Long-form'!L106</f>
        <v>359</v>
      </c>
      <c r="M105" s="56" t="str">
        <f>'Long-form'!Q106</f>
        <v>transgressive</v>
      </c>
      <c r="N105" s="55">
        <f>'Long-form'!R106</f>
        <v>0.875</v>
      </c>
      <c r="O105" s="55" t="str">
        <f>'Long-form'!S106</f>
        <v>nd</v>
      </c>
      <c r="P105" s="55">
        <f>'Long-form'!T106</f>
        <v>1</v>
      </c>
      <c r="Q105" s="55">
        <f>'Long-form'!AM106</f>
        <v>-66.905999999999992</v>
      </c>
      <c r="R105" s="55" t="str">
        <f>'Long-form'!AN106</f>
        <v>YSD</v>
      </c>
      <c r="S105" s="55">
        <f>'Long-form'!AP106</f>
        <v>0.54973288968370815</v>
      </c>
      <c r="T105" s="55">
        <f>'Long-form'!AQ106</f>
        <v>0.54973288968370815</v>
      </c>
      <c r="U105">
        <f>'Long-form'!BC106</f>
        <v>-1</v>
      </c>
      <c r="V105" t="str">
        <f>'Long-form'!BD106</f>
        <v>5 = Sedimentary (e.g., deltaic, estuarine, wetland, lacustrine, marine facies)</v>
      </c>
      <c r="W105" t="str">
        <f>'Long-form'!BE106</f>
        <v>Marine deposit</v>
      </c>
      <c r="X105" t="str">
        <f>'Long-form'!BF106</f>
        <v>Marine foraminifera Bigenerina Taiwanica, Textularia conica,Pseudorotalia indopacifica</v>
      </c>
      <c r="Y105" t="str">
        <f>'Long-form'!BH106</f>
        <v>&lt;MTL</v>
      </c>
      <c r="Z105" s="55">
        <f>'Long-form'!BT106</f>
        <v>-66.952171864937839</v>
      </c>
      <c r="AA105" s="55">
        <f>'Long-form'!BU106</f>
        <v>0.55200203803971593</v>
      </c>
      <c r="AB105" s="55">
        <f>'Long-form'!BV106</f>
        <v>0.55200203803971593</v>
      </c>
      <c r="AC105" s="55" t="str">
        <f>'Long-form'!BW106</f>
        <v>nd</v>
      </c>
      <c r="AD105" s="55" t="str">
        <f>'Long-form'!BX106</f>
        <v>nd</v>
      </c>
      <c r="AE105" s="55" t="str">
        <f>'Long-form'!BY106</f>
        <v>nd</v>
      </c>
      <c r="AF105" t="str">
        <f>'Long-form'!BZ106</f>
        <v>nd</v>
      </c>
      <c r="AG105">
        <f>'Long-form'!CB106</f>
        <v>0</v>
      </c>
      <c r="AH105">
        <f>'Long-form'!CD106</f>
        <v>0</v>
      </c>
      <c r="AI105" t="e">
        <f>'Long-form'!#REF!</f>
        <v>#REF!</v>
      </c>
    </row>
    <row r="106" spans="1:35">
      <c r="A106" t="str">
        <f>'Long-form'!A107</f>
        <v>Gif-11682</v>
      </c>
      <c r="B106" t="str">
        <f>'Long-form'!B107</f>
        <v>Yim, 2006</v>
      </c>
      <c r="C106" t="str">
        <f>'Long-form'!C107</f>
        <v>9a</v>
      </c>
      <c r="D106" t="str">
        <f>'Long-form'!D107</f>
        <v>Hong Kong</v>
      </c>
      <c r="E106" s="55">
        <f>'Long-form'!E107</f>
        <v>21.665666999999999</v>
      </c>
      <c r="F106" s="55">
        <f>'Long-form'!F107</f>
        <v>114.483717</v>
      </c>
      <c r="G106" t="str">
        <f>'Long-form'!G107</f>
        <v>1 = Radiocarbon</v>
      </c>
      <c r="H106" s="56">
        <f>'Long-form'!H107</f>
        <v>5420</v>
      </c>
      <c r="I106" s="56">
        <f>'Long-form'!I107</f>
        <v>119.26860441876563</v>
      </c>
      <c r="J106" s="56">
        <f>'Long-form'!J107</f>
        <v>6197</v>
      </c>
      <c r="K106" s="56">
        <f>'Long-form'!K107</f>
        <v>241</v>
      </c>
      <c r="L106" s="56">
        <f>'Long-form'!L107</f>
        <v>267</v>
      </c>
      <c r="M106" s="56" t="str">
        <f>'Long-form'!Q107</f>
        <v>transgressive</v>
      </c>
      <c r="N106" s="55">
        <f>'Long-form'!R107</f>
        <v>1.125</v>
      </c>
      <c r="O106" s="55" t="str">
        <f>'Long-form'!S107</f>
        <v>nd</v>
      </c>
      <c r="P106" s="55">
        <f>'Long-form'!T107</f>
        <v>1</v>
      </c>
      <c r="Q106" s="55">
        <f>'Long-form'!AM107</f>
        <v>-67.155999999999992</v>
      </c>
      <c r="R106" s="55" t="str">
        <f>'Long-form'!AN107</f>
        <v>YSD</v>
      </c>
      <c r="S106" s="55">
        <f>'Long-form'!AP107</f>
        <v>0.54991476612289658</v>
      </c>
      <c r="T106" s="55">
        <f>'Long-form'!AQ107</f>
        <v>0.54991476612289658</v>
      </c>
      <c r="U106">
        <f>'Long-form'!BC107</f>
        <v>-1</v>
      </c>
      <c r="V106" t="str">
        <f>'Long-form'!BD107</f>
        <v>5 = Sedimentary (e.g., deltaic, estuarine, wetland, lacustrine, marine facies)</v>
      </c>
      <c r="W106" t="str">
        <f>'Long-form'!BE107</f>
        <v>Marine deposit</v>
      </c>
      <c r="X106" t="str">
        <f>'Long-form'!BF107</f>
        <v>Marine foraminifera Bigenerina Taiwanica, Textularia conica,Pseudorotalia indopacifica</v>
      </c>
      <c r="Y106" t="str">
        <f>'Long-form'!BH107</f>
        <v>&lt;MTL</v>
      </c>
      <c r="Z106" s="55">
        <f>'Long-form'!BT107</f>
        <v>-67.202171864937839</v>
      </c>
      <c r="AA106" s="55">
        <f>'Long-form'!BU107</f>
        <v>0.55218316707411508</v>
      </c>
      <c r="AB106" s="55">
        <f>'Long-form'!BV107</f>
        <v>0.55218316707411508</v>
      </c>
      <c r="AC106" s="55" t="str">
        <f>'Long-form'!BW107</f>
        <v>nd</v>
      </c>
      <c r="AD106" s="55" t="str">
        <f>'Long-form'!BX107</f>
        <v>nd</v>
      </c>
      <c r="AE106" s="55" t="str">
        <f>'Long-form'!BY107</f>
        <v>nd</v>
      </c>
      <c r="AF106" t="str">
        <f>'Long-form'!BZ107</f>
        <v>nd</v>
      </c>
      <c r="AG106">
        <f>'Long-form'!CB107</f>
        <v>0</v>
      </c>
      <c r="AH106">
        <f>'Long-form'!CD107</f>
        <v>0</v>
      </c>
      <c r="AI106" t="e">
        <f>'Long-form'!#REF!</f>
        <v>#REF!</v>
      </c>
    </row>
    <row r="107" spans="1:35">
      <c r="A107" t="str">
        <f>'Long-form'!A108</f>
        <v>GIFA-101381</v>
      </c>
      <c r="B107" t="str">
        <f>'Long-form'!B108</f>
        <v>Yim, 2006</v>
      </c>
      <c r="C107" t="str">
        <f>'Long-form'!C108</f>
        <v>9a</v>
      </c>
      <c r="D107" t="str">
        <f>'Long-form'!D108</f>
        <v>Hong Kong</v>
      </c>
      <c r="E107" s="55">
        <f>'Long-form'!E108</f>
        <v>21.665666999999999</v>
      </c>
      <c r="F107" s="55">
        <f>'Long-form'!F108</f>
        <v>114.483717</v>
      </c>
      <c r="G107" t="str">
        <f>'Long-form'!G108</f>
        <v>1 = Radiocarbon</v>
      </c>
      <c r="H107" s="56">
        <f>'Long-form'!H108</f>
        <v>6460</v>
      </c>
      <c r="I107" s="56">
        <f>'Long-form'!I108</f>
        <v>90</v>
      </c>
      <c r="J107" s="56">
        <f>'Long-form'!J108</f>
        <v>6740</v>
      </c>
      <c r="K107" s="56">
        <f>'Long-form'!K108</f>
        <v>308</v>
      </c>
      <c r="L107" s="56">
        <f>'Long-form'!L108</f>
        <v>306</v>
      </c>
      <c r="M107" s="56" t="str">
        <f>'Long-form'!Q108</f>
        <v>transgressive</v>
      </c>
      <c r="N107" s="55">
        <f>'Long-form'!R108</f>
        <v>1.375</v>
      </c>
      <c r="O107" s="55" t="str">
        <f>'Long-form'!S108</f>
        <v>nd</v>
      </c>
      <c r="P107" s="55">
        <f>'Long-form'!T108</f>
        <v>1</v>
      </c>
      <c r="Q107" s="55">
        <f>'Long-form'!AM108</f>
        <v>-67.405999999999992</v>
      </c>
      <c r="R107" s="55" t="str">
        <f>'Long-form'!AN108</f>
        <v>YSD</v>
      </c>
      <c r="S107" s="55">
        <f>'Long-form'!AP108</f>
        <v>0.54788799037759539</v>
      </c>
      <c r="T107" s="55">
        <f>'Long-form'!AQ108</f>
        <v>0.54788799037759539</v>
      </c>
      <c r="U107">
        <f>'Long-form'!BC108</f>
        <v>-1</v>
      </c>
      <c r="V107" t="str">
        <f>'Long-form'!BD108</f>
        <v>5 = Sedimentary (e.g., deltaic, estuarine, wetland, lacustrine, marine facies)</v>
      </c>
      <c r="W107" t="str">
        <f>'Long-form'!BE108</f>
        <v>Marine deposit</v>
      </c>
      <c r="X107" t="str">
        <f>'Long-form'!BF108</f>
        <v>Marine foraminifera Bigenerina Taiwanica, Textularia conica,Pseudorotalia indopacifica</v>
      </c>
      <c r="Y107" t="str">
        <f>'Long-form'!BH108</f>
        <v>&lt;MTL</v>
      </c>
      <c r="Z107" s="55">
        <f>'Long-form'!BT108</f>
        <v>-67.452171864937839</v>
      </c>
      <c r="AA107" s="55">
        <f>'Long-form'!BU108</f>
        <v>0.55016474805279925</v>
      </c>
      <c r="AB107" s="55">
        <f>'Long-form'!BV108</f>
        <v>0.55016474805279925</v>
      </c>
      <c r="AC107" s="55" t="str">
        <f>'Long-form'!BW108</f>
        <v>nd</v>
      </c>
      <c r="AD107" s="55" t="str">
        <f>'Long-form'!BX108</f>
        <v>nd</v>
      </c>
      <c r="AE107" s="55" t="str">
        <f>'Long-form'!BY108</f>
        <v>nd</v>
      </c>
      <c r="AF107" t="str">
        <f>'Long-form'!BZ108</f>
        <v>nd</v>
      </c>
      <c r="AG107">
        <f>'Long-form'!CB108</f>
        <v>0</v>
      </c>
      <c r="AH107">
        <f>'Long-form'!CD108</f>
        <v>0</v>
      </c>
      <c r="AI107" t="e">
        <f>'Long-form'!#REF!</f>
        <v>#REF!</v>
      </c>
    </row>
    <row r="108" spans="1:35">
      <c r="A108" t="str">
        <f>'Long-form'!A109</f>
        <v>Gif-11693</v>
      </c>
      <c r="B108" t="str">
        <f>'Long-form'!B109</f>
        <v>Yim, 2006</v>
      </c>
      <c r="C108" t="str">
        <f>'Long-form'!C109</f>
        <v>9a</v>
      </c>
      <c r="D108" t="str">
        <f>'Long-form'!D109</f>
        <v>Hong Kong</v>
      </c>
      <c r="E108" s="55">
        <f>'Long-form'!E109</f>
        <v>21.665666999999999</v>
      </c>
      <c r="F108" s="55">
        <f>'Long-form'!F109</f>
        <v>114.483717</v>
      </c>
      <c r="G108" t="str">
        <f>'Long-form'!G109</f>
        <v>1 = Radiocarbon</v>
      </c>
      <c r="H108" s="56">
        <f>'Long-form'!H109</f>
        <v>7040</v>
      </c>
      <c r="I108" s="56">
        <f>'Long-form'!I109</f>
        <v>128.06248474865697</v>
      </c>
      <c r="J108" s="56">
        <f>'Long-form'!J109</f>
        <v>7859</v>
      </c>
      <c r="K108" s="56">
        <f>'Long-form'!K109</f>
        <v>305</v>
      </c>
      <c r="L108" s="56">
        <f>'Long-form'!L109</f>
        <v>243</v>
      </c>
      <c r="M108" s="56" t="str">
        <f>'Long-form'!Q109</f>
        <v>transgressive</v>
      </c>
      <c r="N108" s="55">
        <f>'Long-form'!R109</f>
        <v>1.375</v>
      </c>
      <c r="O108" s="55" t="str">
        <f>'Long-form'!S109</f>
        <v>nd</v>
      </c>
      <c r="P108" s="55">
        <f>'Long-form'!T109</f>
        <v>1</v>
      </c>
      <c r="Q108" s="55">
        <f>'Long-form'!AM109</f>
        <v>-67.405999999999992</v>
      </c>
      <c r="R108" s="55" t="str">
        <f>'Long-form'!AN109</f>
        <v>YSD</v>
      </c>
      <c r="S108" s="55">
        <f>'Long-form'!AP109</f>
        <v>0.55014202711663474</v>
      </c>
      <c r="T108" s="55">
        <f>'Long-form'!AQ109</f>
        <v>0.55014202711663474</v>
      </c>
      <c r="U108">
        <f>'Long-form'!BC109</f>
        <v>-1</v>
      </c>
      <c r="V108" t="str">
        <f>'Long-form'!BD109</f>
        <v>5 = Sedimentary (e.g., deltaic, estuarine, wetland, lacustrine, marine facies)</v>
      </c>
      <c r="W108" t="str">
        <f>'Long-form'!BE109</f>
        <v>Marine deposit</v>
      </c>
      <c r="X108" t="str">
        <f>'Long-form'!BF109</f>
        <v>Marine foraminifera Bigenerina Taiwanica, Textularia conica,Pseudorotalia indopacifica</v>
      </c>
      <c r="Y108" t="str">
        <f>'Long-form'!BH109</f>
        <v>&lt;MTL</v>
      </c>
      <c r="Z108" s="55">
        <f>'Long-form'!BT109</f>
        <v>-67.452171864937839</v>
      </c>
      <c r="AA108" s="55">
        <f>'Long-form'!BU109</f>
        <v>0.55240949484960888</v>
      </c>
      <c r="AB108" s="55">
        <f>'Long-form'!BV109</f>
        <v>0.55240949484960888</v>
      </c>
      <c r="AC108" s="55" t="str">
        <f>'Long-form'!BW109</f>
        <v>nd</v>
      </c>
      <c r="AD108" s="55" t="str">
        <f>'Long-form'!BX109</f>
        <v>nd</v>
      </c>
      <c r="AE108" s="55" t="str">
        <f>'Long-form'!BY109</f>
        <v>nd</v>
      </c>
      <c r="AF108" t="str">
        <f>'Long-form'!BZ109</f>
        <v>nd</v>
      </c>
      <c r="AG108">
        <f>'Long-form'!CB109</f>
        <v>0</v>
      </c>
      <c r="AH108">
        <f>'Long-form'!CD109</f>
        <v>0</v>
      </c>
      <c r="AI108" t="e">
        <f>'Long-form'!#REF!</f>
        <v>#REF!</v>
      </c>
    </row>
    <row r="109" spans="1:35">
      <c r="A109" t="str">
        <f>'Long-form'!A110</f>
        <v>Gif-11692</v>
      </c>
      <c r="B109" t="str">
        <f>'Long-form'!B110</f>
        <v>Yim, 2006</v>
      </c>
      <c r="C109" t="str">
        <f>'Long-form'!C110</f>
        <v>9a</v>
      </c>
      <c r="D109" t="str">
        <f>'Long-form'!D110</f>
        <v>Hong Kong</v>
      </c>
      <c r="E109" s="55">
        <f>'Long-form'!E110</f>
        <v>21.665666999999999</v>
      </c>
      <c r="F109" s="55">
        <f>'Long-form'!F110</f>
        <v>114.483717</v>
      </c>
      <c r="G109" t="str">
        <f>'Long-form'!G110</f>
        <v>1 = Radiocarbon</v>
      </c>
      <c r="H109" s="56">
        <f>'Long-form'!H110</f>
        <v>8995</v>
      </c>
      <c r="I109" s="56">
        <f>'Long-form'!I110</f>
        <v>119.26860441876563</v>
      </c>
      <c r="J109" s="56">
        <f>'Long-form'!J110</f>
        <v>10085</v>
      </c>
      <c r="K109" s="56">
        <f>'Long-form'!K110</f>
        <v>398</v>
      </c>
      <c r="L109" s="56">
        <f>'Long-form'!L110</f>
        <v>388</v>
      </c>
      <c r="M109" s="56" t="str">
        <f>'Long-form'!Q110</f>
        <v>transgressive</v>
      </c>
      <c r="N109" s="55">
        <f>'Long-form'!R110</f>
        <v>1.625</v>
      </c>
      <c r="O109" s="55" t="str">
        <f>'Long-form'!S110</f>
        <v>nd</v>
      </c>
      <c r="P109" s="55">
        <f>'Long-form'!T110</f>
        <v>1</v>
      </c>
      <c r="Q109" s="55">
        <f>'Long-form'!AM110</f>
        <v>-67.655999999999992</v>
      </c>
      <c r="R109" s="55" t="str">
        <f>'Long-form'!AN110</f>
        <v>YSD</v>
      </c>
      <c r="S109" s="55">
        <f>'Long-form'!AP110</f>
        <v>0.55041461644836431</v>
      </c>
      <c r="T109" s="55">
        <f>'Long-form'!AQ110</f>
        <v>0.55041461644836431</v>
      </c>
      <c r="U109">
        <f>'Long-form'!BC110</f>
        <v>-1</v>
      </c>
      <c r="V109" t="str">
        <f>'Long-form'!BD110</f>
        <v>5 = Sedimentary (e.g., deltaic, estuarine, wetland, lacustrine, marine facies)</v>
      </c>
      <c r="W109" t="str">
        <f>'Long-form'!BE110</f>
        <v>Marine deposit</v>
      </c>
      <c r="X109" t="str">
        <f>'Long-form'!BF110</f>
        <v>Marine foraminifera Bigenerina Taiwanica, Textularia conica,Pseudorotalia indopacifica</v>
      </c>
      <c r="Y109" t="str">
        <f>'Long-form'!BH110</f>
        <v>&lt;MTL</v>
      </c>
      <c r="Z109" s="55">
        <f>'Long-form'!BT110</f>
        <v>-67.702171864937839</v>
      </c>
      <c r="AA109" s="55">
        <f>'Long-form'!BU110</f>
        <v>0.5526809658383397</v>
      </c>
      <c r="AB109" s="55">
        <f>'Long-form'!BV110</f>
        <v>0.5526809658383397</v>
      </c>
      <c r="AC109" s="55" t="str">
        <f>'Long-form'!BW110</f>
        <v>nd</v>
      </c>
      <c r="AD109" s="55" t="str">
        <f>'Long-form'!BX110</f>
        <v>nd</v>
      </c>
      <c r="AE109" s="55" t="str">
        <f>'Long-form'!BY110</f>
        <v>nd</v>
      </c>
      <c r="AF109" t="str">
        <f>'Long-form'!BZ110</f>
        <v>nd</v>
      </c>
      <c r="AG109">
        <f>'Long-form'!CB110</f>
        <v>0</v>
      </c>
      <c r="AH109">
        <f>'Long-form'!CD110</f>
        <v>0</v>
      </c>
      <c r="AI109" t="e">
        <f>'Long-form'!#REF!</f>
        <v>#REF!</v>
      </c>
    </row>
    <row r="110" spans="1:35">
      <c r="A110" t="str">
        <f>'Long-form'!A111</f>
        <v>Gif-11691</v>
      </c>
      <c r="B110" t="str">
        <f>'Long-form'!B111</f>
        <v>Yim, 2006</v>
      </c>
      <c r="C110" t="str">
        <f>'Long-form'!C111</f>
        <v>9a</v>
      </c>
      <c r="D110" t="str">
        <f>'Long-form'!D111</f>
        <v>Hong Kong</v>
      </c>
      <c r="E110" s="55">
        <f>'Long-form'!E111</f>
        <v>21.665666999999999</v>
      </c>
      <c r="F110" s="55">
        <f>'Long-form'!F111</f>
        <v>114.483717</v>
      </c>
      <c r="G110" t="str">
        <f>'Long-form'!G111</f>
        <v>1 = Radiocarbon</v>
      </c>
      <c r="H110" s="56">
        <f>'Long-form'!H111</f>
        <v>11440</v>
      </c>
      <c r="I110" s="56">
        <f>'Long-form'!I111</f>
        <v>192.93781381574738</v>
      </c>
      <c r="J110" s="56">
        <f>'Long-form'!J111</f>
        <v>13323</v>
      </c>
      <c r="K110" s="56">
        <f>'Long-form'!K111</f>
        <v>425</v>
      </c>
      <c r="L110" s="56">
        <f>'Long-form'!L111</f>
        <v>393</v>
      </c>
      <c r="M110" s="56" t="str">
        <f>'Long-form'!Q111</f>
        <v>transgressive</v>
      </c>
      <c r="N110" s="55">
        <f>'Long-form'!R111</f>
        <v>2.125</v>
      </c>
      <c r="O110" s="55" t="str">
        <f>'Long-form'!S111</f>
        <v>nd</v>
      </c>
      <c r="P110" s="55">
        <f>'Long-form'!T111</f>
        <v>1</v>
      </c>
      <c r="Q110" s="55">
        <f>'Long-form'!AM111</f>
        <v>-68.155999999999992</v>
      </c>
      <c r="R110" s="55" t="str">
        <f>'Long-form'!AN111</f>
        <v>YSD</v>
      </c>
      <c r="S110" s="55">
        <f>'Long-form'!AP111</f>
        <v>0.55109549989089912</v>
      </c>
      <c r="T110" s="55">
        <f>'Long-form'!AQ111</f>
        <v>0.55109549989089912</v>
      </c>
      <c r="U110">
        <f>'Long-form'!BC111</f>
        <v>-1</v>
      </c>
      <c r="V110" t="str">
        <f>'Long-form'!BD111</f>
        <v>5 = Sedimentary (e.g., deltaic, estuarine, wetland, lacustrine, marine facies)</v>
      </c>
      <c r="W110" t="str">
        <f>'Long-form'!BE111</f>
        <v>Transgressive contact (nearshore)</v>
      </c>
      <c r="X110" t="str">
        <f>'Long-form'!BF111</f>
        <v>Shallow-water benthonic bethic foraminifera including Ammonia beccarii var., Elphidium advenum (Cushman),</v>
      </c>
      <c r="Y110" t="str">
        <f>'Long-form'!BH111</f>
        <v>&lt;HAT</v>
      </c>
      <c r="Z110" s="55">
        <f>'Long-form'!BT111</f>
        <v>-69.336904916891683</v>
      </c>
      <c r="AA110" s="55">
        <f>'Long-form'!BU111</f>
        <v>0.57974671193547966</v>
      </c>
      <c r="AB110" s="55">
        <f>'Long-form'!BV111</f>
        <v>0.57974671193547966</v>
      </c>
      <c r="AC110" s="55" t="str">
        <f>'Long-form'!BW111</f>
        <v>nd</v>
      </c>
      <c r="AD110" s="55" t="str">
        <f>'Long-form'!BX111</f>
        <v>nd</v>
      </c>
      <c r="AE110" s="55" t="str">
        <f>'Long-form'!BY111</f>
        <v>nd</v>
      </c>
      <c r="AF110" t="str">
        <f>'Long-form'!BZ111</f>
        <v>nd</v>
      </c>
      <c r="AG110">
        <f>'Long-form'!CB111</f>
        <v>0</v>
      </c>
      <c r="AH110">
        <f>'Long-form'!CD111</f>
        <v>0</v>
      </c>
      <c r="AI110" t="e">
        <f>'Long-form'!#REF!</f>
        <v>#REF!</v>
      </c>
    </row>
    <row r="111" spans="1:35">
      <c r="A111" t="str">
        <f>'Long-form'!A112</f>
        <v>GIFA-101382</v>
      </c>
      <c r="B111" t="str">
        <f>'Long-form'!B112</f>
        <v>Yim, 2006</v>
      </c>
      <c r="C111" t="str">
        <f>'Long-form'!C112</f>
        <v>9a</v>
      </c>
      <c r="D111" t="str">
        <f>'Long-form'!D112</f>
        <v>Hong Kong</v>
      </c>
      <c r="E111" s="55">
        <f>'Long-form'!E112</f>
        <v>21.665666999999999</v>
      </c>
      <c r="F111" s="55">
        <f>'Long-form'!F112</f>
        <v>114.483717</v>
      </c>
      <c r="G111" t="str">
        <f>'Long-form'!G112</f>
        <v>1 = Radiocarbon</v>
      </c>
      <c r="H111" s="56">
        <f>'Long-form'!H112</f>
        <v>9140</v>
      </c>
      <c r="I111" s="56">
        <f>'Long-form'!I112</f>
        <v>100</v>
      </c>
      <c r="J111" s="56">
        <f>'Long-form'!J112</f>
        <v>9722</v>
      </c>
      <c r="K111" s="56">
        <f>'Long-form'!K112</f>
        <v>385</v>
      </c>
      <c r="L111" s="56">
        <f>'Long-form'!L112</f>
        <v>298</v>
      </c>
      <c r="M111" s="56" t="str">
        <f>'Long-form'!Q112</f>
        <v>transgressive</v>
      </c>
      <c r="N111" s="55">
        <f>'Long-form'!R112</f>
        <v>2.125</v>
      </c>
      <c r="O111" s="55" t="str">
        <f>'Long-form'!S112</f>
        <v>nd</v>
      </c>
      <c r="P111" s="55">
        <f>'Long-form'!T112</f>
        <v>1</v>
      </c>
      <c r="Q111" s="55">
        <f>'Long-form'!AM112</f>
        <v>-68.155999999999992</v>
      </c>
      <c r="R111" s="55" t="str">
        <f>'Long-form'!AN112</f>
        <v>YSD</v>
      </c>
      <c r="S111" s="55">
        <f>'Long-form'!AP112</f>
        <v>0.54884537895476537</v>
      </c>
      <c r="T111" s="55">
        <f>'Long-form'!AQ112</f>
        <v>0.54884537895476537</v>
      </c>
      <c r="U111">
        <f>'Long-form'!BC112</f>
        <v>-1</v>
      </c>
      <c r="V111" t="str">
        <f>'Long-form'!BD112</f>
        <v>5 = Sedimentary (e.g., deltaic, estuarine, wetland, lacustrine, marine facies)</v>
      </c>
      <c r="W111" t="str">
        <f>'Long-form'!BE112</f>
        <v>Transgressive contact (nearshore)</v>
      </c>
      <c r="X111" t="str">
        <f>'Long-form'!BF112</f>
        <v>Shallow-water benthonic bethic foraminifera including Ammonia beccarii var., Elphidium advenum (Cushman),</v>
      </c>
      <c r="Y111" t="str">
        <f>'Long-form'!BH112</f>
        <v>&lt;HAT</v>
      </c>
      <c r="Z111" s="55">
        <f>'Long-form'!BT112</f>
        <v>-69.336904916891683</v>
      </c>
      <c r="AA111" s="55">
        <f>'Long-form'!BU112</f>
        <v>0.57760821496928172</v>
      </c>
      <c r="AB111" s="55">
        <f>'Long-form'!BV112</f>
        <v>0.57760821496928172</v>
      </c>
      <c r="AC111" s="55" t="str">
        <f>'Long-form'!BW112</f>
        <v>nd</v>
      </c>
      <c r="AD111" s="55" t="str">
        <f>'Long-form'!BX112</f>
        <v>nd</v>
      </c>
      <c r="AE111" s="55" t="str">
        <f>'Long-form'!BY112</f>
        <v>nd</v>
      </c>
      <c r="AF111" t="str">
        <f>'Long-form'!BZ112</f>
        <v>nd</v>
      </c>
      <c r="AG111">
        <f>'Long-form'!CB112</f>
        <v>0</v>
      </c>
      <c r="AH111">
        <f>'Long-form'!CD112</f>
        <v>0</v>
      </c>
      <c r="AI111" t="e">
        <f>'Long-form'!#REF!</f>
        <v>#REF!</v>
      </c>
    </row>
    <row r="112" spans="1:35">
      <c r="A112" t="str">
        <f>'Long-form'!A113</f>
        <v>GIFA-101383</v>
      </c>
      <c r="B112" t="str">
        <f>'Long-form'!B113</f>
        <v>Yim, 2006</v>
      </c>
      <c r="C112" t="str">
        <f>'Long-form'!C113</f>
        <v>9a</v>
      </c>
      <c r="D112" t="str">
        <f>'Long-form'!D113</f>
        <v>Hong Kong</v>
      </c>
      <c r="E112" s="55">
        <f>'Long-form'!E113</f>
        <v>21.665666999999999</v>
      </c>
      <c r="F112" s="55">
        <f>'Long-form'!F113</f>
        <v>114.483717</v>
      </c>
      <c r="G112" t="str">
        <f>'Long-form'!G113</f>
        <v>1 = Radiocarbon</v>
      </c>
      <c r="H112" s="56">
        <f>'Long-form'!H113</f>
        <v>9120</v>
      </c>
      <c r="I112" s="56">
        <f>'Long-form'!I113</f>
        <v>90</v>
      </c>
      <c r="J112" s="56">
        <f>'Long-form'!J113</f>
        <v>9694</v>
      </c>
      <c r="K112" s="56">
        <f>'Long-form'!K113</f>
        <v>383</v>
      </c>
      <c r="L112" s="56">
        <f>'Long-form'!L113</f>
        <v>280</v>
      </c>
      <c r="M112" s="56" t="str">
        <f>'Long-form'!Q113</f>
        <v>transgressive</v>
      </c>
      <c r="N112" s="55">
        <f>'Long-form'!R113</f>
        <v>2.125</v>
      </c>
      <c r="O112" s="55" t="str">
        <f>'Long-form'!S113</f>
        <v>nd</v>
      </c>
      <c r="P112" s="55">
        <f>'Long-form'!T113</f>
        <v>1</v>
      </c>
      <c r="Q112" s="55">
        <f>'Long-form'!AM113</f>
        <v>-68.155999999999992</v>
      </c>
      <c r="R112" s="55" t="str">
        <f>'Long-form'!AN113</f>
        <v>YSD</v>
      </c>
      <c r="S112" s="55">
        <f>'Long-form'!AP113</f>
        <v>0.54884537895476537</v>
      </c>
      <c r="T112" s="55">
        <f>'Long-form'!AQ113</f>
        <v>0.54884537895476537</v>
      </c>
      <c r="U112">
        <f>'Long-form'!BC113</f>
        <v>-1</v>
      </c>
      <c r="V112" t="str">
        <f>'Long-form'!BD113</f>
        <v>5 = Sedimentary (e.g., deltaic, estuarine, wetland, lacustrine, marine facies)</v>
      </c>
      <c r="W112" t="str">
        <f>'Long-form'!BE113</f>
        <v>Transgressive contact (nearshore)</v>
      </c>
      <c r="X112" t="str">
        <f>'Long-form'!BF113</f>
        <v>Shallow-water benthonic bethic foraminifera including Ammonia beccarii var., Elphidium advenum (Cushman),</v>
      </c>
      <c r="Y112" t="str">
        <f>'Long-form'!BH113</f>
        <v>&lt;HAT</v>
      </c>
      <c r="Z112" s="55">
        <f>'Long-form'!BT113</f>
        <v>-69.336904916891683</v>
      </c>
      <c r="AA112" s="55">
        <f>'Long-form'!BU113</f>
        <v>0.57760821496928172</v>
      </c>
      <c r="AB112" s="55">
        <f>'Long-form'!BV113</f>
        <v>0.57760821496928172</v>
      </c>
      <c r="AC112" s="55" t="str">
        <f>'Long-form'!BW113</f>
        <v>nd</v>
      </c>
      <c r="AD112" s="55" t="str">
        <f>'Long-form'!BX113</f>
        <v>nd</v>
      </c>
      <c r="AE112" s="55" t="str">
        <f>'Long-form'!BY113</f>
        <v>nd</v>
      </c>
      <c r="AF112" t="str">
        <f>'Long-form'!BZ113</f>
        <v>nd</v>
      </c>
      <c r="AG112">
        <f>'Long-form'!CB113</f>
        <v>0</v>
      </c>
      <c r="AH112">
        <f>'Long-form'!CD113</f>
        <v>0</v>
      </c>
      <c r="AI112" t="e">
        <f>'Long-form'!#REF!</f>
        <v>#REF!</v>
      </c>
    </row>
    <row r="113" spans="1:35">
      <c r="A113" t="str">
        <f>'Long-form'!A114</f>
        <v>GIFA-101384</v>
      </c>
      <c r="B113" t="str">
        <f>'Long-form'!B114</f>
        <v>Yim, 2006</v>
      </c>
      <c r="C113" t="str">
        <f>'Long-form'!C114</f>
        <v>9a</v>
      </c>
      <c r="D113" t="str">
        <f>'Long-form'!D114</f>
        <v>Hong Kong</v>
      </c>
      <c r="E113" s="55">
        <f>'Long-form'!E114</f>
        <v>21.665666999999999</v>
      </c>
      <c r="F113" s="55">
        <f>'Long-form'!F114</f>
        <v>114.483717</v>
      </c>
      <c r="G113" t="str">
        <f>'Long-form'!G114</f>
        <v>1 = Radiocarbon</v>
      </c>
      <c r="H113" s="56">
        <f>'Long-form'!H114</f>
        <v>9940</v>
      </c>
      <c r="I113" s="56">
        <f>'Long-form'!I114</f>
        <v>100</v>
      </c>
      <c r="J113" s="56">
        <f>'Long-form'!J114</f>
        <v>10814</v>
      </c>
      <c r="K113" s="56">
        <f>'Long-form'!K114</f>
        <v>357</v>
      </c>
      <c r="L113" s="56">
        <f>'Long-form'!L114</f>
        <v>372</v>
      </c>
      <c r="M113" s="56" t="str">
        <f>'Long-form'!Q114</f>
        <v>transgressive</v>
      </c>
      <c r="N113" s="55">
        <f>'Long-form'!R114</f>
        <v>2.125</v>
      </c>
      <c r="O113" s="55" t="str">
        <f>'Long-form'!S114</f>
        <v>nd</v>
      </c>
      <c r="P113" s="55">
        <f>'Long-form'!T114</f>
        <v>1</v>
      </c>
      <c r="Q113" s="55">
        <f>'Long-form'!AM114</f>
        <v>-68.155999999999992</v>
      </c>
      <c r="R113" s="55" t="str">
        <f>'Long-form'!AN114</f>
        <v>YSD</v>
      </c>
      <c r="S113" s="55">
        <f>'Long-form'!AP114</f>
        <v>0.54884537895476537</v>
      </c>
      <c r="T113" s="55">
        <f>'Long-form'!AQ114</f>
        <v>0.54884537895476537</v>
      </c>
      <c r="U113">
        <f>'Long-form'!BC114</f>
        <v>-1</v>
      </c>
      <c r="V113" t="str">
        <f>'Long-form'!BD114</f>
        <v>5 = Sedimentary (e.g., deltaic, estuarine, wetland, lacustrine, marine facies)</v>
      </c>
      <c r="W113" t="str">
        <f>'Long-form'!BE114</f>
        <v>Transgressive contact (nearshore)</v>
      </c>
      <c r="X113" t="str">
        <f>'Long-form'!BF114</f>
        <v>Shallow-water benthonic bethic foraminifera including Ammonia beccarii var., Elphidium advenum (Cushman),</v>
      </c>
      <c r="Y113" t="str">
        <f>'Long-form'!BH114</f>
        <v>&lt;HAT</v>
      </c>
      <c r="Z113" s="55">
        <f>'Long-form'!BT114</f>
        <v>-69.336904916891683</v>
      </c>
      <c r="AA113" s="55">
        <f>'Long-form'!BU114</f>
        <v>0.57760821496928172</v>
      </c>
      <c r="AB113" s="55">
        <f>'Long-form'!BV114</f>
        <v>0.57760821496928172</v>
      </c>
      <c r="AC113" s="55" t="str">
        <f>'Long-form'!BW114</f>
        <v>nd</v>
      </c>
      <c r="AD113" s="55" t="str">
        <f>'Long-form'!BX114</f>
        <v>nd</v>
      </c>
      <c r="AE113" s="55" t="str">
        <f>'Long-form'!BY114</f>
        <v>nd</v>
      </c>
      <c r="AF113" t="str">
        <f>'Long-form'!BZ114</f>
        <v>nd</v>
      </c>
      <c r="AG113">
        <f>'Long-form'!CB114</f>
        <v>0</v>
      </c>
      <c r="AH113">
        <f>'Long-form'!CD114</f>
        <v>0</v>
      </c>
      <c r="AI113" t="e">
        <f>'Long-form'!#REF!</f>
        <v>#REF!</v>
      </c>
    </row>
    <row r="114" spans="1:35">
      <c r="A114" t="str">
        <f>'Long-form'!A115</f>
        <v>GIFA-101385</v>
      </c>
      <c r="B114" t="str">
        <f>'Long-form'!B115</f>
        <v>Yim, 2006</v>
      </c>
      <c r="C114" t="str">
        <f>'Long-form'!C115</f>
        <v>9a</v>
      </c>
      <c r="D114" t="str">
        <f>'Long-form'!D115</f>
        <v>Hong Kong</v>
      </c>
      <c r="E114" s="55">
        <f>'Long-form'!E115</f>
        <v>21.665666999999999</v>
      </c>
      <c r="F114" s="55">
        <f>'Long-form'!F115</f>
        <v>114.483717</v>
      </c>
      <c r="G114" t="str">
        <f>'Long-form'!G115</f>
        <v>1 = Radiocarbon</v>
      </c>
      <c r="H114" s="56">
        <f>'Long-form'!H115</f>
        <v>10320</v>
      </c>
      <c r="I114" s="56">
        <f>'Long-form'!I115</f>
        <v>100</v>
      </c>
      <c r="J114" s="56">
        <f>'Long-form'!J115</f>
        <v>11343</v>
      </c>
      <c r="K114" s="56">
        <f>'Long-form'!K115</f>
        <v>424</v>
      </c>
      <c r="L114" s="56">
        <f>'Long-form'!L115</f>
        <v>348</v>
      </c>
      <c r="M114" s="56" t="str">
        <f>'Long-form'!Q115</f>
        <v>transgressive</v>
      </c>
      <c r="N114" s="55">
        <f>'Long-form'!R115</f>
        <v>2.125</v>
      </c>
      <c r="O114" s="55" t="str">
        <f>'Long-form'!S115</f>
        <v>nd</v>
      </c>
      <c r="P114" s="55">
        <f>'Long-form'!T115</f>
        <v>1</v>
      </c>
      <c r="Q114" s="55">
        <f>'Long-form'!AM115</f>
        <v>-68.155999999999992</v>
      </c>
      <c r="R114" s="55" t="str">
        <f>'Long-form'!AN115</f>
        <v>YSD</v>
      </c>
      <c r="S114" s="55">
        <f>'Long-form'!AP115</f>
        <v>0.54884537895476537</v>
      </c>
      <c r="T114" s="55">
        <f>'Long-form'!AQ115</f>
        <v>0.54884537895476537</v>
      </c>
      <c r="U114">
        <f>'Long-form'!BC115</f>
        <v>-1</v>
      </c>
      <c r="V114" t="str">
        <f>'Long-form'!BD115</f>
        <v>5 = Sedimentary (e.g., deltaic, estuarine, wetland, lacustrine, marine facies)</v>
      </c>
      <c r="W114" t="str">
        <f>'Long-form'!BE115</f>
        <v>Transgressive contact (nearshore)</v>
      </c>
      <c r="X114" t="str">
        <f>'Long-form'!BF115</f>
        <v>Shallow-water benthonic bethic foraminifera including Ammonia beccarii var., Elphidium advenum (Cushman),</v>
      </c>
      <c r="Y114" t="str">
        <f>'Long-form'!BH115</f>
        <v>&lt;HAT</v>
      </c>
      <c r="Z114" s="55">
        <f>'Long-form'!BT115</f>
        <v>-69.336904916891683</v>
      </c>
      <c r="AA114" s="55">
        <f>'Long-form'!BU115</f>
        <v>0.57760821496928172</v>
      </c>
      <c r="AB114" s="55">
        <f>'Long-form'!BV115</f>
        <v>0.57760821496928172</v>
      </c>
      <c r="AC114" s="55" t="str">
        <f>'Long-form'!BW115</f>
        <v>nd</v>
      </c>
      <c r="AD114" s="55" t="str">
        <f>'Long-form'!BX115</f>
        <v>nd</v>
      </c>
      <c r="AE114" s="55" t="str">
        <f>'Long-form'!BY115</f>
        <v>nd</v>
      </c>
      <c r="AF114" t="str">
        <f>'Long-form'!BZ115</f>
        <v>nd</v>
      </c>
      <c r="AG114">
        <f>'Long-form'!CB115</f>
        <v>0</v>
      </c>
      <c r="AH114">
        <f>'Long-form'!CD115</f>
        <v>0</v>
      </c>
      <c r="AI114" t="e">
        <f>'Long-form'!#REF!</f>
        <v>#REF!</v>
      </c>
    </row>
    <row r="115" spans="1:35">
      <c r="A115" t="str">
        <f>'Long-form'!A116</f>
        <v>GIFA-101386</v>
      </c>
      <c r="B115" t="str">
        <f>'Long-form'!B116</f>
        <v>Yim, 2006</v>
      </c>
      <c r="C115" t="str">
        <f>'Long-form'!C116</f>
        <v>9a</v>
      </c>
      <c r="D115" t="str">
        <f>'Long-form'!D116</f>
        <v>Hong Kong</v>
      </c>
      <c r="E115" s="55">
        <f>'Long-form'!E116</f>
        <v>21.665666999999999</v>
      </c>
      <c r="F115" s="55">
        <f>'Long-form'!F116</f>
        <v>114.483717</v>
      </c>
      <c r="G115" t="str">
        <f>'Long-form'!G116</f>
        <v>1 = Radiocarbon</v>
      </c>
      <c r="H115" s="56">
        <f>'Long-form'!H116</f>
        <v>10170</v>
      </c>
      <c r="I115" s="56">
        <f>'Long-form'!I116</f>
        <v>110</v>
      </c>
      <c r="J115" s="56">
        <f>'Long-form'!J116</f>
        <v>11120</v>
      </c>
      <c r="K115" s="56">
        <f>'Long-form'!K116</f>
        <v>424</v>
      </c>
      <c r="L115" s="56">
        <f>'Long-form'!L116</f>
        <v>426</v>
      </c>
      <c r="M115" s="56" t="str">
        <f>'Long-form'!Q116</f>
        <v>transgressive</v>
      </c>
      <c r="N115" s="55">
        <f>'Long-form'!R116</f>
        <v>2.125</v>
      </c>
      <c r="O115" s="55" t="str">
        <f>'Long-form'!S116</f>
        <v>nd</v>
      </c>
      <c r="P115" s="55">
        <f>'Long-form'!T116</f>
        <v>1</v>
      </c>
      <c r="Q115" s="55">
        <f>'Long-form'!AM116</f>
        <v>-68.155999999999992</v>
      </c>
      <c r="R115" s="55" t="str">
        <f>'Long-form'!AN116</f>
        <v>YSD</v>
      </c>
      <c r="S115" s="55">
        <f>'Long-form'!AP116</f>
        <v>0.54884537895476537</v>
      </c>
      <c r="T115" s="55">
        <f>'Long-form'!AQ116</f>
        <v>0.54884537895476537</v>
      </c>
      <c r="U115">
        <f>'Long-form'!BC116</f>
        <v>-1</v>
      </c>
      <c r="V115" t="str">
        <f>'Long-form'!BD116</f>
        <v>5 = Sedimentary (e.g., deltaic, estuarine, wetland, lacustrine, marine facies)</v>
      </c>
      <c r="W115" t="str">
        <f>'Long-form'!BE116</f>
        <v>Transgressive contact (nearshore)</v>
      </c>
      <c r="X115" t="str">
        <f>'Long-form'!BF116</f>
        <v>Shallow-water benthonic bethic foraminifera including Ammonia beccarii var., Elphidium advenum (Cushman),</v>
      </c>
      <c r="Y115" t="str">
        <f>'Long-form'!BH116</f>
        <v>&lt;HAT</v>
      </c>
      <c r="Z115" s="55">
        <f>'Long-form'!BT116</f>
        <v>-69.336904916891683</v>
      </c>
      <c r="AA115" s="55">
        <f>'Long-form'!BU116</f>
        <v>0.57760821496928172</v>
      </c>
      <c r="AB115" s="55">
        <f>'Long-form'!BV116</f>
        <v>0.57760821496928172</v>
      </c>
      <c r="AC115" s="55" t="str">
        <f>'Long-form'!BW116</f>
        <v>nd</v>
      </c>
      <c r="AD115" s="55" t="str">
        <f>'Long-form'!BX116</f>
        <v>nd</v>
      </c>
      <c r="AE115" s="55" t="str">
        <f>'Long-form'!BY116</f>
        <v>nd</v>
      </c>
      <c r="AF115" t="str">
        <f>'Long-form'!BZ116</f>
        <v>nd</v>
      </c>
      <c r="AG115">
        <f>'Long-form'!CB116</f>
        <v>0</v>
      </c>
      <c r="AH115">
        <f>'Long-form'!CD116</f>
        <v>0</v>
      </c>
      <c r="AI115" t="e">
        <f>'Long-form'!#REF!</f>
        <v>#REF!</v>
      </c>
    </row>
    <row r="116" spans="1:35">
      <c r="A116" t="str">
        <f>'Long-form'!A117</f>
        <v>GIFA-101387</v>
      </c>
      <c r="B116" t="str">
        <f>'Long-form'!B117</f>
        <v>Yim, 2006</v>
      </c>
      <c r="C116" t="str">
        <f>'Long-form'!C117</f>
        <v>9a</v>
      </c>
      <c r="D116" t="str">
        <f>'Long-form'!D117</f>
        <v>Hong Kong</v>
      </c>
      <c r="E116" s="55">
        <f>'Long-form'!E117</f>
        <v>21.665666999999999</v>
      </c>
      <c r="F116" s="55">
        <f>'Long-form'!F117</f>
        <v>114.483717</v>
      </c>
      <c r="G116" t="str">
        <f>'Long-form'!G117</f>
        <v>1 = Radiocarbon</v>
      </c>
      <c r="H116" s="56">
        <f>'Long-form'!H117</f>
        <v>8990</v>
      </c>
      <c r="I116" s="56">
        <f>'Long-form'!I117</f>
        <v>100</v>
      </c>
      <c r="J116" s="56">
        <f>'Long-form'!J117</f>
        <v>9529</v>
      </c>
      <c r="K116" s="56">
        <f>'Long-form'!K117</f>
        <v>379</v>
      </c>
      <c r="L116" s="56">
        <f>'Long-form'!L117</f>
        <v>335</v>
      </c>
      <c r="M116" s="56" t="str">
        <f>'Long-form'!Q117</f>
        <v>transgressive</v>
      </c>
      <c r="N116" s="55">
        <f>'Long-form'!R117</f>
        <v>2.125</v>
      </c>
      <c r="O116" s="55" t="str">
        <f>'Long-form'!S117</f>
        <v>nd</v>
      </c>
      <c r="P116" s="55">
        <f>'Long-form'!T117</f>
        <v>1</v>
      </c>
      <c r="Q116" s="55">
        <f>'Long-form'!AM117</f>
        <v>-68.155999999999992</v>
      </c>
      <c r="R116" s="55" t="str">
        <f>'Long-form'!AN117</f>
        <v>YSD</v>
      </c>
      <c r="S116" s="55">
        <f>'Long-form'!AP117</f>
        <v>0.54884537895476537</v>
      </c>
      <c r="T116" s="55">
        <f>'Long-form'!AQ117</f>
        <v>0.54884537895476537</v>
      </c>
      <c r="U116">
        <f>'Long-form'!BC117</f>
        <v>-1</v>
      </c>
      <c r="V116" t="str">
        <f>'Long-form'!BD117</f>
        <v>5 = Sedimentary (e.g., deltaic, estuarine, wetland, lacustrine, marine facies)</v>
      </c>
      <c r="W116" t="str">
        <f>'Long-form'!BE117</f>
        <v>Transgressive contact (nearshore)</v>
      </c>
      <c r="X116" t="str">
        <f>'Long-form'!BF117</f>
        <v>Shallow-water benthonic bethic foraminifera including Ammonia beccarii var., Elphidium advenum (Cushman),</v>
      </c>
      <c r="Y116" t="str">
        <f>'Long-form'!BH117</f>
        <v>&lt;HAT</v>
      </c>
      <c r="Z116" s="55">
        <f>'Long-form'!BT117</f>
        <v>-69.336904916891683</v>
      </c>
      <c r="AA116" s="55">
        <f>'Long-form'!BU117</f>
        <v>0.57760821496928172</v>
      </c>
      <c r="AB116" s="55">
        <f>'Long-form'!BV117</f>
        <v>0.57760821496928172</v>
      </c>
      <c r="AC116" s="55" t="str">
        <f>'Long-form'!BW117</f>
        <v>nd</v>
      </c>
      <c r="AD116" s="55" t="str">
        <f>'Long-form'!BX117</f>
        <v>nd</v>
      </c>
      <c r="AE116" s="55" t="str">
        <f>'Long-form'!BY117</f>
        <v>nd</v>
      </c>
      <c r="AF116" t="str">
        <f>'Long-form'!BZ117</f>
        <v>nd</v>
      </c>
      <c r="AG116">
        <f>'Long-form'!CB117</f>
        <v>0</v>
      </c>
      <c r="AH116">
        <f>'Long-form'!CD117</f>
        <v>0</v>
      </c>
      <c r="AI116" t="e">
        <f>'Long-form'!#REF!</f>
        <v>#REF!</v>
      </c>
    </row>
    <row r="117" spans="1:35">
      <c r="A117" t="str">
        <f>'Long-form'!A118</f>
        <v>Gif-11685</v>
      </c>
      <c r="B117" t="str">
        <f>'Long-form'!B118</f>
        <v>Yim, 2006</v>
      </c>
      <c r="C117" t="str">
        <f>'Long-form'!C118</f>
        <v>9a</v>
      </c>
      <c r="D117" t="str">
        <f>'Long-form'!D118</f>
        <v>Hong Kong</v>
      </c>
      <c r="E117" s="55">
        <f>'Long-form'!E118</f>
        <v>21.665666999999999</v>
      </c>
      <c r="F117" s="55">
        <f>'Long-form'!F118</f>
        <v>114.483717</v>
      </c>
      <c r="G117" t="str">
        <f>'Long-form'!G118</f>
        <v>1 = Radiocarbon</v>
      </c>
      <c r="H117" s="56">
        <f>'Long-form'!H118</f>
        <v>11020</v>
      </c>
      <c r="I117" s="56">
        <f>'Long-form'!I118</f>
        <v>152.3975065412817</v>
      </c>
      <c r="J117" s="56">
        <f>'Long-form'!J118</f>
        <v>12947</v>
      </c>
      <c r="K117" s="56">
        <f>'Long-form'!K118</f>
        <v>232</v>
      </c>
      <c r="L117" s="56">
        <f>'Long-form'!L118</f>
        <v>223</v>
      </c>
      <c r="M117" s="56" t="str">
        <f>'Long-form'!Q118</f>
        <v>transgressive</v>
      </c>
      <c r="N117" s="55">
        <f>'Long-form'!R118</f>
        <v>2.125</v>
      </c>
      <c r="O117" s="55" t="str">
        <f>'Long-form'!S118</f>
        <v>nd</v>
      </c>
      <c r="P117" s="55">
        <f>'Long-form'!T118</f>
        <v>1</v>
      </c>
      <c r="Q117" s="55">
        <f>'Long-form'!AM118</f>
        <v>-68.155999999999992</v>
      </c>
      <c r="R117" s="55" t="str">
        <f>'Long-form'!AN118</f>
        <v>YSD</v>
      </c>
      <c r="S117" s="55">
        <f>'Long-form'!AP118</f>
        <v>0.55109549989089912</v>
      </c>
      <c r="T117" s="55">
        <f>'Long-form'!AQ118</f>
        <v>0.55109549989089912</v>
      </c>
      <c r="U117">
        <f>'Long-form'!BC118</f>
        <v>-1</v>
      </c>
      <c r="V117" t="str">
        <f>'Long-form'!BD118</f>
        <v>5 = Sedimentary (e.g., deltaic, estuarine, wetland, lacustrine, marine facies)</v>
      </c>
      <c r="W117" t="str">
        <f>'Long-form'!BE118</f>
        <v>Transgressive contact (nearshore)</v>
      </c>
      <c r="X117" t="str">
        <f>'Long-form'!BF118</f>
        <v>Shallow-water benthonic bethic foraminifera including Ammonia beccarii var., Elphidium advenum (Cushman),</v>
      </c>
      <c r="Y117" t="str">
        <f>'Long-form'!BH118</f>
        <v>&lt;HAT</v>
      </c>
      <c r="Z117" s="55">
        <f>'Long-form'!BT118</f>
        <v>-69.336904916891683</v>
      </c>
      <c r="AA117" s="55">
        <f>'Long-form'!BU118</f>
        <v>0.57974671193547966</v>
      </c>
      <c r="AB117" s="55">
        <f>'Long-form'!BV118</f>
        <v>0.57974671193547966</v>
      </c>
      <c r="AC117" s="55" t="str">
        <f>'Long-form'!BW118</f>
        <v>nd</v>
      </c>
      <c r="AD117" s="55" t="str">
        <f>'Long-form'!BX118</f>
        <v>nd</v>
      </c>
      <c r="AE117" s="55" t="str">
        <f>'Long-form'!BY118</f>
        <v>nd</v>
      </c>
      <c r="AF117" t="str">
        <f>'Long-form'!BZ118</f>
        <v>nd</v>
      </c>
      <c r="AG117">
        <f>'Long-form'!CB118</f>
        <v>0</v>
      </c>
      <c r="AH117">
        <f>'Long-form'!CD118</f>
        <v>0</v>
      </c>
      <c r="AI117" t="e">
        <f>'Long-form'!#REF!</f>
        <v>#REF!</v>
      </c>
    </row>
    <row r="118" spans="1:35">
      <c r="A118" t="str">
        <f>'Long-form'!A119</f>
        <v>GIFA-101388</v>
      </c>
      <c r="B118" t="str">
        <f>'Long-form'!B119</f>
        <v>Yim, 2006</v>
      </c>
      <c r="C118" t="str">
        <f>'Long-form'!C119</f>
        <v>9a</v>
      </c>
      <c r="D118" t="str">
        <f>'Long-form'!D119</f>
        <v>Hong Kong</v>
      </c>
      <c r="E118" s="55">
        <f>'Long-form'!E119</f>
        <v>21.665666999999999</v>
      </c>
      <c r="F118" s="55">
        <f>'Long-form'!F119</f>
        <v>114.483717</v>
      </c>
      <c r="G118" t="str">
        <f>'Long-form'!G119</f>
        <v>1 = Radiocarbon</v>
      </c>
      <c r="H118" s="56">
        <f>'Long-form'!H119</f>
        <v>10300</v>
      </c>
      <c r="I118" s="56">
        <f>'Long-form'!I119</f>
        <v>100</v>
      </c>
      <c r="J118" s="56">
        <f>'Long-form'!J119</f>
        <v>11315</v>
      </c>
      <c r="K118" s="56">
        <f>'Long-form'!K119</f>
        <v>427</v>
      </c>
      <c r="L118" s="56">
        <f>'Long-form'!L119</f>
        <v>370</v>
      </c>
      <c r="M118" s="56" t="str">
        <f>'Long-form'!Q119</f>
        <v>transgressive</v>
      </c>
      <c r="N118" s="55">
        <f>'Long-form'!R119</f>
        <v>2.375</v>
      </c>
      <c r="O118" s="55" t="str">
        <f>'Long-form'!S119</f>
        <v>nd</v>
      </c>
      <c r="P118" s="55">
        <f>'Long-form'!T119</f>
        <v>1</v>
      </c>
      <c r="Q118" s="55">
        <f>'Long-form'!AM119</f>
        <v>-68.405999999999992</v>
      </c>
      <c r="R118" s="55" t="str">
        <f>'Long-form'!AN119</f>
        <v>YSD</v>
      </c>
      <c r="S118" s="55">
        <f>'Long-form'!AP119</f>
        <v>0.54925517749039021</v>
      </c>
      <c r="T118" s="55">
        <f>'Long-form'!AQ119</f>
        <v>0.54925517749039021</v>
      </c>
      <c r="U118">
        <f>'Long-form'!BC119</f>
        <v>-1</v>
      </c>
      <c r="V118" t="str">
        <f>'Long-form'!BD119</f>
        <v>5 = Sedimentary (e.g., deltaic, estuarine, wetland, lacustrine, marine facies)</v>
      </c>
      <c r="W118" t="str">
        <f>'Long-form'!BE119</f>
        <v>Transgressive contact (nearshore)</v>
      </c>
      <c r="X118" t="str">
        <f>'Long-form'!BF119</f>
        <v>Shallow-water benthonic bethic foraminifera including Ammonia beccarii var., Elphidium advenum (Cushman),</v>
      </c>
      <c r="Y118" t="str">
        <f>'Long-form'!BH119</f>
        <v>&lt;HAT</v>
      </c>
      <c r="Z118" s="55">
        <f>'Long-form'!BT119</f>
        <v>-69.586904916891683</v>
      </c>
      <c r="AA118" s="55">
        <f>'Long-form'!BU119</f>
        <v>0.57799762110237107</v>
      </c>
      <c r="AB118" s="55">
        <f>'Long-form'!BV119</f>
        <v>0.57799762110237107</v>
      </c>
      <c r="AC118" s="55" t="str">
        <f>'Long-form'!BW119</f>
        <v>nd</v>
      </c>
      <c r="AD118" s="55" t="str">
        <f>'Long-form'!BX119</f>
        <v>nd</v>
      </c>
      <c r="AE118" s="55" t="str">
        <f>'Long-form'!BY119</f>
        <v>nd</v>
      </c>
      <c r="AF118" t="str">
        <f>'Long-form'!BZ119</f>
        <v>nd</v>
      </c>
      <c r="AG118">
        <f>'Long-form'!CB119</f>
        <v>0</v>
      </c>
      <c r="AH118">
        <f>'Long-form'!CD119</f>
        <v>0</v>
      </c>
      <c r="AI118" t="e">
        <f>'Long-form'!#REF!</f>
        <v>#REF!</v>
      </c>
    </row>
    <row r="119" spans="1:35">
      <c r="A119" t="str">
        <f>'Long-form'!A120</f>
        <v>Gif-11684</v>
      </c>
      <c r="B119" t="str">
        <f>'Long-form'!B120</f>
        <v>Yim, 2006</v>
      </c>
      <c r="C119" t="str">
        <f>'Long-form'!C120</f>
        <v>9a</v>
      </c>
      <c r="D119" t="str">
        <f>'Long-form'!D120</f>
        <v>Hong Kong</v>
      </c>
      <c r="E119" s="55">
        <f>'Long-form'!E120</f>
        <v>21.665666999999999</v>
      </c>
      <c r="F119" s="55">
        <f>'Long-form'!F120</f>
        <v>114.483717</v>
      </c>
      <c r="G119" t="str">
        <f>'Long-form'!G120</f>
        <v>1 = Radiocarbon</v>
      </c>
      <c r="H119" s="56">
        <f>'Long-form'!H120</f>
        <v>12625</v>
      </c>
      <c r="I119" s="56">
        <f>'Long-form'!I120</f>
        <v>176.13914953808538</v>
      </c>
      <c r="J119" s="56">
        <f>'Long-form'!J120</f>
        <v>39840</v>
      </c>
      <c r="K119" s="56">
        <f>'Long-form'!K120</f>
        <v>1109</v>
      </c>
      <c r="L119" s="56">
        <f>'Long-form'!L120</f>
        <v>1133</v>
      </c>
      <c r="M119" s="56" t="str">
        <f>'Long-form'!Q120</f>
        <v>transgressive</v>
      </c>
      <c r="N119" s="55">
        <f>'Long-form'!R120</f>
        <v>2.375</v>
      </c>
      <c r="O119" s="55" t="str">
        <f>'Long-form'!S120</f>
        <v>nd</v>
      </c>
      <c r="P119" s="55">
        <f>'Long-form'!T120</f>
        <v>1</v>
      </c>
      <c r="Q119" s="55">
        <f>'Long-form'!AM120</f>
        <v>-68.405999999999992</v>
      </c>
      <c r="R119" s="55" t="str">
        <f>'Long-form'!AN120</f>
        <v>YSD</v>
      </c>
      <c r="S119" s="55">
        <f>'Long-form'!AP120</f>
        <v>0.55150362646133166</v>
      </c>
      <c r="T119" s="55">
        <f>'Long-form'!AQ120</f>
        <v>0.55150362646133166</v>
      </c>
      <c r="U119">
        <f>'Long-form'!BC120</f>
        <v>-1</v>
      </c>
      <c r="V119" t="str">
        <f>'Long-form'!BD120</f>
        <v>5 = Sedimentary (e.g., deltaic, estuarine, wetland, lacustrine, marine facies)</v>
      </c>
      <c r="W119" t="str">
        <f>'Long-form'!BE120</f>
        <v>Transgressive contact (nearshore)</v>
      </c>
      <c r="X119" t="str">
        <f>'Long-form'!BF120</f>
        <v>Shallow-water benthonic bethic foraminifera including Ammonia beccarii var., Elphidium advenum (Cushman),</v>
      </c>
      <c r="Y119" t="str">
        <f>'Long-form'!BH120</f>
        <v>&lt;HAT</v>
      </c>
      <c r="Z119" s="55">
        <f>'Long-form'!BT120</f>
        <v>-69.586904916891683</v>
      </c>
      <c r="AA119" s="55">
        <f>'Long-form'!BU120</f>
        <v>0.58013468263843704</v>
      </c>
      <c r="AB119" s="55">
        <f>'Long-form'!BV120</f>
        <v>0.58013468263843704</v>
      </c>
      <c r="AC119" s="55" t="str">
        <f>'Long-form'!BW120</f>
        <v>nd</v>
      </c>
      <c r="AD119" s="55" t="str">
        <f>'Long-form'!BX120</f>
        <v>nd</v>
      </c>
      <c r="AE119" s="55" t="str">
        <f>'Long-form'!BY120</f>
        <v>nd</v>
      </c>
      <c r="AF119" t="str">
        <f>'Long-form'!BZ120</f>
        <v>nd</v>
      </c>
      <c r="AG119">
        <f>'Long-form'!CB120</f>
        <v>0</v>
      </c>
      <c r="AH119">
        <f>'Long-form'!CD120</f>
        <v>0</v>
      </c>
      <c r="AI119" t="e">
        <f>'Long-form'!#REF!</f>
        <v>#REF!</v>
      </c>
    </row>
    <row r="120" spans="1:35">
      <c r="A120" t="str">
        <f>'Long-form'!A121</f>
        <v>GIFA-102054</v>
      </c>
      <c r="B120" t="str">
        <f>'Long-form'!B121</f>
        <v>Yim, 2006</v>
      </c>
      <c r="C120" t="str">
        <f>'Long-form'!C121</f>
        <v>9a</v>
      </c>
      <c r="D120" t="str">
        <f>'Long-form'!D121</f>
        <v>Hong Kong</v>
      </c>
      <c r="E120" s="55">
        <f>'Long-form'!E121</f>
        <v>21.665783000000001</v>
      </c>
      <c r="F120" s="55">
        <f>'Long-form'!F121</f>
        <v>114.57901699999999</v>
      </c>
      <c r="G120" t="str">
        <f>'Long-form'!G121</f>
        <v>1 = Radiocarbon</v>
      </c>
      <c r="H120" s="56">
        <f>'Long-form'!H121</f>
        <v>3730</v>
      </c>
      <c r="I120" s="56">
        <f>'Long-form'!I121</f>
        <v>80</v>
      </c>
      <c r="J120" s="56">
        <f>'Long-form'!J121</f>
        <v>14938</v>
      </c>
      <c r="K120" s="56">
        <f>'Long-form'!K121</f>
        <v>587</v>
      </c>
      <c r="L120" s="56">
        <f>'Long-form'!L121</f>
        <v>734</v>
      </c>
      <c r="M120" s="56" t="str">
        <f>'Long-form'!Q121</f>
        <v>transgressive</v>
      </c>
      <c r="N120" s="55">
        <f>'Long-form'!R121</f>
        <v>0.875</v>
      </c>
      <c r="O120" s="55" t="str">
        <f>'Long-form'!S121</f>
        <v>nd</v>
      </c>
      <c r="P120" s="55">
        <f>'Long-form'!T121</f>
        <v>1</v>
      </c>
      <c r="Q120" s="55">
        <f>'Long-form'!AM121</f>
        <v>-69.905999999999992</v>
      </c>
      <c r="R120" s="55" t="str">
        <f>'Long-form'!AN121</f>
        <v>YSD</v>
      </c>
      <c r="S120" s="55">
        <f>'Long-form'!AP121</f>
        <v>0.54747716847371819</v>
      </c>
      <c r="T120" s="55">
        <f>'Long-form'!AQ121</f>
        <v>0.54747716847371819</v>
      </c>
      <c r="U120">
        <f>'Long-form'!BC121</f>
        <v>-1</v>
      </c>
      <c r="V120" t="str">
        <f>'Long-form'!BD121</f>
        <v>5 = Sedimentary (e.g., deltaic, estuarine, wetland, lacustrine, marine facies)</v>
      </c>
      <c r="W120" t="str">
        <f>'Long-form'!BE121</f>
        <v>Marine deposit</v>
      </c>
      <c r="X120" t="str">
        <f>'Long-form'!BF121</f>
        <v>Marine foraminifera Bigenerina Taiwanica, Textularia conica,Pseudorotalia indopacifica</v>
      </c>
      <c r="Y120" t="str">
        <f>'Long-form'!BH121</f>
        <v>&lt;MTL</v>
      </c>
      <c r="Z120" s="55">
        <f>'Long-form'!BT121</f>
        <v>-69.957482737013166</v>
      </c>
      <c r="AA120" s="55">
        <f>'Long-form'!BU121</f>
        <v>0.54975562752917773</v>
      </c>
      <c r="AB120" s="55">
        <f>'Long-form'!BV121</f>
        <v>0.54975562752917773</v>
      </c>
      <c r="AC120" s="55" t="str">
        <f>'Long-form'!BW121</f>
        <v>nd</v>
      </c>
      <c r="AD120" s="55" t="str">
        <f>'Long-form'!BX121</f>
        <v>nd</v>
      </c>
      <c r="AE120" s="55" t="str">
        <f>'Long-form'!BY121</f>
        <v>nd</v>
      </c>
      <c r="AF120" t="str">
        <f>'Long-form'!BZ121</f>
        <v>nd</v>
      </c>
      <c r="AG120">
        <f>'Long-form'!CB121</f>
        <v>0</v>
      </c>
      <c r="AH120">
        <f>'Long-form'!CD121</f>
        <v>0</v>
      </c>
      <c r="AI120" t="e">
        <f>'Long-form'!#REF!</f>
        <v>#REF!</v>
      </c>
    </row>
    <row r="121" spans="1:35">
      <c r="A121" t="str">
        <f>'Long-form'!A122</f>
        <v>GIFA-101392</v>
      </c>
      <c r="B121" t="str">
        <f>'Long-form'!B122</f>
        <v>Yim, 2006</v>
      </c>
      <c r="C121" t="str">
        <f>'Long-form'!C122</f>
        <v>9a</v>
      </c>
      <c r="D121" t="str">
        <f>'Long-form'!D122</f>
        <v>Hong Kong</v>
      </c>
      <c r="E121" s="55">
        <f>'Long-form'!E122</f>
        <v>21.665832999999999</v>
      </c>
      <c r="F121" s="55">
        <f>'Long-form'!F122</f>
        <v>114.678533</v>
      </c>
      <c r="G121" t="str">
        <f>'Long-form'!G122</f>
        <v>1 = Radiocarbon</v>
      </c>
      <c r="H121" s="56">
        <f>'Long-form'!H122</f>
        <v>5050</v>
      </c>
      <c r="I121" s="56">
        <f>'Long-form'!I122</f>
        <v>80</v>
      </c>
      <c r="J121" s="56">
        <f>'Long-form'!J122</f>
        <v>5192</v>
      </c>
      <c r="K121" s="56">
        <f>'Long-form'!K122</f>
        <v>278</v>
      </c>
      <c r="L121" s="56">
        <f>'Long-form'!L122</f>
        <v>318</v>
      </c>
      <c r="M121" s="56" t="str">
        <f>'Long-form'!Q122</f>
        <v>transgressive</v>
      </c>
      <c r="N121" s="55">
        <f>'Long-form'!R122</f>
        <v>1.625</v>
      </c>
      <c r="O121" s="55" t="str">
        <f>'Long-form'!S122</f>
        <v>nd</v>
      </c>
      <c r="P121" s="55">
        <f>'Long-form'!T122</f>
        <v>1</v>
      </c>
      <c r="Q121" s="55">
        <f>'Long-form'!AM122</f>
        <v>-74.655999999999992</v>
      </c>
      <c r="R121" s="55" t="str">
        <f>'Long-form'!AN122</f>
        <v>YSD</v>
      </c>
      <c r="S121" s="55">
        <f>'Long-form'!AP122</f>
        <v>0.54816170059572755</v>
      </c>
      <c r="T121" s="55">
        <f>'Long-form'!AQ122</f>
        <v>0.54816170059572755</v>
      </c>
      <c r="U121">
        <f>'Long-form'!BC122</f>
        <v>-1</v>
      </c>
      <c r="V121" t="str">
        <f>'Long-form'!BD122</f>
        <v>5 = Sedimentary (e.g., deltaic, estuarine, wetland, lacustrine, marine facies)</v>
      </c>
      <c r="W121" t="str">
        <f>'Long-form'!BE122</f>
        <v>Marine deposit</v>
      </c>
      <c r="X121" t="str">
        <f>'Long-form'!BF122</f>
        <v>Marine foraminifera Bigenerina Taiwanica, Textularia conica,Pseudorotalia indopacifica</v>
      </c>
      <c r="Y121" t="str">
        <f>'Long-form'!BH122</f>
        <v>&lt;MTL</v>
      </c>
      <c r="Z121" s="55">
        <f>'Long-form'!BT122</f>
        <v>-74.710942049082931</v>
      </c>
      <c r="AA121" s="55">
        <f>'Long-form'!BU122</f>
        <v>0.55043732613259433</v>
      </c>
      <c r="AB121" s="55">
        <f>'Long-form'!BV122</f>
        <v>0.55043732613259433</v>
      </c>
      <c r="AC121" s="55" t="str">
        <f>'Long-form'!BW122</f>
        <v>nd</v>
      </c>
      <c r="AD121" s="55" t="str">
        <f>'Long-form'!BX122</f>
        <v>nd</v>
      </c>
      <c r="AE121" s="55" t="str">
        <f>'Long-form'!BY122</f>
        <v>nd</v>
      </c>
      <c r="AF121" t="str">
        <f>'Long-form'!BZ122</f>
        <v>nd</v>
      </c>
      <c r="AG121">
        <f>'Long-form'!CB122</f>
        <v>0</v>
      </c>
      <c r="AH121">
        <f>'Long-form'!CD122</f>
        <v>0</v>
      </c>
      <c r="AI121" t="e">
        <f>'Long-form'!#REF!</f>
        <v>#REF!</v>
      </c>
    </row>
    <row r="122" spans="1:35">
      <c r="A122" t="e">
        <f>'Long-form'!#REF!</f>
        <v>#REF!</v>
      </c>
      <c r="B122" t="e">
        <f>'Long-form'!#REF!</f>
        <v>#REF!</v>
      </c>
      <c r="C122" t="e">
        <f>'Long-form'!#REF!</f>
        <v>#REF!</v>
      </c>
      <c r="D122" t="e">
        <f>'Long-form'!#REF!</f>
        <v>#REF!</v>
      </c>
      <c r="E122" s="55" t="e">
        <f>'Long-form'!#REF!</f>
        <v>#REF!</v>
      </c>
      <c r="F122" s="55" t="e">
        <f>'Long-form'!#REF!</f>
        <v>#REF!</v>
      </c>
      <c r="G122" t="e">
        <f>'Long-form'!#REF!</f>
        <v>#REF!</v>
      </c>
      <c r="H122" s="56" t="e">
        <f>'Long-form'!#REF!</f>
        <v>#REF!</v>
      </c>
      <c r="I122" s="56" t="e">
        <f>'Long-form'!#REF!</f>
        <v>#REF!</v>
      </c>
      <c r="J122" s="56" t="e">
        <f>'Long-form'!#REF!</f>
        <v>#REF!</v>
      </c>
      <c r="K122" s="56" t="e">
        <f>'Long-form'!#REF!</f>
        <v>#REF!</v>
      </c>
      <c r="L122" s="56" t="e">
        <f>'Long-form'!#REF!</f>
        <v>#REF!</v>
      </c>
      <c r="M122" s="56" t="e">
        <f>'Long-form'!#REF!</f>
        <v>#REF!</v>
      </c>
      <c r="N122" s="55" t="e">
        <f>'Long-form'!#REF!</f>
        <v>#REF!</v>
      </c>
      <c r="O122" s="55" t="e">
        <f>'Long-form'!#REF!</f>
        <v>#REF!</v>
      </c>
      <c r="P122" s="55" t="e">
        <f>'Long-form'!#REF!</f>
        <v>#REF!</v>
      </c>
      <c r="Q122" s="55" t="e">
        <f>'Long-form'!#REF!</f>
        <v>#REF!</v>
      </c>
      <c r="R122" s="55" t="e">
        <f>'Long-form'!#REF!</f>
        <v>#REF!</v>
      </c>
      <c r="S122" s="55" t="e">
        <f>'Long-form'!#REF!</f>
        <v>#REF!</v>
      </c>
      <c r="T122" s="55" t="e">
        <f>'Long-form'!#REF!</f>
        <v>#REF!</v>
      </c>
      <c r="U122" t="e">
        <f>'Long-form'!#REF!</f>
        <v>#REF!</v>
      </c>
      <c r="V122" t="e">
        <f>'Long-form'!#REF!</f>
        <v>#REF!</v>
      </c>
      <c r="W122" t="e">
        <f>'Long-form'!#REF!</f>
        <v>#REF!</v>
      </c>
      <c r="X122" t="e">
        <f>'Long-form'!#REF!</f>
        <v>#REF!</v>
      </c>
      <c r="Y122" t="e">
        <f>'Long-form'!#REF!</f>
        <v>#REF!</v>
      </c>
      <c r="Z122" s="55" t="e">
        <f>'Long-form'!#REF!</f>
        <v>#REF!</v>
      </c>
      <c r="AA122" s="55" t="e">
        <f>'Long-form'!#REF!</f>
        <v>#REF!</v>
      </c>
      <c r="AB122" s="55" t="e">
        <f>'Long-form'!#REF!</f>
        <v>#REF!</v>
      </c>
      <c r="AC122" s="55" t="e">
        <f>'Long-form'!#REF!</f>
        <v>#REF!</v>
      </c>
      <c r="AD122" s="55" t="e">
        <f>'Long-form'!#REF!</f>
        <v>#REF!</v>
      </c>
      <c r="AE122" s="55" t="e">
        <f>'Long-form'!#REF!</f>
        <v>#REF!</v>
      </c>
      <c r="AF122" t="e">
        <f>'Long-form'!#REF!</f>
        <v>#REF!</v>
      </c>
      <c r="AG122" t="e">
        <f>'Long-form'!#REF!</f>
        <v>#REF!</v>
      </c>
      <c r="AH122" t="e">
        <f>'Long-form'!#REF!</f>
        <v>#REF!</v>
      </c>
      <c r="AI122" t="e">
        <f>'Long-form'!#REF!</f>
        <v>#REF!</v>
      </c>
    </row>
    <row r="123" spans="1:35">
      <c r="A123" t="str">
        <f>'Long-form'!A123</f>
        <v>GIFA-101395</v>
      </c>
      <c r="B123" t="str">
        <f>'Long-form'!B123</f>
        <v>Yim, 2006</v>
      </c>
      <c r="C123" t="str">
        <f>'Long-form'!C123</f>
        <v>9a</v>
      </c>
      <c r="D123" t="str">
        <f>'Long-form'!D123</f>
        <v>Hong Kong</v>
      </c>
      <c r="E123" s="55">
        <f>'Long-form'!E123</f>
        <v>21.665917</v>
      </c>
      <c r="F123" s="55">
        <f>'Long-form'!F123</f>
        <v>114.8635</v>
      </c>
      <c r="G123" t="str">
        <f>'Long-form'!G123</f>
        <v>1 = Radiocarbon</v>
      </c>
      <c r="H123" s="56">
        <f>'Long-form'!H123</f>
        <v>1750</v>
      </c>
      <c r="I123" s="56">
        <f>'Long-form'!I123</f>
        <v>60</v>
      </c>
      <c r="J123" s="56">
        <f>'Long-form'!J123</f>
        <v>1154</v>
      </c>
      <c r="K123" s="56">
        <f>'Long-form'!K123</f>
        <v>205</v>
      </c>
      <c r="L123" s="56">
        <f>'Long-form'!L123</f>
        <v>228</v>
      </c>
      <c r="M123" s="56" t="str">
        <f>'Long-form'!Q123</f>
        <v>transgressive</v>
      </c>
      <c r="N123" s="55">
        <f>'Long-form'!R123</f>
        <v>0.375</v>
      </c>
      <c r="O123" s="55" t="str">
        <f>'Long-form'!S123</f>
        <v>nd</v>
      </c>
      <c r="P123" s="55">
        <f>'Long-form'!T123</f>
        <v>1</v>
      </c>
      <c r="Q123" s="55">
        <f>'Long-form'!AM123</f>
        <v>-80.405999999999992</v>
      </c>
      <c r="R123" s="55" t="str">
        <f>'Long-form'!AN123</f>
        <v>YSD</v>
      </c>
      <c r="S123" s="55">
        <f>'Long-form'!AP123</f>
        <v>0.54724880082097949</v>
      </c>
      <c r="T123" s="55">
        <f>'Long-form'!AQ123</f>
        <v>0.54724880082097949</v>
      </c>
      <c r="U123">
        <f>'Long-form'!BC123</f>
        <v>-1</v>
      </c>
      <c r="V123" t="str">
        <f>'Long-form'!BD123</f>
        <v>5 = Sedimentary (e.g., deltaic, estuarine, wetland, lacustrine, marine facies)</v>
      </c>
      <c r="W123" t="str">
        <f>'Long-form'!BE123</f>
        <v>Marine deposit</v>
      </c>
      <c r="X123" t="str">
        <f>'Long-form'!BF123</f>
        <v>Marine foraminifera Bigenerina Taiwanica, Textularia conica,Pseudorotalia indopacifica</v>
      </c>
      <c r="Y123" t="str">
        <f>'Long-form'!BH123</f>
        <v>&lt;MTL</v>
      </c>
      <c r="Z123" s="55">
        <f>'Long-form'!BT123</f>
        <v>-80.48197622660993</v>
      </c>
      <c r="AA123" s="55">
        <f>'Long-form'!BU123</f>
        <v>0.54952820673737945</v>
      </c>
      <c r="AB123" s="55">
        <f>'Long-form'!BV123</f>
        <v>0.54952820673737945</v>
      </c>
      <c r="AC123" s="55" t="str">
        <f>'Long-form'!BW123</f>
        <v>nd</v>
      </c>
      <c r="AD123" s="55" t="str">
        <f>'Long-form'!BX123</f>
        <v>nd</v>
      </c>
      <c r="AE123" s="55" t="str">
        <f>'Long-form'!BY123</f>
        <v>nd</v>
      </c>
      <c r="AF123" t="str">
        <f>'Long-form'!BZ123</f>
        <v>nd</v>
      </c>
      <c r="AG123">
        <f>'Long-form'!CB123</f>
        <v>0</v>
      </c>
      <c r="AH123">
        <f>'Long-form'!CD123</f>
        <v>0</v>
      </c>
      <c r="AI123" t="e">
        <f>'Long-form'!#REF!</f>
        <v>#REF!</v>
      </c>
    </row>
    <row r="124" spans="1:35">
      <c r="A124" t="str">
        <f>'Long-form'!A124</f>
        <v>GIFA-101396</v>
      </c>
      <c r="B124" t="str">
        <f>'Long-form'!B124</f>
        <v>Yim, 2006</v>
      </c>
      <c r="C124" t="str">
        <f>'Long-form'!C124</f>
        <v>9a</v>
      </c>
      <c r="D124" t="str">
        <f>'Long-form'!D124</f>
        <v>Hong Kong</v>
      </c>
      <c r="E124" s="55">
        <f>'Long-form'!E124</f>
        <v>21.665917</v>
      </c>
      <c r="F124" s="55">
        <f>'Long-form'!F124</f>
        <v>114.8635</v>
      </c>
      <c r="G124" t="str">
        <f>'Long-form'!G124</f>
        <v>1 = Radiocarbon</v>
      </c>
      <c r="H124" s="56">
        <f>'Long-form'!H124</f>
        <v>10280</v>
      </c>
      <c r="I124" s="56">
        <f>'Long-form'!I124</f>
        <v>100</v>
      </c>
      <c r="J124" s="56">
        <f>'Long-form'!J124</f>
        <v>11286</v>
      </c>
      <c r="K124" s="56">
        <f>'Long-form'!K124</f>
        <v>416</v>
      </c>
      <c r="L124" s="56">
        <f>'Long-form'!L124</f>
        <v>397</v>
      </c>
      <c r="M124" s="56" t="str">
        <f>'Long-form'!Q124</f>
        <v>transgressive</v>
      </c>
      <c r="N124" s="55">
        <f>'Long-form'!R124</f>
        <v>0.875</v>
      </c>
      <c r="O124" s="55" t="str">
        <f>'Long-form'!S124</f>
        <v>nd</v>
      </c>
      <c r="P124" s="55">
        <f>'Long-form'!T124</f>
        <v>1</v>
      </c>
      <c r="Q124" s="55">
        <f>'Long-form'!AM124</f>
        <v>-80.905999999999992</v>
      </c>
      <c r="R124" s="55" t="str">
        <f>'Long-form'!AN124</f>
        <v>YSD</v>
      </c>
      <c r="S124" s="55">
        <f>'Long-form'!AP124</f>
        <v>0.54747716847371819</v>
      </c>
      <c r="T124" s="55">
        <f>'Long-form'!AQ124</f>
        <v>0.54747716847371819</v>
      </c>
      <c r="U124">
        <f>'Long-form'!BC124</f>
        <v>-1</v>
      </c>
      <c r="V124" t="str">
        <f>'Long-form'!BD124</f>
        <v>5 = Sedimentary (e.g., deltaic, estuarine, wetland, lacustrine, marine facies)</v>
      </c>
      <c r="W124" t="str">
        <f>'Long-form'!BE124</f>
        <v>Transgressive contact (nearshore)</v>
      </c>
      <c r="X124" t="str">
        <f>'Long-form'!BF124</f>
        <v>Shallow-water benthonic bethic foraminifera including Ammonia beccarii var., Elphidium advenum (Cushman),</v>
      </c>
      <c r="Y124" t="str">
        <f>'Long-form'!BH124</f>
        <v>&lt;HAT</v>
      </c>
      <c r="Z124" s="55">
        <f>'Long-form'!BT124</f>
        <v>-82.154408302638345</v>
      </c>
      <c r="AA124" s="55">
        <f>'Long-form'!BU124</f>
        <v>0.57630829423148167</v>
      </c>
      <c r="AB124" s="55">
        <f>'Long-form'!BV124</f>
        <v>0.57630829423148167</v>
      </c>
      <c r="AC124" s="55" t="str">
        <f>'Long-form'!BW124</f>
        <v>nd</v>
      </c>
      <c r="AD124" s="55" t="str">
        <f>'Long-form'!BX124</f>
        <v>nd</v>
      </c>
      <c r="AE124" s="55" t="str">
        <f>'Long-form'!BY124</f>
        <v>nd</v>
      </c>
      <c r="AF124" t="str">
        <f>'Long-form'!BZ124</f>
        <v>nd</v>
      </c>
      <c r="AG124">
        <f>'Long-form'!CB124</f>
        <v>0</v>
      </c>
      <c r="AH124">
        <f>'Long-form'!CD124</f>
        <v>0</v>
      </c>
      <c r="AI124" t="e">
        <f>'Long-form'!#REF!</f>
        <v>#REF!</v>
      </c>
    </row>
    <row r="125" spans="1:35">
      <c r="A125" t="str">
        <f>'Long-form'!A125</f>
        <v>GIFA-101397</v>
      </c>
      <c r="B125" t="str">
        <f>'Long-form'!B125</f>
        <v>Yim, 2006</v>
      </c>
      <c r="C125" t="str">
        <f>'Long-form'!C125</f>
        <v>9a</v>
      </c>
      <c r="D125" t="str">
        <f>'Long-form'!D125</f>
        <v>Hong Kong</v>
      </c>
      <c r="E125" s="55">
        <f>'Long-form'!E125</f>
        <v>21.665932999999999</v>
      </c>
      <c r="F125" s="55">
        <f>'Long-form'!F125</f>
        <v>114.992133</v>
      </c>
      <c r="G125" t="str">
        <f>'Long-form'!G125</f>
        <v>1 = Radiocarbon</v>
      </c>
      <c r="H125" s="56">
        <f>'Long-form'!H125</f>
        <v>12140</v>
      </c>
      <c r="I125" s="56">
        <f>'Long-form'!I125</f>
        <v>120</v>
      </c>
      <c r="J125" s="56">
        <f>'Long-form'!J125</f>
        <v>13491</v>
      </c>
      <c r="K125" s="56">
        <f>'Long-form'!K125</f>
        <v>350</v>
      </c>
      <c r="L125" s="56">
        <f>'Long-form'!L125</f>
        <v>341</v>
      </c>
      <c r="M125" s="56" t="str">
        <f>'Long-form'!Q125</f>
        <v>transgressive</v>
      </c>
      <c r="N125" s="55">
        <f>'Long-form'!R125</f>
        <v>1.1000000000000001</v>
      </c>
      <c r="O125" s="55" t="str">
        <f>'Long-form'!S125</f>
        <v>nd</v>
      </c>
      <c r="P125" s="55">
        <f>'Long-form'!T125</f>
        <v>1</v>
      </c>
      <c r="Q125" s="55">
        <f>'Long-form'!AM125</f>
        <v>-85.125999999999991</v>
      </c>
      <c r="R125" s="55" t="str">
        <f>'Long-form'!AN125</f>
        <v>YSD</v>
      </c>
      <c r="S125" s="55">
        <f>'Long-form'!AP125</f>
        <v>0.541303057445642</v>
      </c>
      <c r="T125" s="55">
        <f>'Long-form'!AQ125</f>
        <v>0.541303057445642</v>
      </c>
      <c r="U125">
        <f>'Long-form'!BC125</f>
        <v>-1</v>
      </c>
      <c r="V125" t="str">
        <f>'Long-form'!BD125</f>
        <v>5 = Sedimentary (e.g., deltaic, estuarine, wetland, lacustrine, marine facies)</v>
      </c>
      <c r="W125" t="str">
        <f>'Long-form'!BE125</f>
        <v>Transgressive contact (nearshore)</v>
      </c>
      <c r="X125" t="str">
        <f>'Long-form'!BF125</f>
        <v>Shallow-water benthonic bethic foraminifera including Ammonia beccarii var., Elphidium advenum (Cushman),</v>
      </c>
      <c r="Y125" t="str">
        <f>'Long-form'!BH125</f>
        <v>&lt;HAT</v>
      </c>
      <c r="Z125" s="55">
        <f>'Long-form'!BT125</f>
        <v>-86.365359506537445</v>
      </c>
      <c r="AA125" s="55">
        <f>'Long-form'!BU125</f>
        <v>0.57044631649262145</v>
      </c>
      <c r="AB125" s="55">
        <f>'Long-form'!BV125</f>
        <v>0.57044631649262145</v>
      </c>
      <c r="AC125" s="55" t="str">
        <f>'Long-form'!BW125</f>
        <v>nd</v>
      </c>
      <c r="AD125" s="55" t="str">
        <f>'Long-form'!BX125</f>
        <v>nd</v>
      </c>
      <c r="AE125" s="55" t="str">
        <f>'Long-form'!BY125</f>
        <v>nd</v>
      </c>
      <c r="AF125" t="str">
        <f>'Long-form'!BZ125</f>
        <v>nd</v>
      </c>
      <c r="AG125">
        <f>'Long-form'!CB125</f>
        <v>0</v>
      </c>
      <c r="AH125">
        <f>'Long-form'!CD125</f>
        <v>0</v>
      </c>
      <c r="AI125" t="e">
        <f>'Long-form'!#REF!</f>
        <v>#REF!</v>
      </c>
    </row>
    <row r="126" spans="1:35">
      <c r="A126" t="str">
        <f>'Long-form'!A126</f>
        <v>GIFA-101398</v>
      </c>
      <c r="B126" t="str">
        <f>'Long-form'!B126</f>
        <v>Yim, 2006</v>
      </c>
      <c r="C126" t="str">
        <f>'Long-form'!C126</f>
        <v>9a</v>
      </c>
      <c r="D126" t="str">
        <f>'Long-form'!D126</f>
        <v>Hong Kong</v>
      </c>
      <c r="E126" s="55">
        <f>'Long-form'!E126</f>
        <v>21.665533</v>
      </c>
      <c r="F126" s="55">
        <f>'Long-form'!F126</f>
        <v>115.086383</v>
      </c>
      <c r="G126" t="str">
        <f>'Long-form'!G126</f>
        <v>1 = Radiocarbon</v>
      </c>
      <c r="H126" s="56">
        <f>'Long-form'!H126</f>
        <v>9040</v>
      </c>
      <c r="I126" s="56">
        <f>'Long-form'!I126</f>
        <v>100</v>
      </c>
      <c r="J126" s="56">
        <f>'Long-form'!J126</f>
        <v>9597</v>
      </c>
      <c r="K126" s="56">
        <f>'Long-form'!K126</f>
        <v>396</v>
      </c>
      <c r="L126" s="56">
        <f>'Long-form'!L126</f>
        <v>326</v>
      </c>
      <c r="M126" s="56" t="str">
        <f>'Long-form'!Q126</f>
        <v>transgressive</v>
      </c>
      <c r="N126" s="55">
        <f>'Long-form'!R126</f>
        <v>0.375</v>
      </c>
      <c r="O126" s="55" t="str">
        <f>'Long-form'!S126</f>
        <v>nd</v>
      </c>
      <c r="P126" s="55">
        <f>'Long-form'!T126</f>
        <v>1</v>
      </c>
      <c r="Q126" s="55">
        <f>'Long-form'!AM126</f>
        <v>-91.405999999999992</v>
      </c>
      <c r="R126" s="55" t="str">
        <f>'Long-form'!AN126</f>
        <v>YSD</v>
      </c>
      <c r="S126" s="55">
        <f>'Long-form'!AP126</f>
        <v>0.54724880082097949</v>
      </c>
      <c r="T126" s="55">
        <f>'Long-form'!AQ126</f>
        <v>0.54724880082097949</v>
      </c>
      <c r="U126">
        <f>'Long-form'!BC126</f>
        <v>-1</v>
      </c>
      <c r="V126" t="str">
        <f>'Long-form'!BD126</f>
        <v>5 = Sedimentary (e.g., deltaic, estuarine, wetland, lacustrine, marine facies)</v>
      </c>
      <c r="W126" t="str">
        <f>'Long-form'!BE126</f>
        <v>Marine deposit</v>
      </c>
      <c r="X126" t="str">
        <f>'Long-form'!BF126</f>
        <v>Deep marine foraminifera Cibicides bimargaritiferus, C. praecinctes, P. indopacifica, Rubulus calcar</v>
      </c>
      <c r="Y126" t="str">
        <f>'Long-form'!BH126</f>
        <v>&lt;MTL</v>
      </c>
      <c r="Z126" s="55">
        <f>'Long-form'!BT126</f>
        <v>-91.478310846213418</v>
      </c>
      <c r="AA126" s="55">
        <f>'Long-form'!BU126</f>
        <v>0.54952820673737945</v>
      </c>
      <c r="AB126" s="55">
        <f>'Long-form'!BV126</f>
        <v>0.54952820673737945</v>
      </c>
      <c r="AC126" s="55" t="str">
        <f>'Long-form'!BW126</f>
        <v>nd</v>
      </c>
      <c r="AD126" s="55" t="str">
        <f>'Long-form'!BX126</f>
        <v>nd</v>
      </c>
      <c r="AE126" s="55" t="str">
        <f>'Long-form'!BY126</f>
        <v>nd</v>
      </c>
      <c r="AF126" t="str">
        <f>'Long-form'!BZ126</f>
        <v>nd</v>
      </c>
      <c r="AG126">
        <f>'Long-form'!CB126</f>
        <v>0</v>
      </c>
      <c r="AH126">
        <f>'Long-form'!CD126</f>
        <v>0</v>
      </c>
      <c r="AI126" t="e">
        <f>'Long-form'!#REF!</f>
        <v>#REF!</v>
      </c>
    </row>
    <row r="127" spans="1:35">
      <c r="A127" t="str">
        <f>'Long-form'!A127</f>
        <v>GIFA-101399</v>
      </c>
      <c r="B127" t="str">
        <f>'Long-form'!B127</f>
        <v>Yim, 2006</v>
      </c>
      <c r="C127" t="str">
        <f>'Long-form'!C127</f>
        <v>9a</v>
      </c>
      <c r="D127" t="str">
        <f>'Long-form'!D127</f>
        <v>Hong Kong</v>
      </c>
      <c r="E127" s="55">
        <f>'Long-form'!E127</f>
        <v>21.665533</v>
      </c>
      <c r="F127" s="55">
        <f>'Long-form'!F127</f>
        <v>115.086383</v>
      </c>
      <c r="G127" t="str">
        <f>'Long-form'!G127</f>
        <v>1 = Radiocarbon</v>
      </c>
      <c r="H127" s="56">
        <f>'Long-form'!H127</f>
        <v>5390</v>
      </c>
      <c r="I127" s="56">
        <f>'Long-form'!I127</f>
        <v>90</v>
      </c>
      <c r="J127" s="56">
        <f>'Long-form'!J127</f>
        <v>5582</v>
      </c>
      <c r="K127" s="56">
        <f>'Long-form'!K127</f>
        <v>288</v>
      </c>
      <c r="L127" s="56">
        <f>'Long-form'!L127</f>
        <v>273</v>
      </c>
      <c r="M127" s="56" t="str">
        <f>'Long-form'!Q127</f>
        <v>transgressive</v>
      </c>
      <c r="N127" s="55">
        <f>'Long-form'!R127</f>
        <v>1.05</v>
      </c>
      <c r="O127" s="55" t="str">
        <f>'Long-form'!S127</f>
        <v>nd</v>
      </c>
      <c r="P127" s="55">
        <f>'Long-form'!T127</f>
        <v>1</v>
      </c>
      <c r="Q127" s="55">
        <f>'Long-form'!AM127</f>
        <v>-92.075999999999993</v>
      </c>
      <c r="R127" s="55" t="str">
        <f>'Long-form'!AN127</f>
        <v>YSD</v>
      </c>
      <c r="S127" s="55">
        <f>'Long-form'!AP127</f>
        <v>0.53429018332737499</v>
      </c>
      <c r="T127" s="55">
        <f>'Long-form'!AQ127</f>
        <v>0.53429018332737499</v>
      </c>
      <c r="U127">
        <f>'Long-form'!BC127</f>
        <v>-1</v>
      </c>
      <c r="V127" t="str">
        <f>'Long-form'!BD127</f>
        <v>5 = Sedimentary (e.g., deltaic, estuarine, wetland, lacustrine, marine facies)</v>
      </c>
      <c r="W127" t="str">
        <f>'Long-form'!BE127</f>
        <v>Transgressive contact (nearshore)</v>
      </c>
      <c r="X127" t="str">
        <f>'Long-form'!BF127</f>
        <v>Shallow-water benthonic bethic foraminifera including Ammonia beccarii var., Elphidium advenum (Cushman),</v>
      </c>
      <c r="Y127" t="str">
        <f>'Long-form'!BH127</f>
        <v>&lt;HAT</v>
      </c>
      <c r="Z127" s="55">
        <f>'Long-form'!BT127</f>
        <v>-93.310270406823236</v>
      </c>
      <c r="AA127" s="55">
        <f>'Long-form'!BU127</f>
        <v>0.56379606241973701</v>
      </c>
      <c r="AB127" s="55">
        <f>'Long-form'!BV127</f>
        <v>0.56379606241973701</v>
      </c>
      <c r="AC127" s="55" t="str">
        <f>'Long-form'!BW127</f>
        <v>nd</v>
      </c>
      <c r="AD127" s="55" t="str">
        <f>'Long-form'!BX127</f>
        <v>nd</v>
      </c>
      <c r="AE127" s="55" t="str">
        <f>'Long-form'!BY127</f>
        <v>nd</v>
      </c>
      <c r="AF127" t="str">
        <f>'Long-form'!BZ127</f>
        <v>nd</v>
      </c>
      <c r="AG127">
        <f>'Long-form'!CB127</f>
        <v>0</v>
      </c>
      <c r="AH127">
        <f>'Long-form'!CD127</f>
        <v>0</v>
      </c>
      <c r="AI127" t="e">
        <f>'Long-form'!#REF!</f>
        <v>#REF!</v>
      </c>
    </row>
    <row r="128" spans="1:35">
      <c r="A128" t="str">
        <f>'Long-form'!A128</f>
        <v>Gif-11678</v>
      </c>
      <c r="B128" t="str">
        <f>'Long-form'!B128</f>
        <v>Yim, 2006</v>
      </c>
      <c r="C128" t="str">
        <f>'Long-form'!C128</f>
        <v>9a</v>
      </c>
      <c r="D128" t="str">
        <f>'Long-form'!D128</f>
        <v>Hong Kong</v>
      </c>
      <c r="E128" s="55">
        <f>'Long-form'!E128</f>
        <v>21.664967000000001</v>
      </c>
      <c r="F128" s="55">
        <f>'Long-form'!F128</f>
        <v>115.262333</v>
      </c>
      <c r="G128" t="str">
        <f>'Long-form'!G128</f>
        <v>1 = Radiocarbon</v>
      </c>
      <c r="H128" s="56">
        <f>'Long-form'!H128</f>
        <v>10440</v>
      </c>
      <c r="I128" s="56">
        <f>'Long-form'!I128</f>
        <v>148.66068747318505</v>
      </c>
      <c r="J128" s="56">
        <f>'Long-form'!J128</f>
        <v>12293</v>
      </c>
      <c r="K128" s="56">
        <f>'Long-form'!K128</f>
        <v>420</v>
      </c>
      <c r="L128" s="56">
        <f>'Long-form'!L128</f>
        <v>461</v>
      </c>
      <c r="M128" s="56" t="str">
        <f>'Long-form'!Q128</f>
        <v>transgressive</v>
      </c>
      <c r="N128" s="55">
        <f>'Long-form'!R128</f>
        <v>0.125</v>
      </c>
      <c r="O128" s="55" t="str">
        <f>'Long-form'!S128</f>
        <v>nd</v>
      </c>
      <c r="P128" s="55">
        <f>'Long-form'!T128</f>
        <v>1</v>
      </c>
      <c r="Q128" s="55">
        <f>'Long-form'!AM128</f>
        <v>-102.15599999999999</v>
      </c>
      <c r="R128" s="55" t="str">
        <f>'Long-form'!AN128</f>
        <v>YSD</v>
      </c>
      <c r="S128" s="55">
        <f>'Long-form'!AP128</f>
        <v>0.54945996214464976</v>
      </c>
      <c r="T128" s="55">
        <f>'Long-form'!AQ128</f>
        <v>0.54945996214464976</v>
      </c>
      <c r="U128">
        <f>'Long-form'!BC128</f>
        <v>-1</v>
      </c>
      <c r="V128" t="str">
        <f>'Long-form'!BD128</f>
        <v>5 = Sedimentary (e.g., deltaic, estuarine, wetland, lacustrine, marine facies)</v>
      </c>
      <c r="W128" t="str">
        <f>'Long-form'!BE128</f>
        <v>Marine deposit</v>
      </c>
      <c r="X128" t="str">
        <f>'Long-form'!BF128</f>
        <v>Deep marine foraminifera Cibicides bimargaritiferus, C. praecinctes, P. indopacifica, Rubulus calcar</v>
      </c>
      <c r="Y128" t="str">
        <f>'Long-form'!BH128</f>
        <v>&lt;MTL</v>
      </c>
      <c r="Z128" s="55">
        <f>'Long-form'!BT128</f>
        <v>-102.2266033930767</v>
      </c>
      <c r="AA128" s="55">
        <f>'Long-form'!BU128</f>
        <v>0.5517302329943502</v>
      </c>
      <c r="AB128" s="55">
        <f>'Long-form'!BV128</f>
        <v>0.5517302329943502</v>
      </c>
      <c r="AC128" s="55" t="str">
        <f>'Long-form'!BW128</f>
        <v>nd</v>
      </c>
      <c r="AD128" s="55" t="str">
        <f>'Long-form'!BX128</f>
        <v>nd</v>
      </c>
      <c r="AE128" s="55" t="str">
        <f>'Long-form'!BY128</f>
        <v>nd</v>
      </c>
      <c r="AF128" t="str">
        <f>'Long-form'!BZ128</f>
        <v>nd</v>
      </c>
      <c r="AG128">
        <f>'Long-form'!CB128</f>
        <v>0</v>
      </c>
      <c r="AH128">
        <f>'Long-form'!CD128</f>
        <v>0</v>
      </c>
      <c r="AI128" t="e">
        <f>'Long-form'!#REF!</f>
        <v>#REF!</v>
      </c>
    </row>
    <row r="129" spans="1:35">
      <c r="A129" t="str">
        <f>'Long-form'!A129</f>
        <v>Gif-11674</v>
      </c>
      <c r="B129" t="str">
        <f>'Long-form'!B129</f>
        <v>Yim, 2006</v>
      </c>
      <c r="C129" t="str">
        <f>'Long-form'!C129</f>
        <v>9a</v>
      </c>
      <c r="D129" t="str">
        <f>'Long-form'!D129</f>
        <v>Hong Kong</v>
      </c>
      <c r="E129" s="55">
        <f>'Long-form'!E129</f>
        <v>21.664967000000001</v>
      </c>
      <c r="F129" s="55">
        <f>'Long-form'!F129</f>
        <v>115.262333</v>
      </c>
      <c r="G129" t="str">
        <f>'Long-form'!G129</f>
        <v>1 = Radiocarbon</v>
      </c>
      <c r="H129" s="56">
        <f>'Long-form'!H129</f>
        <v>3050</v>
      </c>
      <c r="I129" s="56">
        <f>'Long-form'!I129</f>
        <v>105.94810050208545</v>
      </c>
      <c r="J129" s="56">
        <f>'Long-form'!J129</f>
        <v>3234</v>
      </c>
      <c r="K129" s="56">
        <f>'Long-form'!K129</f>
        <v>230</v>
      </c>
      <c r="L129" s="56">
        <f>'Long-form'!L129</f>
        <v>281</v>
      </c>
      <c r="M129" s="56" t="str">
        <f>'Long-form'!Q129</f>
        <v>transgressive</v>
      </c>
      <c r="N129" s="55">
        <f>'Long-form'!R129</f>
        <v>0.375</v>
      </c>
      <c r="O129" s="55" t="str">
        <f>'Long-form'!S129</f>
        <v>nd</v>
      </c>
      <c r="P129" s="55">
        <f>'Long-form'!T129</f>
        <v>1</v>
      </c>
      <c r="Q129" s="55">
        <f>'Long-form'!AM129</f>
        <v>-102.40599999999999</v>
      </c>
      <c r="R129" s="55" t="str">
        <f>'Long-form'!AN129</f>
        <v>YSD</v>
      </c>
      <c r="S129" s="55">
        <f>'Long-form'!AP129</f>
        <v>0.5495054594815233</v>
      </c>
      <c r="T129" s="55">
        <f>'Long-form'!AQ129</f>
        <v>0.5495054594815233</v>
      </c>
      <c r="U129">
        <f>'Long-form'!BC129</f>
        <v>-1</v>
      </c>
      <c r="V129" t="str">
        <f>'Long-form'!BD129</f>
        <v>5 = Sedimentary (e.g., deltaic, estuarine, wetland, lacustrine, marine facies)</v>
      </c>
      <c r="W129" t="str">
        <f>'Long-form'!BE129</f>
        <v>Marine deposit</v>
      </c>
      <c r="X129" t="str">
        <f>'Long-form'!BF129</f>
        <v>Deep marine foraminifera Cibicides bimargaritiferus, C. praecinctes, P. indopacifica, Rubulus calcar</v>
      </c>
      <c r="Y129" t="str">
        <f>'Long-form'!BH129</f>
        <v>&lt;MTL</v>
      </c>
      <c r="Z129" s="55">
        <f>'Long-form'!BT129</f>
        <v>-102.4766033930767</v>
      </c>
      <c r="AA129" s="55">
        <f>'Long-form'!BU129</f>
        <v>0.55177554313325639</v>
      </c>
      <c r="AB129" s="55">
        <f>'Long-form'!BV129</f>
        <v>0.55177554313325639</v>
      </c>
      <c r="AC129" s="55" t="str">
        <f>'Long-form'!BW129</f>
        <v>nd</v>
      </c>
      <c r="AD129" s="55" t="str">
        <f>'Long-form'!BX129</f>
        <v>nd</v>
      </c>
      <c r="AE129" s="55" t="str">
        <f>'Long-form'!BY129</f>
        <v>nd</v>
      </c>
      <c r="AF129" t="str">
        <f>'Long-form'!BZ129</f>
        <v>nd</v>
      </c>
      <c r="AG129">
        <f>'Long-form'!CB129</f>
        <v>0</v>
      </c>
      <c r="AH129">
        <f>'Long-form'!CD129</f>
        <v>0</v>
      </c>
      <c r="AI129" t="e">
        <f>'Long-form'!#REF!</f>
        <v>#REF!</v>
      </c>
    </row>
    <row r="130" spans="1:35">
      <c r="A130" t="str">
        <f>'Long-form'!A130</f>
        <v>Gif-11677</v>
      </c>
      <c r="B130" t="str">
        <f>'Long-form'!B130</f>
        <v>Yim, 2006</v>
      </c>
      <c r="C130" t="str">
        <f>'Long-form'!C130</f>
        <v>9a</v>
      </c>
      <c r="D130" t="str">
        <f>'Long-form'!D130</f>
        <v>Hong Kong</v>
      </c>
      <c r="E130" s="55">
        <f>'Long-form'!E130</f>
        <v>21.664967000000001</v>
      </c>
      <c r="F130" s="55">
        <f>'Long-form'!F130</f>
        <v>115.262333</v>
      </c>
      <c r="G130" t="str">
        <f>'Long-form'!G130</f>
        <v>1 = Radiocarbon</v>
      </c>
      <c r="H130" s="56">
        <f>'Long-form'!H130</f>
        <v>3690</v>
      </c>
      <c r="I130" s="56">
        <f>'Long-form'!I130</f>
        <v>114.12712210513327</v>
      </c>
      <c r="J130" s="56">
        <f>'Long-form'!J130</f>
        <v>4036</v>
      </c>
      <c r="K130" s="56">
        <f>'Long-form'!K130</f>
        <v>368</v>
      </c>
      <c r="L130" s="56">
        <f>'Long-form'!L130</f>
        <v>315</v>
      </c>
      <c r="M130" s="56" t="str">
        <f>'Long-form'!Q130</f>
        <v>transgressive</v>
      </c>
      <c r="N130" s="55">
        <f>'Long-form'!R130</f>
        <v>0.625</v>
      </c>
      <c r="O130" s="55" t="str">
        <f>'Long-form'!S130</f>
        <v>nd</v>
      </c>
      <c r="P130" s="55">
        <f>'Long-form'!T130</f>
        <v>1</v>
      </c>
      <c r="Q130" s="55">
        <f>'Long-form'!AM130</f>
        <v>-102.65599999999999</v>
      </c>
      <c r="R130" s="55" t="str">
        <f>'Long-form'!AN130</f>
        <v>YSD</v>
      </c>
      <c r="S130" s="55">
        <f>'Long-form'!AP130</f>
        <v>0.54959644285602871</v>
      </c>
      <c r="T130" s="55">
        <f>'Long-form'!AQ130</f>
        <v>0.54959644285602871</v>
      </c>
      <c r="U130">
        <f>'Long-form'!BC130</f>
        <v>-1</v>
      </c>
      <c r="V130" t="str">
        <f>'Long-form'!BD130</f>
        <v>5 = Sedimentary (e.g., deltaic, estuarine, wetland, lacustrine, marine facies)</v>
      </c>
      <c r="W130" t="str">
        <f>'Long-form'!BE130</f>
        <v>Marine deposit</v>
      </c>
      <c r="X130" t="str">
        <f>'Long-form'!BF130</f>
        <v>Deep marine foraminifera Cibicides bimargaritiferus, C. praecinctes, P. indopacifica, Rubulus calcar</v>
      </c>
      <c r="Y130" t="str">
        <f>'Long-form'!BH130</f>
        <v>&lt;MTL</v>
      </c>
      <c r="Z130" s="55">
        <f>'Long-form'!BT130</f>
        <v>-102.7266033930767</v>
      </c>
      <c r="AA130" s="55">
        <f>'Long-form'!BU130</f>
        <v>0.55186615225070657</v>
      </c>
      <c r="AB130" s="55">
        <f>'Long-form'!BV130</f>
        <v>0.55186615225070657</v>
      </c>
      <c r="AC130" s="55" t="str">
        <f>'Long-form'!BW130</f>
        <v>nd</v>
      </c>
      <c r="AD130" s="55" t="str">
        <f>'Long-form'!BX130</f>
        <v>nd</v>
      </c>
      <c r="AE130" s="55" t="str">
        <f>'Long-form'!BY130</f>
        <v>nd</v>
      </c>
      <c r="AF130" t="str">
        <f>'Long-form'!BZ130</f>
        <v>nd</v>
      </c>
      <c r="AG130">
        <f>'Long-form'!CB130</f>
        <v>0</v>
      </c>
      <c r="AH130">
        <f>'Long-form'!CD130</f>
        <v>0</v>
      </c>
      <c r="AI130" t="e">
        <f>'Long-form'!#REF!</f>
        <v>#REF!</v>
      </c>
    </row>
    <row r="131" spans="1:35">
      <c r="A131" t="str">
        <f>'Long-form'!A131</f>
        <v>Gif-11687</v>
      </c>
      <c r="B131" t="str">
        <f>'Long-form'!B131</f>
        <v>Yim, 2006</v>
      </c>
      <c r="C131" t="str">
        <f>'Long-form'!C131</f>
        <v>9a</v>
      </c>
      <c r="D131" t="str">
        <f>'Long-form'!D131</f>
        <v>Hong Kong</v>
      </c>
      <c r="E131" s="55">
        <f>'Long-form'!E131</f>
        <v>21.664967000000001</v>
      </c>
      <c r="F131" s="55">
        <f>'Long-form'!F131</f>
        <v>115.262333</v>
      </c>
      <c r="G131" t="str">
        <f>'Long-form'!G131</f>
        <v>1 = Radiocarbon</v>
      </c>
      <c r="H131" s="56">
        <f>'Long-form'!H131</f>
        <v>4945</v>
      </c>
      <c r="I131" s="56">
        <f>'Long-form'!I131</f>
        <v>107.70329614269008</v>
      </c>
      <c r="J131" s="56">
        <f>'Long-form'!J131</f>
        <v>5694</v>
      </c>
      <c r="K131" s="56">
        <f>'Long-form'!K131</f>
        <v>225</v>
      </c>
      <c r="L131" s="56">
        <f>'Long-form'!L131</f>
        <v>222</v>
      </c>
      <c r="M131" s="56" t="str">
        <f>'Long-form'!Q131</f>
        <v>transgressive</v>
      </c>
      <c r="N131" s="55">
        <f>'Long-form'!R131</f>
        <v>0.875</v>
      </c>
      <c r="O131" s="55" t="str">
        <f>'Long-form'!S131</f>
        <v>nd</v>
      </c>
      <c r="P131" s="55">
        <f>'Long-form'!T131</f>
        <v>1</v>
      </c>
      <c r="Q131" s="55">
        <f>'Long-form'!AM131</f>
        <v>-102.90599999999999</v>
      </c>
      <c r="R131" s="55" t="str">
        <f>'Long-form'!AN131</f>
        <v>YSD</v>
      </c>
      <c r="S131" s="55">
        <f>'Long-form'!AP131</f>
        <v>0.54973288968370815</v>
      </c>
      <c r="T131" s="55">
        <f>'Long-form'!AQ131</f>
        <v>0.54973288968370815</v>
      </c>
      <c r="U131">
        <f>'Long-form'!BC131</f>
        <v>-1</v>
      </c>
      <c r="V131" t="str">
        <f>'Long-form'!BD131</f>
        <v>5 = Sedimentary (e.g., deltaic, estuarine, wetland, lacustrine, marine facies)</v>
      </c>
      <c r="W131" t="str">
        <f>'Long-form'!BE131</f>
        <v>Marine deposit</v>
      </c>
      <c r="X131" t="str">
        <f>'Long-form'!BF131</f>
        <v>Deep marine foraminifera Cibicides bimargaritiferus, C. praecinctes, P. indopacifica, Rubulus calcar</v>
      </c>
      <c r="Y131" t="str">
        <f>'Long-form'!BH131</f>
        <v>&lt;MTL</v>
      </c>
      <c r="Z131" s="55">
        <f>'Long-form'!BT131</f>
        <v>-102.9766033930767</v>
      </c>
      <c r="AA131" s="55">
        <f>'Long-form'!BU131</f>
        <v>0.55200203803971593</v>
      </c>
      <c r="AB131" s="55">
        <f>'Long-form'!BV131</f>
        <v>0.55200203803971593</v>
      </c>
      <c r="AC131" s="55" t="str">
        <f>'Long-form'!BW131</f>
        <v>nd</v>
      </c>
      <c r="AD131" s="55" t="str">
        <f>'Long-form'!BX131</f>
        <v>nd</v>
      </c>
      <c r="AE131" s="55" t="str">
        <f>'Long-form'!BY131</f>
        <v>nd</v>
      </c>
      <c r="AF131" t="str">
        <f>'Long-form'!BZ131</f>
        <v>nd</v>
      </c>
      <c r="AG131">
        <f>'Long-form'!CB131</f>
        <v>0</v>
      </c>
      <c r="AH131">
        <f>'Long-form'!CD131</f>
        <v>0</v>
      </c>
      <c r="AI131" t="e">
        <f>'Long-form'!#REF!</f>
        <v>#REF!</v>
      </c>
    </row>
    <row r="132" spans="1:35">
      <c r="A132" t="str">
        <f>'Long-form'!A132</f>
        <v>GIFA-101400</v>
      </c>
      <c r="B132" t="str">
        <f>'Long-form'!B132</f>
        <v>Yim, 2006</v>
      </c>
      <c r="C132" t="str">
        <f>'Long-form'!C132</f>
        <v>9a</v>
      </c>
      <c r="D132" t="str">
        <f>'Long-form'!D132</f>
        <v>Hong Kong</v>
      </c>
      <c r="E132" s="55">
        <f>'Long-form'!E132</f>
        <v>21.664967000000001</v>
      </c>
      <c r="F132" s="55">
        <f>'Long-form'!F132</f>
        <v>115.262333</v>
      </c>
      <c r="G132" t="str">
        <f>'Long-form'!G132</f>
        <v>1 = Radiocarbon</v>
      </c>
      <c r="H132" s="56">
        <f>'Long-form'!H132</f>
        <v>6190</v>
      </c>
      <c r="I132" s="56">
        <f>'Long-form'!I132</f>
        <v>75</v>
      </c>
      <c r="J132" s="56">
        <f>'Long-form'!J132</f>
        <v>6441</v>
      </c>
      <c r="K132" s="56">
        <f>'Long-form'!K132</f>
        <v>267</v>
      </c>
      <c r="L132" s="56">
        <f>'Long-form'!L132</f>
        <v>248</v>
      </c>
      <c r="M132" s="56" t="str">
        <f>'Long-form'!Q132</f>
        <v>transgressive</v>
      </c>
      <c r="N132" s="55">
        <f>'Long-form'!R132</f>
        <v>1.125</v>
      </c>
      <c r="O132" s="55" t="str">
        <f>'Long-form'!S132</f>
        <v>nd</v>
      </c>
      <c r="P132" s="55">
        <f>'Long-form'!T132</f>
        <v>1</v>
      </c>
      <c r="Q132" s="55">
        <f>'Long-form'!AM132</f>
        <v>-103.15599999999999</v>
      </c>
      <c r="R132" s="55" t="str">
        <f>'Long-form'!AN132</f>
        <v>YSD</v>
      </c>
      <c r="S132" s="55">
        <f>'Long-form'!AP132</f>
        <v>0.54765979403275533</v>
      </c>
      <c r="T132" s="55">
        <f>'Long-form'!AQ132</f>
        <v>0.54765979403275533</v>
      </c>
      <c r="U132">
        <f>'Long-form'!BC132</f>
        <v>-1</v>
      </c>
      <c r="V132" t="str">
        <f>'Long-form'!BD132</f>
        <v>5 = Sedimentary (e.g., deltaic, estuarine, wetland, lacustrine, marine facies)</v>
      </c>
      <c r="W132" t="str">
        <f>'Long-form'!BE132</f>
        <v>Marine deposit</v>
      </c>
      <c r="X132" t="str">
        <f>'Long-form'!BF132</f>
        <v>Deep marine foraminifera Cibicides bimargaritiferus, C. praecinctes, P. indopacifica, Rubulus calcar</v>
      </c>
      <c r="Y132" t="str">
        <f>'Long-form'!BH132</f>
        <v>&lt;MTL</v>
      </c>
      <c r="Z132" s="55">
        <f>'Long-form'!BT132</f>
        <v>-103.2266033930767</v>
      </c>
      <c r="AA132" s="55">
        <f>'Long-form'!BU132</f>
        <v>0.54993749644846002</v>
      </c>
      <c r="AB132" s="55">
        <f>'Long-form'!BV132</f>
        <v>0.54993749644846002</v>
      </c>
      <c r="AC132" s="55" t="str">
        <f>'Long-form'!BW132</f>
        <v>nd</v>
      </c>
      <c r="AD132" s="55" t="str">
        <f>'Long-form'!BX132</f>
        <v>nd</v>
      </c>
      <c r="AE132" s="55" t="str">
        <f>'Long-form'!BY132</f>
        <v>nd</v>
      </c>
      <c r="AF132" t="str">
        <f>'Long-form'!BZ132</f>
        <v>nd</v>
      </c>
      <c r="AG132">
        <f>'Long-form'!CB132</f>
        <v>0</v>
      </c>
      <c r="AH132">
        <f>'Long-form'!CD132</f>
        <v>0</v>
      </c>
      <c r="AI132" t="e">
        <f>'Long-form'!#REF!</f>
        <v>#REF!</v>
      </c>
    </row>
    <row r="133" spans="1:35">
      <c r="A133" t="str">
        <f>'Long-form'!A133</f>
        <v>GIFA-101401</v>
      </c>
      <c r="B133" t="str">
        <f>'Long-form'!B133</f>
        <v>Yim, 2006</v>
      </c>
      <c r="C133" t="str">
        <f>'Long-form'!C133</f>
        <v>9a</v>
      </c>
      <c r="D133" t="str">
        <f>'Long-form'!D133</f>
        <v>Hong Kong</v>
      </c>
      <c r="E133" s="55">
        <f>'Long-form'!E133</f>
        <v>21.664967000000001</v>
      </c>
      <c r="F133" s="55">
        <f>'Long-form'!F133</f>
        <v>115.262333</v>
      </c>
      <c r="G133" t="str">
        <f>'Long-form'!G133</f>
        <v>1 = Radiocarbon</v>
      </c>
      <c r="H133" s="56">
        <f>'Long-form'!H133</f>
        <v>9870</v>
      </c>
      <c r="I133" s="56">
        <f>'Long-form'!I133</f>
        <v>110</v>
      </c>
      <c r="J133" s="56">
        <f>'Long-form'!J133</f>
        <v>10714</v>
      </c>
      <c r="K133" s="56">
        <f>'Long-form'!K133</f>
        <v>395</v>
      </c>
      <c r="L133" s="56">
        <f>'Long-form'!L133</f>
        <v>408</v>
      </c>
      <c r="M133" s="56" t="str">
        <f>'Long-form'!Q133</f>
        <v>transgressive</v>
      </c>
      <c r="N133" s="55">
        <f>'Long-form'!R133</f>
        <v>1.125</v>
      </c>
      <c r="O133" s="55" t="str">
        <f>'Long-form'!S133</f>
        <v>nd</v>
      </c>
      <c r="P133" s="55">
        <f>'Long-form'!T133</f>
        <v>1</v>
      </c>
      <c r="Q133" s="55">
        <f>'Long-form'!AM133</f>
        <v>-103.15599999999999</v>
      </c>
      <c r="R133" s="55" t="str">
        <f>'Long-form'!AN133</f>
        <v>YSD</v>
      </c>
      <c r="S133" s="55">
        <f>'Long-form'!AP133</f>
        <v>0.54765979403275533</v>
      </c>
      <c r="T133" s="55">
        <f>'Long-form'!AQ133</f>
        <v>0.54765979403275533</v>
      </c>
      <c r="U133">
        <f>'Long-form'!BC133</f>
        <v>-1</v>
      </c>
      <c r="V133" t="str">
        <f>'Long-form'!BD133</f>
        <v>5 = Sedimentary (e.g., deltaic, estuarine, wetland, lacustrine, marine facies)</v>
      </c>
      <c r="W133" t="str">
        <f>'Long-form'!BE133</f>
        <v>Marine deposit</v>
      </c>
      <c r="X133" t="str">
        <f>'Long-form'!BF133</f>
        <v>Deep marine foraminifera Cibicides bimargaritiferus, C. praecinctes, P. indopacifica, Rubulus calcar</v>
      </c>
      <c r="Y133" t="str">
        <f>'Long-form'!BH133</f>
        <v>&lt;MTL</v>
      </c>
      <c r="Z133" s="55">
        <f>'Long-form'!BT133</f>
        <v>-103.2266033930767</v>
      </c>
      <c r="AA133" s="55">
        <f>'Long-form'!BU133</f>
        <v>0.54993749644846002</v>
      </c>
      <c r="AB133" s="55">
        <f>'Long-form'!BV133</f>
        <v>0.54993749644846002</v>
      </c>
      <c r="AC133" s="55" t="str">
        <f>'Long-form'!BW133</f>
        <v>nd</v>
      </c>
      <c r="AD133" s="55" t="str">
        <f>'Long-form'!BX133</f>
        <v>nd</v>
      </c>
      <c r="AE133" s="55" t="str">
        <f>'Long-form'!BY133</f>
        <v>nd</v>
      </c>
      <c r="AF133" t="str">
        <f>'Long-form'!BZ133</f>
        <v>nd</v>
      </c>
      <c r="AG133">
        <f>'Long-form'!CB133</f>
        <v>0</v>
      </c>
      <c r="AH133">
        <f>'Long-form'!CD133</f>
        <v>0</v>
      </c>
      <c r="AI133" t="e">
        <f>'Long-form'!#REF!</f>
        <v>#REF!</v>
      </c>
    </row>
    <row r="134" spans="1:35">
      <c r="A134" t="str">
        <f>'Long-form'!A134</f>
        <v>GIFA-101402</v>
      </c>
      <c r="B134" t="str">
        <f>'Long-form'!B134</f>
        <v>Yim, 2006</v>
      </c>
      <c r="C134" t="str">
        <f>'Long-form'!C134</f>
        <v>9a</v>
      </c>
      <c r="D134" t="str">
        <f>'Long-form'!D134</f>
        <v>Hong Kong</v>
      </c>
      <c r="E134" s="55">
        <f>'Long-form'!E134</f>
        <v>21.664967000000001</v>
      </c>
      <c r="F134" s="55">
        <f>'Long-form'!F134</f>
        <v>115.262333</v>
      </c>
      <c r="G134" t="str">
        <f>'Long-form'!G134</f>
        <v>1 = Radiocarbon</v>
      </c>
      <c r="H134" s="56">
        <f>'Long-form'!H134</f>
        <v>4140</v>
      </c>
      <c r="I134" s="56">
        <f>'Long-form'!I134</f>
        <v>80</v>
      </c>
      <c r="J134" s="56">
        <f>'Long-form'!J134</f>
        <v>4032</v>
      </c>
      <c r="K134" s="56">
        <f>'Long-form'!K134</f>
        <v>327</v>
      </c>
      <c r="L134" s="56">
        <f>'Long-form'!L134</f>
        <v>319</v>
      </c>
      <c r="M134" s="56" t="str">
        <f>'Long-form'!Q134</f>
        <v>transgressive</v>
      </c>
      <c r="N134" s="55">
        <f>'Long-form'!R134</f>
        <v>1.125</v>
      </c>
      <c r="O134" s="55" t="str">
        <f>'Long-form'!S134</f>
        <v>nd</v>
      </c>
      <c r="P134" s="55">
        <f>'Long-form'!T134</f>
        <v>1</v>
      </c>
      <c r="Q134" s="55">
        <f>'Long-form'!AM134</f>
        <v>-103.15599999999999</v>
      </c>
      <c r="R134" s="55" t="str">
        <f>'Long-form'!AN134</f>
        <v>YSD</v>
      </c>
      <c r="S134" s="55">
        <f>'Long-form'!AP134</f>
        <v>0.54765979403275533</v>
      </c>
      <c r="T134" s="55">
        <f>'Long-form'!AQ134</f>
        <v>0.54765979403275533</v>
      </c>
      <c r="U134">
        <f>'Long-form'!BC134</f>
        <v>-1</v>
      </c>
      <c r="V134" t="str">
        <f>'Long-form'!BD134</f>
        <v>5 = Sedimentary (e.g., deltaic, estuarine, wetland, lacustrine, marine facies)</v>
      </c>
      <c r="W134" t="str">
        <f>'Long-form'!BE134</f>
        <v>Marine deposit</v>
      </c>
      <c r="X134" t="str">
        <f>'Long-form'!BF134</f>
        <v>Deep marine foraminifera Cibicides bimargaritiferus, C. praecinctes, P. indopacifica, Rubulus calcar</v>
      </c>
      <c r="Y134" t="str">
        <f>'Long-form'!BH134</f>
        <v>&lt;MTL</v>
      </c>
      <c r="Z134" s="55">
        <f>'Long-form'!BT134</f>
        <v>-103.2266033930767</v>
      </c>
      <c r="AA134" s="55">
        <f>'Long-form'!BU134</f>
        <v>0.54993749644846002</v>
      </c>
      <c r="AB134" s="55">
        <f>'Long-form'!BV134</f>
        <v>0.54993749644846002</v>
      </c>
      <c r="AC134" s="55" t="str">
        <f>'Long-form'!BW134</f>
        <v>nd</v>
      </c>
      <c r="AD134" s="55" t="str">
        <f>'Long-form'!BX134</f>
        <v>nd</v>
      </c>
      <c r="AE134" s="55" t="str">
        <f>'Long-form'!BY134</f>
        <v>nd</v>
      </c>
      <c r="AF134" t="str">
        <f>'Long-form'!BZ134</f>
        <v>nd</v>
      </c>
      <c r="AG134">
        <f>'Long-form'!CB134</f>
        <v>0</v>
      </c>
      <c r="AH134">
        <f>'Long-form'!CD134</f>
        <v>0</v>
      </c>
      <c r="AI134" t="e">
        <f>'Long-form'!#REF!</f>
        <v>#REF!</v>
      </c>
    </row>
    <row r="135" spans="1:35">
      <c r="A135" t="str">
        <f>'Long-form'!A135</f>
        <v>Gif-11688</v>
      </c>
      <c r="B135" t="str">
        <f>'Long-form'!B135</f>
        <v>Yim, 2006</v>
      </c>
      <c r="C135" t="str">
        <f>'Long-form'!C135</f>
        <v>9a</v>
      </c>
      <c r="D135" t="str">
        <f>'Long-form'!D135</f>
        <v>Hong Kong</v>
      </c>
      <c r="E135" s="55">
        <f>'Long-form'!E135</f>
        <v>21.664967000000001</v>
      </c>
      <c r="F135" s="55">
        <f>'Long-form'!F135</f>
        <v>115.262333</v>
      </c>
      <c r="G135" t="str">
        <f>'Long-form'!G135</f>
        <v>1 = Radiocarbon</v>
      </c>
      <c r="H135" s="56">
        <f>'Long-form'!H135</f>
        <v>5590</v>
      </c>
      <c r="I135" s="56">
        <f>'Long-form'!I135</f>
        <v>128.06248474865697</v>
      </c>
      <c r="J135" s="56">
        <f>'Long-form'!J135</f>
        <v>6390</v>
      </c>
      <c r="K135" s="56">
        <f>'Long-form'!K135</f>
        <v>281</v>
      </c>
      <c r="L135" s="56">
        <f>'Long-form'!L135</f>
        <v>378</v>
      </c>
      <c r="M135" s="56" t="str">
        <f>'Long-form'!Q135</f>
        <v>transgressive</v>
      </c>
      <c r="N135" s="55">
        <f>'Long-form'!R135</f>
        <v>1.125</v>
      </c>
      <c r="O135" s="55" t="str">
        <f>'Long-form'!S135</f>
        <v>nd</v>
      </c>
      <c r="P135" s="55">
        <f>'Long-form'!T135</f>
        <v>1</v>
      </c>
      <c r="Q135" s="55">
        <f>'Long-form'!AM135</f>
        <v>-103.15599999999999</v>
      </c>
      <c r="R135" s="55" t="str">
        <f>'Long-form'!AN135</f>
        <v>YSD</v>
      </c>
      <c r="S135" s="55">
        <f>'Long-form'!AP135</f>
        <v>0.54991476612289658</v>
      </c>
      <c r="T135" s="55">
        <f>'Long-form'!AQ135</f>
        <v>0.54991476612289658</v>
      </c>
      <c r="U135">
        <f>'Long-form'!BC135</f>
        <v>-1</v>
      </c>
      <c r="V135" t="str">
        <f>'Long-form'!BD135</f>
        <v>5 = Sedimentary (e.g., deltaic, estuarine, wetland, lacustrine, marine facies)</v>
      </c>
      <c r="W135" t="str">
        <f>'Long-form'!BE135</f>
        <v>Marine deposit</v>
      </c>
      <c r="X135" t="str">
        <f>'Long-form'!BF135</f>
        <v>Deep marine foraminifera Cibicides bimargaritiferus, C. praecinctes, P. indopacifica, Rubulus calcar</v>
      </c>
      <c r="Y135" t="str">
        <f>'Long-form'!BH135</f>
        <v>&lt;MTL</v>
      </c>
      <c r="Z135" s="55">
        <f>'Long-form'!BT135</f>
        <v>-103.2266033930767</v>
      </c>
      <c r="AA135" s="55">
        <f>'Long-form'!BU135</f>
        <v>0.55218316707411508</v>
      </c>
      <c r="AB135" s="55">
        <f>'Long-form'!BV135</f>
        <v>0.55218316707411508</v>
      </c>
      <c r="AC135" s="55" t="str">
        <f>'Long-form'!BW135</f>
        <v>nd</v>
      </c>
      <c r="AD135" s="55" t="str">
        <f>'Long-form'!BX135</f>
        <v>nd</v>
      </c>
      <c r="AE135" s="55" t="str">
        <f>'Long-form'!BY135</f>
        <v>nd</v>
      </c>
      <c r="AF135" t="str">
        <f>'Long-form'!BZ135</f>
        <v>nd</v>
      </c>
      <c r="AG135">
        <f>'Long-form'!CB135</f>
        <v>0</v>
      </c>
      <c r="AH135">
        <f>'Long-form'!CD135</f>
        <v>0</v>
      </c>
      <c r="AI135" t="e">
        <f>'Long-form'!#REF!</f>
        <v>#REF!</v>
      </c>
    </row>
    <row r="136" spans="1:35">
      <c r="A136" t="str">
        <f>'Long-form'!A136</f>
        <v>GIFA-101403</v>
      </c>
      <c r="B136" t="str">
        <f>'Long-form'!B136</f>
        <v>Yim, 2006</v>
      </c>
      <c r="C136" t="str">
        <f>'Long-form'!C136</f>
        <v>9a</v>
      </c>
      <c r="D136" t="str">
        <f>'Long-form'!D136</f>
        <v>Hong Kong</v>
      </c>
      <c r="E136" s="55">
        <f>'Long-form'!E136</f>
        <v>21.664967000000001</v>
      </c>
      <c r="F136" s="55">
        <f>'Long-form'!F136</f>
        <v>115.262333</v>
      </c>
      <c r="G136" t="str">
        <f>'Long-form'!G136</f>
        <v>1 = Radiocarbon</v>
      </c>
      <c r="H136" s="56">
        <f>'Long-form'!H136</f>
        <v>8290</v>
      </c>
      <c r="I136" s="56">
        <f>'Long-form'!I136</f>
        <v>134.53624047073711</v>
      </c>
      <c r="J136" s="56">
        <f>'Long-form'!J136</f>
        <v>8661</v>
      </c>
      <c r="K136" s="56">
        <f>'Long-form'!K136</f>
        <v>416</v>
      </c>
      <c r="L136" s="56">
        <f>'Long-form'!L136</f>
        <v>375</v>
      </c>
      <c r="M136" s="56" t="str">
        <f>'Long-form'!Q136</f>
        <v>transgressive</v>
      </c>
      <c r="N136" s="55">
        <f>'Long-form'!R136</f>
        <v>1.375</v>
      </c>
      <c r="O136" s="55" t="str">
        <f>'Long-form'!S136</f>
        <v>nd</v>
      </c>
      <c r="P136" s="55">
        <f>'Long-form'!T136</f>
        <v>1</v>
      </c>
      <c r="Q136" s="55">
        <f>'Long-form'!AM136</f>
        <v>-103.40599999999999</v>
      </c>
      <c r="R136" s="55" t="str">
        <f>'Long-form'!AN136</f>
        <v>YSD</v>
      </c>
      <c r="S136" s="55">
        <f>'Long-form'!AP136</f>
        <v>0.54788799037759539</v>
      </c>
      <c r="T136" s="55">
        <f>'Long-form'!AQ136</f>
        <v>0.54788799037759539</v>
      </c>
      <c r="U136">
        <f>'Long-form'!BC136</f>
        <v>-1</v>
      </c>
      <c r="V136" t="str">
        <f>'Long-form'!BD136</f>
        <v>5 = Sedimentary (e.g., deltaic, estuarine, wetland, lacustrine, marine facies)</v>
      </c>
      <c r="W136" t="str">
        <f>'Long-form'!BE136</f>
        <v>Transgressive contact (nearshore)</v>
      </c>
      <c r="X136" t="str">
        <f>'Long-form'!BF136</f>
        <v>Shallow-water benthonic bethic foraminifera including Ammonia beccarii var., Elphidium advenum (Cushman),</v>
      </c>
      <c r="Y136" t="str">
        <f>'Long-form'!BH136</f>
        <v>&lt;HAT</v>
      </c>
      <c r="Z136" s="55">
        <f>'Long-form'!BT136</f>
        <v>-104.633684516153</v>
      </c>
      <c r="AA136" s="55">
        <f>'Long-form'!BU136</f>
        <v>0.57669857811511904</v>
      </c>
      <c r="AB136" s="55">
        <f>'Long-form'!BV136</f>
        <v>0.57669857811511904</v>
      </c>
      <c r="AC136" s="55" t="str">
        <f>'Long-form'!BW136</f>
        <v>nd</v>
      </c>
      <c r="AD136" s="55" t="str">
        <f>'Long-form'!BX136</f>
        <v>nd</v>
      </c>
      <c r="AE136" s="55" t="str">
        <f>'Long-form'!BY136</f>
        <v>nd</v>
      </c>
      <c r="AF136" t="str">
        <f>'Long-form'!BZ136</f>
        <v>nd</v>
      </c>
      <c r="AG136">
        <f>'Long-form'!CB136</f>
        <v>0</v>
      </c>
      <c r="AH136">
        <f>'Long-form'!CD136</f>
        <v>0</v>
      </c>
      <c r="AI136" t="e">
        <f>'Long-form'!#REF!</f>
        <v>#REF!</v>
      </c>
    </row>
    <row r="137" spans="1:35">
      <c r="A137" t="str">
        <f>'Long-form'!A137</f>
        <v>Gif-11690</v>
      </c>
      <c r="B137" t="str">
        <f>'Long-form'!B137</f>
        <v>Yim, 2006</v>
      </c>
      <c r="C137" t="str">
        <f>'Long-form'!C137</f>
        <v>9a</v>
      </c>
      <c r="D137" t="str">
        <f>'Long-form'!D137</f>
        <v>Hong Kong</v>
      </c>
      <c r="E137" s="55">
        <f>'Long-form'!E137</f>
        <v>21.664967000000001</v>
      </c>
      <c r="F137" s="55">
        <f>'Long-form'!F137</f>
        <v>115.262333</v>
      </c>
      <c r="G137" t="str">
        <f>'Long-form'!G137</f>
        <v>1 = Radiocarbon</v>
      </c>
      <c r="H137" s="56">
        <f>'Long-form'!H137</f>
        <v>11430</v>
      </c>
      <c r="I137" s="56">
        <f>'Long-form'!I137</f>
        <v>130</v>
      </c>
      <c r="J137" s="56">
        <f>'Long-form'!J137</f>
        <v>13309</v>
      </c>
      <c r="K137" s="56">
        <f>'Long-form'!K137</f>
        <v>264</v>
      </c>
      <c r="L137" s="56">
        <f>'Long-form'!L137</f>
        <v>210</v>
      </c>
      <c r="M137" s="56" t="str">
        <f>'Long-form'!Q137</f>
        <v>transgressive</v>
      </c>
      <c r="N137" s="55">
        <f>'Long-form'!R137</f>
        <v>1.375</v>
      </c>
      <c r="O137" s="55" t="str">
        <f>'Long-form'!S137</f>
        <v>nd</v>
      </c>
      <c r="P137" s="55">
        <f>'Long-form'!T137</f>
        <v>1</v>
      </c>
      <c r="Q137" s="55">
        <f>'Long-form'!AM137</f>
        <v>-103.40599999999999</v>
      </c>
      <c r="R137" s="55" t="str">
        <f>'Long-form'!AN137</f>
        <v>YSD</v>
      </c>
      <c r="S137" s="55">
        <f>'Long-form'!AP137</f>
        <v>0.55014202711663474</v>
      </c>
      <c r="T137" s="55">
        <f>'Long-form'!AQ137</f>
        <v>0.55014202711663474</v>
      </c>
      <c r="U137">
        <f>'Long-form'!BC137</f>
        <v>-1</v>
      </c>
      <c r="V137" t="str">
        <f>'Long-form'!BD137</f>
        <v>5 = Sedimentary (e.g., deltaic, estuarine, wetland, lacustrine, marine facies)</v>
      </c>
      <c r="W137" t="str">
        <f>'Long-form'!BE137</f>
        <v>Transgressive contact (nearshore)</v>
      </c>
      <c r="X137" t="str">
        <f>'Long-form'!BF137</f>
        <v>Shallow-water benthonic bethic foraminifera including Ammonia beccarii var., Elphidium advenum (Cushman),</v>
      </c>
      <c r="Y137" t="str">
        <f>'Long-form'!BH137</f>
        <v>&lt;HAT</v>
      </c>
      <c r="Z137" s="55">
        <f>'Long-form'!BT137</f>
        <v>-104.633684516153</v>
      </c>
      <c r="AA137" s="55">
        <f>'Long-form'!BU137</f>
        <v>0.57884043569882027</v>
      </c>
      <c r="AB137" s="55">
        <f>'Long-form'!BV137</f>
        <v>0.57884043569882027</v>
      </c>
      <c r="AC137" s="55" t="str">
        <f>'Long-form'!BW137</f>
        <v>nd</v>
      </c>
      <c r="AD137" s="55" t="str">
        <f>'Long-form'!BX137</f>
        <v>nd</v>
      </c>
      <c r="AE137" s="55" t="str">
        <f>'Long-form'!BY137</f>
        <v>nd</v>
      </c>
      <c r="AF137" t="str">
        <f>'Long-form'!BZ137</f>
        <v>nd</v>
      </c>
      <c r="AG137">
        <f>'Long-form'!CB137</f>
        <v>0</v>
      </c>
      <c r="AH137">
        <f>'Long-form'!CD137</f>
        <v>0</v>
      </c>
      <c r="AI137" t="e">
        <f>'Long-form'!#REF!</f>
        <v>#REF!</v>
      </c>
    </row>
    <row r="138" spans="1:35">
      <c r="A138" t="str">
        <f>'Long-form'!A138</f>
        <v>GIFA-101404</v>
      </c>
      <c r="B138" t="str">
        <f>'Long-form'!B138</f>
        <v>Yim, 2006</v>
      </c>
      <c r="C138" t="str">
        <f>'Long-form'!C138</f>
        <v>9a</v>
      </c>
      <c r="D138" t="str">
        <f>'Long-form'!D138</f>
        <v>Hong Kong</v>
      </c>
      <c r="E138" s="55">
        <f>'Long-form'!E138</f>
        <v>21.664967000000001</v>
      </c>
      <c r="F138" s="55">
        <f>'Long-form'!F138</f>
        <v>115.262333</v>
      </c>
      <c r="G138" t="str">
        <f>'Long-form'!G138</f>
        <v>1 = Radiocarbon</v>
      </c>
      <c r="H138" s="56">
        <f>'Long-form'!H138</f>
        <v>10670</v>
      </c>
      <c r="I138" s="56">
        <f>'Long-form'!I138</f>
        <v>148.66068747318505</v>
      </c>
      <c r="J138" s="56">
        <f>'Long-form'!J138</f>
        <v>11855</v>
      </c>
      <c r="K138" s="56">
        <f>'Long-form'!K138</f>
        <v>552</v>
      </c>
      <c r="L138" s="56">
        <f>'Long-form'!L138</f>
        <v>526</v>
      </c>
      <c r="M138" s="56" t="str">
        <f>'Long-form'!Q138</f>
        <v>transgressive</v>
      </c>
      <c r="N138" s="55">
        <f>'Long-form'!R138</f>
        <v>1.65</v>
      </c>
      <c r="O138" s="55" t="str">
        <f>'Long-form'!S138</f>
        <v>nd</v>
      </c>
      <c r="P138" s="55">
        <f>'Long-form'!T138</f>
        <v>1</v>
      </c>
      <c r="Q138" s="55">
        <f>'Long-form'!AM138</f>
        <v>-103.676</v>
      </c>
      <c r="R138" s="55" t="str">
        <f>'Long-form'!AN138</f>
        <v>YSD</v>
      </c>
      <c r="S138" s="55">
        <f>'Long-form'!AP138</f>
        <v>0.55327569980977842</v>
      </c>
      <c r="T138" s="55">
        <f>'Long-form'!AQ138</f>
        <v>0.55327569980977842</v>
      </c>
      <c r="U138">
        <f>'Long-form'!BC138</f>
        <v>-1</v>
      </c>
      <c r="V138" t="str">
        <f>'Long-form'!BD138</f>
        <v>5 = Sedimentary (e.g., deltaic, estuarine, wetland, lacustrine, marine facies)</v>
      </c>
      <c r="W138" t="str">
        <f>'Long-form'!BE138</f>
        <v>Transgressive contact (nearshore)</v>
      </c>
      <c r="X138" t="str">
        <f>'Long-form'!BF138</f>
        <v>Shallow-water benthonic bethic foraminifera including Ammonia beccarii var., Elphidium advenum (Cushman),</v>
      </c>
      <c r="Y138" t="str">
        <f>'Long-form'!BH138</f>
        <v>&lt;HAT</v>
      </c>
      <c r="Z138" s="55">
        <f>'Long-form'!BT138</f>
        <v>-104.90368451615301</v>
      </c>
      <c r="AA138" s="55">
        <f>'Long-form'!BU138</f>
        <v>0.58181955965745946</v>
      </c>
      <c r="AB138" s="55">
        <f>'Long-form'!BV138</f>
        <v>0.58181955965745946</v>
      </c>
      <c r="AC138" s="55" t="str">
        <f>'Long-form'!BW138</f>
        <v>nd</v>
      </c>
      <c r="AD138" s="55" t="str">
        <f>'Long-form'!BX138</f>
        <v>nd</v>
      </c>
      <c r="AE138" s="55" t="str">
        <f>'Long-form'!BY138</f>
        <v>nd</v>
      </c>
      <c r="AF138" t="str">
        <f>'Long-form'!BZ138</f>
        <v>nd</v>
      </c>
      <c r="AG138">
        <f>'Long-form'!CB138</f>
        <v>0</v>
      </c>
      <c r="AH138">
        <f>'Long-form'!CD138</f>
        <v>0</v>
      </c>
      <c r="AI138" t="e">
        <f>'Long-form'!#REF!</f>
        <v>#REF!</v>
      </c>
    </row>
    <row r="139" spans="1:35">
      <c r="A139" t="str">
        <f>'Long-form'!A139</f>
        <v>Gif-11675</v>
      </c>
      <c r="B139" t="str">
        <f>'Long-form'!B139</f>
        <v>Yim, 2006</v>
      </c>
      <c r="C139" t="str">
        <f>'Long-form'!C139</f>
        <v>9a</v>
      </c>
      <c r="D139" t="str">
        <f>'Long-form'!D139</f>
        <v>Hong Kong</v>
      </c>
      <c r="E139" s="55">
        <f>'Long-form'!E139</f>
        <v>21.664967000000001</v>
      </c>
      <c r="F139" s="55">
        <f>'Long-form'!F139</f>
        <v>115.262333</v>
      </c>
      <c r="G139" t="str">
        <f>'Long-form'!G139</f>
        <v>1 = Radiocarbon</v>
      </c>
      <c r="H139" s="56">
        <f>'Long-form'!H139</f>
        <v>9840</v>
      </c>
      <c r="I139" s="56">
        <f>'Long-form'!I139</f>
        <v>110</v>
      </c>
      <c r="J139" s="56">
        <f>'Long-form'!J139</f>
        <v>11284</v>
      </c>
      <c r="K139" s="56">
        <f>'Long-form'!K139</f>
        <v>451</v>
      </c>
      <c r="L139" s="56">
        <f>'Long-form'!L139</f>
        <v>476</v>
      </c>
      <c r="M139" s="56" t="str">
        <f>'Long-form'!Q139</f>
        <v>transgressive</v>
      </c>
      <c r="N139" s="55">
        <f>'Long-form'!R139</f>
        <v>1.65</v>
      </c>
      <c r="O139" s="55" t="str">
        <f>'Long-form'!S139</f>
        <v>nd</v>
      </c>
      <c r="P139" s="55">
        <f>'Long-form'!T139</f>
        <v>1</v>
      </c>
      <c r="Q139" s="55">
        <f>'Long-form'!AM139</f>
        <v>-103.676</v>
      </c>
      <c r="R139" s="55" t="str">
        <f>'Long-form'!AN139</f>
        <v>YSD</v>
      </c>
      <c r="S139" s="55">
        <f>'Long-form'!AP139</f>
        <v>0.55550787573174876</v>
      </c>
      <c r="T139" s="55">
        <f>'Long-form'!AQ139</f>
        <v>0.55550787573174876</v>
      </c>
      <c r="U139">
        <f>'Long-form'!BC139</f>
        <v>-1</v>
      </c>
      <c r="V139" t="str">
        <f>'Long-form'!BD139</f>
        <v>5 = Sedimentary (e.g., deltaic, estuarine, wetland, lacustrine, marine facies)</v>
      </c>
      <c r="W139" t="str">
        <f>'Long-form'!BE139</f>
        <v>Transgressive contact (nearshore)</v>
      </c>
      <c r="X139" t="str">
        <f>'Long-form'!BF139</f>
        <v>Shallow-water benthonic bethic foraminifera including Ammonia beccarii var., Elphidium advenum (Cushman),</v>
      </c>
      <c r="Y139" t="str">
        <f>'Long-form'!BH139</f>
        <v>&lt;HAT</v>
      </c>
      <c r="Z139" s="55">
        <f>'Long-form'!BT139</f>
        <v>-104.90368451615301</v>
      </c>
      <c r="AA139" s="55">
        <f>'Long-form'!BU139</f>
        <v>0.58394263416880254</v>
      </c>
      <c r="AB139" s="55">
        <f>'Long-form'!BV139</f>
        <v>0.58394263416880254</v>
      </c>
      <c r="AC139" s="55" t="str">
        <f>'Long-form'!BW139</f>
        <v>nd</v>
      </c>
      <c r="AD139" s="55" t="str">
        <f>'Long-form'!BX139</f>
        <v>nd</v>
      </c>
      <c r="AE139" s="55" t="str">
        <f>'Long-form'!BY139</f>
        <v>nd</v>
      </c>
      <c r="AF139" t="str">
        <f>'Long-form'!BZ139</f>
        <v>nd</v>
      </c>
      <c r="AG139">
        <f>'Long-form'!CB139</f>
        <v>0</v>
      </c>
      <c r="AH139">
        <f>'Long-form'!CD139</f>
        <v>0</v>
      </c>
      <c r="AI139" t="e">
        <f>'Long-form'!#REF!</f>
        <v>#REF!</v>
      </c>
    </row>
    <row r="140" spans="1:35">
      <c r="A140" t="str">
        <f>'Long-form'!A140</f>
        <v>GIFA-101405</v>
      </c>
      <c r="B140" t="str">
        <f>'Long-form'!B140</f>
        <v>Yim, 2006</v>
      </c>
      <c r="C140" t="str">
        <f>'Long-form'!C140</f>
        <v>9a</v>
      </c>
      <c r="D140" t="str">
        <f>'Long-form'!D140</f>
        <v>Hong Kong</v>
      </c>
      <c r="E140" s="55">
        <f>'Long-form'!E140</f>
        <v>21.635432999999999</v>
      </c>
      <c r="F140" s="55">
        <f>'Long-form'!F140</f>
        <v>115.35525</v>
      </c>
      <c r="G140" t="str">
        <f>'Long-form'!G140</f>
        <v>1 = Radiocarbon</v>
      </c>
      <c r="H140" s="56">
        <f>'Long-form'!H140</f>
        <v>12340</v>
      </c>
      <c r="I140" s="56">
        <f>'Long-form'!I140</f>
        <v>306.75723300355935</v>
      </c>
      <c r="J140" s="56">
        <f>'Long-form'!J140</f>
        <v>13787</v>
      </c>
      <c r="K140" s="56">
        <f>'Long-form'!K140</f>
        <v>989</v>
      </c>
      <c r="L140" s="56">
        <f>'Long-form'!L140</f>
        <v>722</v>
      </c>
      <c r="M140" s="56" t="str">
        <f>'Long-form'!Q140</f>
        <v>transgressive</v>
      </c>
      <c r="N140" s="55">
        <f>'Long-form'!R140</f>
        <v>0.875</v>
      </c>
      <c r="O140" s="55" t="str">
        <f>'Long-form'!S140</f>
        <v>nd</v>
      </c>
      <c r="P140" s="55">
        <f>'Long-form'!T140</f>
        <v>1</v>
      </c>
      <c r="Q140" s="55">
        <f>'Long-form'!AM140</f>
        <v>-106.90599999999999</v>
      </c>
      <c r="R140" s="55" t="str">
        <f>'Long-form'!AN140</f>
        <v>YSD</v>
      </c>
      <c r="S140" s="55">
        <f>'Long-form'!AP140</f>
        <v>0.54747716847371819</v>
      </c>
      <c r="T140" s="55">
        <f>'Long-form'!AQ140</f>
        <v>0.54747716847371819</v>
      </c>
      <c r="U140">
        <f>'Long-form'!BC140</f>
        <v>-1</v>
      </c>
      <c r="V140" t="str">
        <f>'Long-form'!BD140</f>
        <v>5 = Sedimentary (e.g., deltaic, estuarine, wetland, lacustrine, marine facies)</v>
      </c>
      <c r="W140" t="str">
        <f>'Long-form'!BE140</f>
        <v>Marine deposit</v>
      </c>
      <c r="X140" t="str">
        <f>'Long-form'!BF140</f>
        <v>Deep marine foraminifera Cibicides bimargaritiferus, C. praecinctes, P. indopacifica, Rubulus calcar</v>
      </c>
      <c r="Y140" t="str">
        <f>'Long-form'!BH140</f>
        <v>&lt;MTL</v>
      </c>
      <c r="Z140" s="55">
        <f>'Long-form'!BT140</f>
        <v>-106.9316375960798</v>
      </c>
      <c r="AA140" s="55">
        <f>'Long-form'!BU140</f>
        <v>0.54975562752917773</v>
      </c>
      <c r="AB140" s="55">
        <f>'Long-form'!BV140</f>
        <v>0.54975562752917773</v>
      </c>
      <c r="AC140" s="55" t="str">
        <f>'Long-form'!BW140</f>
        <v>nd</v>
      </c>
      <c r="AD140" s="55" t="str">
        <f>'Long-form'!BX140</f>
        <v>nd</v>
      </c>
      <c r="AE140" s="55" t="str">
        <f>'Long-form'!BY140</f>
        <v>nd</v>
      </c>
      <c r="AF140" t="str">
        <f>'Long-form'!BZ140</f>
        <v>nd</v>
      </c>
      <c r="AG140">
        <f>'Long-form'!CB140</f>
        <v>0</v>
      </c>
      <c r="AH140">
        <f>'Long-form'!CD140</f>
        <v>0</v>
      </c>
      <c r="AI140" t="e">
        <f>'Long-form'!#REF!</f>
        <v>#REF!</v>
      </c>
    </row>
    <row r="141" spans="1:35">
      <c r="A141" t="str">
        <f>'Long-form'!A141</f>
        <v>GIFA-101406</v>
      </c>
      <c r="B141" t="str">
        <f>'Long-form'!B141</f>
        <v>Yim, 2006</v>
      </c>
      <c r="C141" t="str">
        <f>'Long-form'!C141</f>
        <v>9a</v>
      </c>
      <c r="D141" t="str">
        <f>'Long-form'!D141</f>
        <v>Hong Kong</v>
      </c>
      <c r="E141" s="55">
        <f>'Long-form'!E141</f>
        <v>21.635432999999999</v>
      </c>
      <c r="F141" s="55">
        <f>'Long-form'!F141</f>
        <v>115.35525</v>
      </c>
      <c r="G141" t="str">
        <f>'Long-form'!G141</f>
        <v>1 = Radiocarbon</v>
      </c>
      <c r="H141" s="56">
        <f>'Long-form'!H141</f>
        <v>4670</v>
      </c>
      <c r="I141" s="56">
        <f>'Long-form'!I141</f>
        <v>80</v>
      </c>
      <c r="J141" s="56">
        <f>'Long-form'!J141</f>
        <v>4716</v>
      </c>
      <c r="K141" s="56">
        <f>'Long-form'!K141</f>
        <v>314</v>
      </c>
      <c r="L141" s="56">
        <f>'Long-form'!L141</f>
        <v>309</v>
      </c>
      <c r="M141" s="56" t="str">
        <f>'Long-form'!Q141</f>
        <v>transgressive</v>
      </c>
      <c r="N141" s="55">
        <f>'Long-form'!R141</f>
        <v>1.425</v>
      </c>
      <c r="O141" s="55" t="str">
        <f>'Long-form'!S141</f>
        <v>nd</v>
      </c>
      <c r="P141" s="55">
        <f>'Long-form'!T141</f>
        <v>1</v>
      </c>
      <c r="Q141" s="55">
        <f>'Long-form'!AM141</f>
        <v>-107.456</v>
      </c>
      <c r="R141" s="55" t="str">
        <f>'Long-form'!AN141</f>
        <v>YSD</v>
      </c>
      <c r="S141" s="55">
        <f>'Long-form'!AP141</f>
        <v>0.56032334415050034</v>
      </c>
      <c r="T141" s="55">
        <f>'Long-form'!AQ141</f>
        <v>0.56032334415050034</v>
      </c>
      <c r="U141">
        <f>'Long-form'!BC141</f>
        <v>1</v>
      </c>
      <c r="V141" t="str">
        <f>'Long-form'!BD141</f>
        <v>6 = Beach rock</v>
      </c>
      <c r="W141" t="str">
        <f>'Long-form'!BE141</f>
        <v>Beach ridge</v>
      </c>
      <c r="X141" t="str">
        <f>'Long-form'!BF141</f>
        <v>Colour (yellow) and shell fragments</v>
      </c>
      <c r="Y141" t="str">
        <f>'Long-form'!BH141</f>
        <v>&gt;MLLW</v>
      </c>
      <c r="Z141" s="55">
        <f>'Long-form'!BT141</f>
        <v>-106.90344961568081</v>
      </c>
      <c r="AA141" s="55">
        <f>'Long-form'!BU141</f>
        <v>0.68844916297428971</v>
      </c>
      <c r="AB141" s="55">
        <f>'Long-form'!BV141</f>
        <v>0.68844916297428971</v>
      </c>
      <c r="AC141" s="55" t="str">
        <f>'Long-form'!BW141</f>
        <v>nd</v>
      </c>
      <c r="AD141" s="55" t="str">
        <f>'Long-form'!BX141</f>
        <v>nd</v>
      </c>
      <c r="AE141" s="55" t="str">
        <f>'Long-form'!BY141</f>
        <v>nd</v>
      </c>
      <c r="AF141" t="str">
        <f>'Long-form'!BZ141</f>
        <v>nd</v>
      </c>
      <c r="AG141">
        <f>'Long-form'!CB141</f>
        <v>0</v>
      </c>
      <c r="AH141">
        <f>'Long-form'!CD141</f>
        <v>0</v>
      </c>
      <c r="AI141" t="e">
        <f>'Long-form'!#REF!</f>
        <v>#REF!</v>
      </c>
    </row>
    <row r="142" spans="1:35">
      <c r="A142" t="str">
        <f>'Long-form'!A142</f>
        <v>GIFA-101407</v>
      </c>
      <c r="B142" t="str">
        <f>'Long-form'!B142</f>
        <v>Yim, 2006</v>
      </c>
      <c r="C142" t="str">
        <f>'Long-form'!C142</f>
        <v>9a</v>
      </c>
      <c r="D142" t="str">
        <f>'Long-form'!D142</f>
        <v>Hong Kong</v>
      </c>
      <c r="E142" s="55">
        <f>'Long-form'!E142</f>
        <v>21.545133</v>
      </c>
      <c r="F142" s="55">
        <f>'Long-form'!F142</f>
        <v>115.496833</v>
      </c>
      <c r="G142" t="str">
        <f>'Long-form'!G142</f>
        <v>1 = Radiocarbon</v>
      </c>
      <c r="H142" s="56">
        <f>'Long-form'!H142</f>
        <v>12640</v>
      </c>
      <c r="I142" s="56">
        <f>'Long-form'!I142</f>
        <v>110</v>
      </c>
      <c r="J142" s="56">
        <f>'Long-form'!J142</f>
        <v>14147</v>
      </c>
      <c r="K142" s="56">
        <f>'Long-form'!K142</f>
        <v>582</v>
      </c>
      <c r="L142" s="56">
        <f>'Long-form'!L142</f>
        <v>407</v>
      </c>
      <c r="M142" s="56" t="str">
        <f>'Long-form'!Q142</f>
        <v>transgressive</v>
      </c>
      <c r="N142" s="55">
        <f>'Long-form'!R142</f>
        <v>0.875</v>
      </c>
      <c r="O142" s="55" t="str">
        <f>'Long-form'!S142</f>
        <v>nd</v>
      </c>
      <c r="P142" s="55">
        <f>'Long-form'!T142</f>
        <v>1</v>
      </c>
      <c r="Q142" s="55">
        <f>'Long-form'!AM142</f>
        <v>-114.90599999999999</v>
      </c>
      <c r="R142" s="55" t="str">
        <f>'Long-form'!AN142</f>
        <v>YSD</v>
      </c>
      <c r="S142" s="55">
        <f>'Long-form'!AP142</f>
        <v>0.54747716847371819</v>
      </c>
      <c r="T142" s="55">
        <f>'Long-form'!AQ142</f>
        <v>0.54747716847371819</v>
      </c>
      <c r="U142">
        <f>'Long-form'!BC142</f>
        <v>-1</v>
      </c>
      <c r="V142" t="str">
        <f>'Long-form'!BD142</f>
        <v>5 = Sedimentary (e.g., deltaic, estuarine, wetland, lacustrine, marine facies)</v>
      </c>
      <c r="W142" t="str">
        <f>'Long-form'!BE142</f>
        <v>Marine deposit</v>
      </c>
      <c r="X142" t="str">
        <f>'Long-form'!BF142</f>
        <v>Deep marine foraminifera Cibicides bimargaritiferus, C. praecinctes, P. indopacifica, Rubulus calcar</v>
      </c>
      <c r="Y142" t="str">
        <f>'Long-form'!BH142</f>
        <v>&lt;MTL</v>
      </c>
      <c r="Z142" s="55">
        <f>'Long-form'!BT142</f>
        <v>-114.93115374811339</v>
      </c>
      <c r="AA142" s="55">
        <f>'Long-form'!BU142</f>
        <v>0.54975562752917773</v>
      </c>
      <c r="AB142" s="55">
        <f>'Long-form'!BV142</f>
        <v>0.54975562752917773</v>
      </c>
      <c r="AC142" s="55" t="str">
        <f>'Long-form'!BW142</f>
        <v>nd</v>
      </c>
      <c r="AD142" s="55" t="str">
        <f>'Long-form'!BX142</f>
        <v>nd</v>
      </c>
      <c r="AE142" s="55" t="str">
        <f>'Long-form'!BY142</f>
        <v>nd</v>
      </c>
      <c r="AF142" t="str">
        <f>'Long-form'!BZ142</f>
        <v>nd</v>
      </c>
      <c r="AG142">
        <f>'Long-form'!CB142</f>
        <v>0</v>
      </c>
      <c r="AH142">
        <f>'Long-form'!CD142</f>
        <v>0</v>
      </c>
      <c r="AI142" t="e">
        <f>'Long-form'!#REF!</f>
        <v>#REF!</v>
      </c>
    </row>
    <row r="143" spans="1:35">
      <c r="A143" t="str">
        <f>'Long-form'!A143</f>
        <v>GIFA-101408</v>
      </c>
      <c r="B143" t="str">
        <f>'Long-form'!B143</f>
        <v>Yim, 2006</v>
      </c>
      <c r="C143" t="str">
        <f>'Long-form'!C143</f>
        <v>9a</v>
      </c>
      <c r="D143" t="str">
        <f>'Long-form'!D143</f>
        <v>Hong Kong</v>
      </c>
      <c r="E143" s="55">
        <f>'Long-form'!E143</f>
        <v>21.545133</v>
      </c>
      <c r="F143" s="55">
        <f>'Long-form'!F143</f>
        <v>115.496833</v>
      </c>
      <c r="G143" t="str">
        <f>'Long-form'!G143</f>
        <v>1 = Radiocarbon</v>
      </c>
      <c r="H143" s="56">
        <f>'Long-form'!H143</f>
        <v>6240</v>
      </c>
      <c r="I143" s="56">
        <f>'Long-form'!I143</f>
        <v>90</v>
      </c>
      <c r="J143" s="56">
        <f>'Long-form'!J143</f>
        <v>6495</v>
      </c>
      <c r="K143" s="56">
        <f>'Long-form'!K143</f>
        <v>287</v>
      </c>
      <c r="L143" s="56">
        <f>'Long-form'!L143</f>
        <v>277</v>
      </c>
      <c r="M143" s="56" t="str">
        <f>'Long-form'!Q143</f>
        <v>transgressive</v>
      </c>
      <c r="N143" s="55">
        <f>'Long-form'!R143</f>
        <v>1.45</v>
      </c>
      <c r="O143" s="55" t="str">
        <f>'Long-form'!S143</f>
        <v>nd</v>
      </c>
      <c r="P143" s="55">
        <f>'Long-form'!T143</f>
        <v>1</v>
      </c>
      <c r="Q143" s="55">
        <f>'Long-form'!AM143</f>
        <v>-115.476</v>
      </c>
      <c r="R143" s="55" t="str">
        <f>'Long-form'!AN143</f>
        <v>YSD</v>
      </c>
      <c r="S143" s="55">
        <f>'Long-form'!AP143</f>
        <v>0.56865279389096468</v>
      </c>
      <c r="T143" s="55">
        <f>'Long-form'!AQ143</f>
        <v>0.56865279389096468</v>
      </c>
      <c r="U143">
        <f>'Long-form'!BC143</f>
        <v>-1</v>
      </c>
      <c r="V143" t="str">
        <f>'Long-form'!BD143</f>
        <v>5 = Sedimentary (e.g., deltaic, estuarine, wetland, lacustrine, marine facies)</v>
      </c>
      <c r="W143" t="str">
        <f>'Long-form'!BE143</f>
        <v>Transgressive contact (nearshore)</v>
      </c>
      <c r="X143" t="str">
        <f>'Long-form'!BF143</f>
        <v>Shallow-water benthonic bethic foraminifera including Ammonia beccarii var., Elphidium advenum (Cushman),</v>
      </c>
      <c r="Y143" t="str">
        <f>'Long-form'!BH143</f>
        <v>&lt;HAT</v>
      </c>
      <c r="Z143" s="55">
        <f>'Long-form'!BT143</f>
        <v>-116.52661499245357</v>
      </c>
      <c r="AA143" s="55">
        <f>'Long-form'!BU143</f>
        <v>0.59646123092787839</v>
      </c>
      <c r="AB143" s="55">
        <f>'Long-form'!BV143</f>
        <v>0.59646123092787839</v>
      </c>
      <c r="AC143" s="55" t="str">
        <f>'Long-form'!BW143</f>
        <v>nd</v>
      </c>
      <c r="AD143" s="55" t="str">
        <f>'Long-form'!BX143</f>
        <v>nd</v>
      </c>
      <c r="AE143" s="55" t="str">
        <f>'Long-form'!BY143</f>
        <v>nd</v>
      </c>
      <c r="AF143" t="str">
        <f>'Long-form'!BZ143</f>
        <v>nd</v>
      </c>
      <c r="AG143">
        <f>'Long-form'!CB143</f>
        <v>0</v>
      </c>
      <c r="AH143">
        <f>'Long-form'!CD143</f>
        <v>0</v>
      </c>
      <c r="AI143" t="e">
        <f>'Long-form'!#REF!</f>
        <v>#REF!</v>
      </c>
    </row>
    <row r="144" spans="1:35">
      <c r="A144" t="str">
        <f>'Long-form'!A144</f>
        <v>GIFA-101409</v>
      </c>
      <c r="B144" t="str">
        <f>'Long-form'!B144</f>
        <v>Yim, 2006</v>
      </c>
      <c r="C144" t="str">
        <f>'Long-form'!C144</f>
        <v>9a</v>
      </c>
      <c r="D144" t="str">
        <f>'Long-form'!D144</f>
        <v>Hong Kong</v>
      </c>
      <c r="E144" s="55">
        <f>'Long-form'!E144</f>
        <v>21.461666999999998</v>
      </c>
      <c r="F144" s="55">
        <f>'Long-form'!F144</f>
        <v>115.58825</v>
      </c>
      <c r="G144" t="str">
        <f>'Long-form'!G144</f>
        <v>1 = Radiocarbon</v>
      </c>
      <c r="H144" s="56">
        <f>'Long-form'!H144</f>
        <v>11760</v>
      </c>
      <c r="I144" s="56">
        <f>'Long-form'!I144</f>
        <v>130</v>
      </c>
      <c r="J144" s="56">
        <f>'Long-form'!J144</f>
        <v>13093</v>
      </c>
      <c r="K144" s="56">
        <f>'Long-form'!K144</f>
        <v>317</v>
      </c>
      <c r="L144" s="56">
        <f>'Long-form'!L144</f>
        <v>332</v>
      </c>
      <c r="M144" s="56" t="str">
        <f>'Long-form'!Q144</f>
        <v>transgressive</v>
      </c>
      <c r="N144" s="55">
        <f>'Long-form'!R144</f>
        <v>0.625</v>
      </c>
      <c r="O144" s="55" t="str">
        <f>'Long-form'!S144</f>
        <v>nd</v>
      </c>
      <c r="P144" s="55">
        <f>'Long-form'!T144</f>
        <v>1</v>
      </c>
      <c r="Q144" s="55">
        <f>'Long-form'!AM144</f>
        <v>-118.65599999999999</v>
      </c>
      <c r="R144" s="55" t="str">
        <f>'Long-form'!AN144</f>
        <v>YSD</v>
      </c>
      <c r="S144" s="55">
        <f>'Long-form'!AP144</f>
        <v>0.54734015931594127</v>
      </c>
      <c r="T144" s="55">
        <f>'Long-form'!AQ144</f>
        <v>0.54734015931594127</v>
      </c>
      <c r="U144">
        <f>'Long-form'!BC144</f>
        <v>-1</v>
      </c>
      <c r="V144" t="str">
        <f>'Long-form'!BD144</f>
        <v>5 = Sedimentary (e.g., deltaic, estuarine, wetland, lacustrine, marine facies)</v>
      </c>
      <c r="W144" t="str">
        <f>'Long-form'!BE144</f>
        <v>Transgressive contact (nearshore)</v>
      </c>
      <c r="X144" t="str">
        <f>'Long-form'!BF144</f>
        <v>Shallow-water benthonic bethic foraminifera including Ammonia beccarii var., Elphidium advenum (Cushman),</v>
      </c>
      <c r="Y144" t="str">
        <f>'Long-form'!BH144</f>
        <v>&lt;HAT</v>
      </c>
      <c r="Z144" s="55">
        <f>'Long-form'!BT144</f>
        <v>-119.60188920263361</v>
      </c>
      <c r="AA144" s="55">
        <f>'Long-form'!BU144</f>
        <v>0.57617814085575991</v>
      </c>
      <c r="AB144" s="55">
        <f>'Long-form'!BV144</f>
        <v>0.57617814085575991</v>
      </c>
      <c r="AC144" s="55" t="str">
        <f>'Long-form'!BW144</f>
        <v>nd</v>
      </c>
      <c r="AD144" s="55" t="str">
        <f>'Long-form'!BX144</f>
        <v>nd</v>
      </c>
      <c r="AE144" s="55" t="str">
        <f>'Long-form'!BY144</f>
        <v>nd</v>
      </c>
      <c r="AF144" t="str">
        <f>'Long-form'!BZ144</f>
        <v>nd</v>
      </c>
      <c r="AG144">
        <f>'Long-form'!CB144</f>
        <v>0</v>
      </c>
      <c r="AH144">
        <f>'Long-form'!CD144</f>
        <v>0</v>
      </c>
      <c r="AI144" t="e">
        <f>'Long-form'!#REF!</f>
        <v>#REF!</v>
      </c>
    </row>
    <row r="145" spans="1:35">
      <c r="A145" t="str">
        <f>'Long-form'!A145</f>
        <v>GIFA-102053</v>
      </c>
      <c r="B145" t="str">
        <f>'Long-form'!B145</f>
        <v>Yim, 2006</v>
      </c>
      <c r="C145" t="str">
        <f>'Long-form'!C145</f>
        <v>9a</v>
      </c>
      <c r="D145" t="str">
        <f>'Long-form'!D145</f>
        <v>Hong Kong</v>
      </c>
      <c r="E145" s="55">
        <f>'Long-form'!E145</f>
        <v>21.461666999999998</v>
      </c>
      <c r="F145" s="55">
        <f>'Long-form'!F145</f>
        <v>115.58825</v>
      </c>
      <c r="G145" t="str">
        <f>'Long-form'!G145</f>
        <v>1 = Radiocarbon</v>
      </c>
      <c r="H145" s="56">
        <f>'Long-form'!H145</f>
        <v>9050</v>
      </c>
      <c r="I145" s="56">
        <f>'Long-form'!I145</f>
        <v>90</v>
      </c>
      <c r="J145" s="56">
        <f>'Long-form'!J145</f>
        <v>9607</v>
      </c>
      <c r="K145" s="56">
        <f>'Long-form'!K145</f>
        <v>359</v>
      </c>
      <c r="L145" s="56">
        <f>'Long-form'!L145</f>
        <v>315</v>
      </c>
      <c r="M145" s="56" t="str">
        <f>'Long-form'!Q145</f>
        <v>transgressive</v>
      </c>
      <c r="N145" s="55">
        <f>'Long-form'!R145</f>
        <v>0.875</v>
      </c>
      <c r="O145" s="55" t="str">
        <f>'Long-form'!S145</f>
        <v>nd</v>
      </c>
      <c r="P145" s="55">
        <f>'Long-form'!T145</f>
        <v>1</v>
      </c>
      <c r="Q145" s="55">
        <f>'Long-form'!AM145</f>
        <v>-118.90599999999999</v>
      </c>
      <c r="R145" s="55" t="str">
        <f>'Long-form'!AN145</f>
        <v>YSD</v>
      </c>
      <c r="S145" s="55">
        <f>'Long-form'!AP145</f>
        <v>0.54747716847371819</v>
      </c>
      <c r="T145" s="55">
        <f>'Long-form'!AQ145</f>
        <v>0.54747716847371819</v>
      </c>
      <c r="U145">
        <f>'Long-form'!BC145</f>
        <v>-1</v>
      </c>
      <c r="V145" t="str">
        <f>'Long-form'!BD145</f>
        <v>5 = Sedimentary (e.g., deltaic, estuarine, wetland, lacustrine, marine facies)</v>
      </c>
      <c r="W145" t="str">
        <f>'Long-form'!BE145</f>
        <v>Transgressive contact (nearshore)</v>
      </c>
      <c r="X145" t="str">
        <f>'Long-form'!BF145</f>
        <v>Shallow-water benthonic bethic foraminifera including Ammonia beccarii var., Elphidium advenum (Cushman),</v>
      </c>
      <c r="Y145" t="str">
        <f>'Long-form'!BH145</f>
        <v>&lt;HAT</v>
      </c>
      <c r="Z145" s="55">
        <f>'Long-form'!BT145</f>
        <v>-119.85188920263361</v>
      </c>
      <c r="AA145" s="55">
        <f>'Long-form'!BU145</f>
        <v>0.57630829423148167</v>
      </c>
      <c r="AB145" s="55">
        <f>'Long-form'!BV145</f>
        <v>0.57630829423148167</v>
      </c>
      <c r="AC145" s="55" t="str">
        <f>'Long-form'!BW145</f>
        <v>nd</v>
      </c>
      <c r="AD145" s="55" t="str">
        <f>'Long-form'!BX145</f>
        <v>nd</v>
      </c>
      <c r="AE145" s="55" t="str">
        <f>'Long-form'!BY145</f>
        <v>nd</v>
      </c>
      <c r="AF145" t="str">
        <f>'Long-form'!BZ145</f>
        <v>nd</v>
      </c>
      <c r="AG145">
        <f>'Long-form'!CB145</f>
        <v>0</v>
      </c>
      <c r="AH145">
        <f>'Long-form'!CD145</f>
        <v>0</v>
      </c>
      <c r="AI145" t="e">
        <f>'Long-form'!#REF!</f>
        <v>#REF!</v>
      </c>
    </row>
    <row r="146" spans="1:35">
      <c r="A146" t="str">
        <f>'Long-form'!A146</f>
        <v>KWG-123</v>
      </c>
      <c r="B146" t="str">
        <f>'Long-form'!B146</f>
        <v>Huang et al. 1986; Li et al 1991</v>
      </c>
      <c r="C146" t="str">
        <f>'Long-form'!C146</f>
        <v>9a</v>
      </c>
      <c r="D146" t="str">
        <f>'Long-form'!D146</f>
        <v>E_PRD</v>
      </c>
      <c r="E146" s="55">
        <f>'Long-form'!E146</f>
        <v>23.159655000000001</v>
      </c>
      <c r="F146" s="55">
        <f>'Long-form'!F146</f>
        <v>113.929134</v>
      </c>
      <c r="G146" t="str">
        <f>'Long-form'!G146</f>
        <v>1 = Radiocarbon</v>
      </c>
      <c r="H146" s="56">
        <f>'Long-form'!H146</f>
        <v>7750.681864716249</v>
      </c>
      <c r="I146" s="56">
        <f>'Long-form'!I146</f>
        <v>102.09332595228739</v>
      </c>
      <c r="J146" s="56">
        <f>'Long-form'!J146</f>
        <v>8049</v>
      </c>
      <c r="K146" s="56">
        <f>'Long-form'!K146</f>
        <v>288</v>
      </c>
      <c r="L146" s="56">
        <f>'Long-form'!L146</f>
        <v>283</v>
      </c>
      <c r="M146" s="56" t="str">
        <f>'Long-form'!Q146</f>
        <v>nd</v>
      </c>
      <c r="N146" s="55" t="str">
        <f>'Long-form'!R146</f>
        <v>nd</v>
      </c>
      <c r="O146" s="55" t="str">
        <f>'Long-form'!S146</f>
        <v>nd</v>
      </c>
      <c r="P146" s="55">
        <f>'Long-form'!T146</f>
        <v>0</v>
      </c>
      <c r="Q146" s="55">
        <f>'Long-form'!AM146</f>
        <v>2</v>
      </c>
      <c r="R146" s="55" t="str">
        <f>'Long-form'!AN146</f>
        <v>YSD</v>
      </c>
      <c r="S146" s="55">
        <f>'Long-form'!AP146</f>
        <v>0.5148786264742401</v>
      </c>
      <c r="T146" s="55">
        <f>'Long-form'!AQ146</f>
        <v>0.5148786264742401</v>
      </c>
      <c r="U146" t="str">
        <f>'Long-form'!BC146</f>
        <v xml:space="preserve">1 </v>
      </c>
      <c r="V146" t="str">
        <f>'Long-form'!BD146</f>
        <v>4 = Archeological</v>
      </c>
      <c r="W146" t="str">
        <f>'Long-form'!BE146</f>
        <v>Shell mount</v>
      </c>
      <c r="X146" t="str">
        <f>'Long-form'!BF146</f>
        <v>Archaeology</v>
      </c>
      <c r="Y146" t="str">
        <f>'Long-form'!BH146</f>
        <v>&gt;MHHW</v>
      </c>
      <c r="Z146" s="55">
        <f>'Long-form'!BT146</f>
        <v>0.87335272799999997</v>
      </c>
      <c r="AA146" s="55">
        <f>'Long-form'!BU146</f>
        <v>0.67727394752788184</v>
      </c>
      <c r="AB146" s="55">
        <f>'Long-form'!BV146</f>
        <v>0.67727394752788184</v>
      </c>
      <c r="AC146" s="55" t="str">
        <f>'Long-form'!BW146</f>
        <v>nd</v>
      </c>
      <c r="AD146" s="55" t="str">
        <f>'Long-form'!BX146</f>
        <v>nd</v>
      </c>
      <c r="AE146" s="55" t="str">
        <f>'Long-form'!BY146</f>
        <v>nd</v>
      </c>
      <c r="AF146" t="str">
        <f>'Long-form'!BZ146</f>
        <v>nd</v>
      </c>
      <c r="AG146">
        <f>'Long-form'!CB146</f>
        <v>0</v>
      </c>
      <c r="AH146">
        <f>'Long-form'!CD146</f>
        <v>0</v>
      </c>
      <c r="AI146" t="e">
        <f>'Long-form'!#REF!</f>
        <v>#REF!</v>
      </c>
    </row>
    <row r="147" spans="1:35">
      <c r="A147" t="str">
        <f>'Long-form'!A147</f>
        <v>KWG-216</v>
      </c>
      <c r="B147" t="str">
        <f>'Long-form'!B147</f>
        <v>Huang et al. 1986; Li et al, 1991</v>
      </c>
      <c r="C147" t="str">
        <f>'Long-form'!C147</f>
        <v>9a</v>
      </c>
      <c r="D147" t="str">
        <f>'Long-form'!D147</f>
        <v>E_PRD</v>
      </c>
      <c r="E147" s="55">
        <f>'Long-form'!E147</f>
        <v>22.75102</v>
      </c>
      <c r="F147" s="55">
        <f>'Long-form'!F147</f>
        <v>113.89887</v>
      </c>
      <c r="G147" t="str">
        <f>'Long-form'!G147</f>
        <v>1 = Radiocarbon</v>
      </c>
      <c r="H147" s="56">
        <f>'Long-form'!H147</f>
        <v>5900.681864716249</v>
      </c>
      <c r="I147" s="56">
        <f>'Long-form'!I147</f>
        <v>203.03459607662927</v>
      </c>
      <c r="J147" s="56">
        <f>'Long-form'!J147</f>
        <v>6127</v>
      </c>
      <c r="K147" s="56">
        <f>'Long-form'!K147</f>
        <v>489</v>
      </c>
      <c r="L147" s="56">
        <f>'Long-form'!L147</f>
        <v>486</v>
      </c>
      <c r="M147" s="56" t="str">
        <f>'Long-form'!Q147</f>
        <v>regressive</v>
      </c>
      <c r="N147" s="55">
        <f>'Long-form'!R147</f>
        <v>11</v>
      </c>
      <c r="O147" s="55" t="str">
        <f>'Long-form'!S147</f>
        <v>nd</v>
      </c>
      <c r="P147" s="55">
        <f>'Long-form'!T147</f>
        <v>1</v>
      </c>
      <c r="Q147" s="55">
        <f>'Long-form'!AM147</f>
        <v>-13.8</v>
      </c>
      <c r="R147" s="55" t="str">
        <f>'Long-form'!AN147</f>
        <v>YSD</v>
      </c>
      <c r="S147" s="55">
        <f>'Long-form'!AP147</f>
        <v>0.57749458871923642</v>
      </c>
      <c r="T147" s="55">
        <f>'Long-form'!AQ147</f>
        <v>0.57749458871923642</v>
      </c>
      <c r="U147" t="str">
        <f>'Long-form'!BC147</f>
        <v>-1</v>
      </c>
      <c r="V147" t="str">
        <f>'Long-form'!BD147</f>
        <v>5 = Sedimentary (e.g., deltaic, estuarine, wetland, lacustrine, marine facies)</v>
      </c>
      <c r="W147" t="str">
        <f>'Long-form'!BE147</f>
        <v>Subtidal deposit</v>
      </c>
      <c r="X147" t="str">
        <f>'Long-form'!BF147</f>
        <v>Oyster shell muddy sediment (author interpretation only)</v>
      </c>
      <c r="Y147" t="str">
        <f>'Long-form'!BH147</f>
        <v>&lt;MTL</v>
      </c>
      <c r="Z147" s="55">
        <f>'Long-form'!BT147</f>
        <v>-13.767849360000001</v>
      </c>
      <c r="AA147" s="55">
        <f>'Long-form'!BU147</f>
        <v>0.57965506984757753</v>
      </c>
      <c r="AB147" s="55">
        <f>'Long-form'!BV147</f>
        <v>0.57965506984757753</v>
      </c>
      <c r="AC147" s="55" t="str">
        <f>'Long-form'!BW147</f>
        <v>nd</v>
      </c>
      <c r="AD147" s="55" t="str">
        <f>'Long-form'!BX147</f>
        <v>nd</v>
      </c>
      <c r="AE147" s="55" t="str">
        <f>'Long-form'!BY147</f>
        <v>nd</v>
      </c>
      <c r="AF147" t="str">
        <f>'Long-form'!BZ147</f>
        <v>nd</v>
      </c>
      <c r="AG147">
        <f>'Long-form'!CB147</f>
        <v>0</v>
      </c>
      <c r="AH147">
        <f>'Long-form'!CD147</f>
        <v>0</v>
      </c>
      <c r="AI147" t="e">
        <f>'Long-form'!#REF!</f>
        <v>#REF!</v>
      </c>
    </row>
    <row r="148" spans="1:35">
      <c r="A148" t="str">
        <f>'Long-form'!A148</f>
        <v>KWG-171</v>
      </c>
      <c r="B148" t="str">
        <f>'Long-form'!B148</f>
        <v>Huang et al. 1986</v>
      </c>
      <c r="C148" t="str">
        <f>'Long-form'!C148</f>
        <v>9a</v>
      </c>
      <c r="D148" t="str">
        <f>'Long-form'!D148</f>
        <v>E_PRD</v>
      </c>
      <c r="E148" s="55">
        <f>'Long-form'!E148</f>
        <v>22.75102</v>
      </c>
      <c r="F148" s="55">
        <f>'Long-form'!F148</f>
        <v>113.89887</v>
      </c>
      <c r="G148" t="str">
        <f>'Long-form'!G148</f>
        <v>1 = Radiocarbon</v>
      </c>
      <c r="H148" s="56">
        <f>'Long-form'!H148</f>
        <v>5610.681864716249</v>
      </c>
      <c r="I148" s="56">
        <f>'Long-form'!I148</f>
        <v>178.67021913010572</v>
      </c>
      <c r="J148" s="56">
        <f>'Long-form'!J148</f>
        <v>5819</v>
      </c>
      <c r="K148" s="56">
        <f>'Long-form'!K148</f>
        <v>446</v>
      </c>
      <c r="L148" s="56">
        <f>'Long-form'!L148</f>
        <v>417</v>
      </c>
      <c r="M148" s="56" t="str">
        <f>'Long-form'!Q148</f>
        <v>regressive</v>
      </c>
      <c r="N148" s="55">
        <f>'Long-form'!R148</f>
        <v>10.4</v>
      </c>
      <c r="O148" s="55" t="str">
        <f>'Long-form'!S148</f>
        <v>nd</v>
      </c>
      <c r="P148" s="55">
        <f>'Long-form'!T148</f>
        <v>1</v>
      </c>
      <c r="Q148" s="55">
        <f>'Long-form'!AM148</f>
        <v>-12.2</v>
      </c>
      <c r="R148" s="55" t="str">
        <f>'Long-form'!AN148</f>
        <v>YSD</v>
      </c>
      <c r="S148" s="55">
        <f>'Long-form'!AP148</f>
        <v>0.57303054019833877</v>
      </c>
      <c r="T148" s="55">
        <f>'Long-form'!AQ148</f>
        <v>0.57303054019833877</v>
      </c>
      <c r="U148" t="str">
        <f>'Long-form'!BC148</f>
        <v>-1</v>
      </c>
      <c r="V148" t="str">
        <f>'Long-form'!BD148</f>
        <v>5 = Sedimentary (e.g., deltaic, estuarine, wetland, lacustrine, marine facies)</v>
      </c>
      <c r="W148" t="str">
        <f>'Long-form'!BE148</f>
        <v>Subtidal deposit</v>
      </c>
      <c r="X148" t="str">
        <f>'Long-form'!BF148</f>
        <v>Oyster shell muddy sediment (author interpretation only)</v>
      </c>
      <c r="Y148" t="str">
        <f>'Long-form'!BH148</f>
        <v>&lt;MTL</v>
      </c>
      <c r="Z148" s="55">
        <f>'Long-form'!BT148</f>
        <v>-12.16784936</v>
      </c>
      <c r="AA148" s="55">
        <f>'Long-form'!BU148</f>
        <v>0.57520778854254051</v>
      </c>
      <c r="AB148" s="55">
        <f>'Long-form'!BV148</f>
        <v>0.57520778854254051</v>
      </c>
      <c r="AC148" s="55" t="str">
        <f>'Long-form'!BW148</f>
        <v>nd</v>
      </c>
      <c r="AD148" s="55" t="str">
        <f>'Long-form'!BX148</f>
        <v>nd</v>
      </c>
      <c r="AE148" s="55" t="str">
        <f>'Long-form'!BY148</f>
        <v>nd</v>
      </c>
      <c r="AF148" t="str">
        <f>'Long-form'!BZ148</f>
        <v>nd</v>
      </c>
      <c r="AG148">
        <f>'Long-form'!CB148</f>
        <v>0</v>
      </c>
      <c r="AH148">
        <f>'Long-form'!CD148</f>
        <v>0</v>
      </c>
      <c r="AI148" t="e">
        <f>'Long-form'!#REF!</f>
        <v>#REF!</v>
      </c>
    </row>
    <row r="149" spans="1:35">
      <c r="A149" t="str">
        <f>'Long-form'!A149</f>
        <v>ZK-103</v>
      </c>
      <c r="B149" t="str">
        <f>'Long-form'!B149</f>
        <v>Li et al., 1991; Xiong et al. 2020</v>
      </c>
      <c r="C149" t="str">
        <f>'Long-form'!C149</f>
        <v>9a</v>
      </c>
      <c r="D149" t="str">
        <f>'Long-form'!D149</f>
        <v>E_PRD</v>
      </c>
      <c r="E149" s="55">
        <f>'Long-form'!E149</f>
        <v>23.201223555945901</v>
      </c>
      <c r="F149" s="55">
        <f>'Long-form'!F149</f>
        <v>113.850451345851</v>
      </c>
      <c r="G149" t="str">
        <f>'Long-form'!G149</f>
        <v>1 = Radiocarbon</v>
      </c>
      <c r="H149" s="56">
        <f>'Long-form'!H149</f>
        <v>4310.681864716249</v>
      </c>
      <c r="I149" s="56">
        <f>'Long-form'!I149</f>
        <v>106.52721344332629</v>
      </c>
      <c r="J149" s="56">
        <f>'Long-form'!J149</f>
        <v>4256</v>
      </c>
      <c r="K149" s="56">
        <f>'Long-form'!K149</f>
        <v>370</v>
      </c>
      <c r="L149" s="56">
        <f>'Long-form'!L149</f>
        <v>378</v>
      </c>
      <c r="M149" s="56" t="str">
        <f>'Long-form'!Q149</f>
        <v>transgressive</v>
      </c>
      <c r="N149" s="55" t="str">
        <f>'Long-form'!R149</f>
        <v>nd</v>
      </c>
      <c r="O149" s="55" t="str">
        <f>'Long-form'!S149</f>
        <v>nd</v>
      </c>
      <c r="P149" s="55">
        <f>'Long-form'!T149</f>
        <v>1</v>
      </c>
      <c r="Q149" s="55">
        <f>'Long-form'!AM149</f>
        <v>1.1000000000000001</v>
      </c>
      <c r="R149" s="55" t="str">
        <f>'Long-form'!AN149</f>
        <v>YSD</v>
      </c>
      <c r="S149" s="55">
        <f>'Long-form'!AP149</f>
        <v>0.5148786264742401</v>
      </c>
      <c r="T149" s="55">
        <f>'Long-form'!AQ149</f>
        <v>0.5148786264742401</v>
      </c>
      <c r="U149" t="str">
        <f>'Long-form'!BC149</f>
        <v xml:space="preserve">1 </v>
      </c>
      <c r="V149" t="str">
        <f>'Long-form'!BD149</f>
        <v>4 = Archeological</v>
      </c>
      <c r="W149" t="str">
        <f>'Long-form'!BE149</f>
        <v>Shell mount</v>
      </c>
      <c r="X149" t="str">
        <f>'Long-form'!BF149</f>
        <v>Archaeology</v>
      </c>
      <c r="Y149" t="str">
        <f>'Long-form'!BH149</f>
        <v>&gt;MHHW</v>
      </c>
      <c r="Z149" s="55">
        <f>'Long-form'!BT149</f>
        <v>-1.9833334999999952E-2</v>
      </c>
      <c r="AA149" s="55">
        <f>'Long-form'!BU149</f>
        <v>0.67727394752788184</v>
      </c>
      <c r="AB149" s="55">
        <f>'Long-form'!BV149</f>
        <v>0.67727394752788184</v>
      </c>
      <c r="AC149" s="55" t="str">
        <f>'Long-form'!BW149</f>
        <v>nd</v>
      </c>
      <c r="AD149" s="55" t="str">
        <f>'Long-form'!BX149</f>
        <v>nd</v>
      </c>
      <c r="AE149" s="55" t="str">
        <f>'Long-form'!BY149</f>
        <v>nd</v>
      </c>
      <c r="AF149" t="str">
        <f>'Long-form'!BZ149</f>
        <v>nd</v>
      </c>
      <c r="AG149">
        <f>'Long-form'!CB149</f>
        <v>0</v>
      </c>
      <c r="AH149">
        <f>'Long-form'!CD149</f>
        <v>0</v>
      </c>
      <c r="AI149" t="e">
        <f>'Long-form'!#REF!</f>
        <v>#REF!</v>
      </c>
    </row>
    <row r="150" spans="1:35">
      <c r="A150" t="str">
        <f>'Long-form'!A150</f>
        <v>KWG-222</v>
      </c>
      <c r="B150" t="str">
        <f>'Long-form'!B150</f>
        <v>Huang et al. 1983; Zong 2004</v>
      </c>
      <c r="C150" t="str">
        <f>'Long-form'!C150</f>
        <v>9a</v>
      </c>
      <c r="D150" t="str">
        <f>'Long-form'!D150</f>
        <v>E_PRD</v>
      </c>
      <c r="E150" s="55">
        <f>'Long-form'!E150</f>
        <v>22.766666666666701</v>
      </c>
      <c r="F150" s="55">
        <f>'Long-form'!F150</f>
        <v>113.816666666667</v>
      </c>
      <c r="G150" t="str">
        <f>'Long-form'!G150</f>
        <v>1 = Radiocarbon</v>
      </c>
      <c r="H150" s="56">
        <f>'Long-form'!H150</f>
        <v>1488.8105623511894</v>
      </c>
      <c r="I150" s="56">
        <f>'Long-form'!I150</f>
        <v>128.31418117460044</v>
      </c>
      <c r="J150" s="56">
        <f>'Long-form'!J150</f>
        <v>1393</v>
      </c>
      <c r="K150" s="56">
        <f>'Long-form'!K150</f>
        <v>304</v>
      </c>
      <c r="L150" s="56">
        <f>'Long-form'!L150</f>
        <v>266</v>
      </c>
      <c r="M150" s="56" t="str">
        <f>'Long-form'!Q150</f>
        <v>regressive</v>
      </c>
      <c r="N150" s="55">
        <f>'Long-form'!R150</f>
        <v>2.4</v>
      </c>
      <c r="O150" s="55">
        <f>'Long-form'!S150</f>
        <v>7.5</v>
      </c>
      <c r="P150" s="55">
        <f>'Long-form'!T150</f>
        <v>1</v>
      </c>
      <c r="Q150" s="55">
        <f>'Long-form'!AM150</f>
        <v>-1.1000000000000001</v>
      </c>
      <c r="R150" s="55" t="str">
        <f>'Long-form'!AN150</f>
        <v>YSD</v>
      </c>
      <c r="S150" s="55">
        <f>'Long-form'!AP150</f>
        <v>0.53610073680232895</v>
      </c>
      <c r="T150" s="55">
        <f>'Long-form'!AQ150</f>
        <v>0.53610073680232895</v>
      </c>
      <c r="U150" t="str">
        <f>'Long-form'!BC150</f>
        <v>0</v>
      </c>
      <c r="V150" t="str">
        <f>'Long-form'!BD150</f>
        <v>5 = Sedimentary (e.g., deltaic, estuarine, wetland, lacustrine, marine facies)</v>
      </c>
      <c r="W150" t="str">
        <f>'Long-form'!BE150</f>
        <v>Tidal flat deposit</v>
      </c>
      <c r="X150" t="str">
        <f>'Long-form'!BF150</f>
        <v>sediment texture, mollusc fossil</v>
      </c>
      <c r="Y150" t="str">
        <f>'Long-form'!BH150</f>
        <v>HAT-LAT</v>
      </c>
      <c r="Z150" s="55">
        <f>'Long-form'!BT150</f>
        <v>-0.65574696099999996</v>
      </c>
      <c r="AA150" s="55">
        <f>'Long-form'!BU150</f>
        <v>3.0378950112299488</v>
      </c>
      <c r="AB150" s="55">
        <f>'Long-form'!BV150</f>
        <v>3.0378950112299488</v>
      </c>
      <c r="AC150" s="55" t="str">
        <f>'Long-form'!BW150</f>
        <v>nd</v>
      </c>
      <c r="AD150" s="55" t="str">
        <f>'Long-form'!BX150</f>
        <v>nd</v>
      </c>
      <c r="AE150" s="55" t="str">
        <f>'Long-form'!BY150</f>
        <v>nd</v>
      </c>
      <c r="AF150" t="str">
        <f>'Long-form'!BZ150</f>
        <v>nd</v>
      </c>
      <c r="AG150">
        <f>'Long-form'!CB150</f>
        <v>0</v>
      </c>
      <c r="AH150">
        <f>'Long-form'!CD150</f>
        <v>0</v>
      </c>
      <c r="AI150" t="e">
        <f>'Long-form'!#REF!</f>
        <v>#REF!</v>
      </c>
    </row>
    <row r="151" spans="1:35">
      <c r="A151" t="str">
        <f>'Long-form'!A151</f>
        <v>KWG-175</v>
      </c>
      <c r="B151" t="str">
        <f>'Long-form'!B151</f>
        <v>Xu et al. 1983; Huang et al. 1983; Zong 2004</v>
      </c>
      <c r="C151" t="str">
        <f>'Long-form'!C151</f>
        <v>9a</v>
      </c>
      <c r="D151" t="str">
        <f>'Long-form'!D151</f>
        <v>E_PRD</v>
      </c>
      <c r="E151" s="55">
        <f>'Long-form'!E151</f>
        <v>22.6666666666667</v>
      </c>
      <c r="F151" s="55">
        <f>'Long-form'!F151</f>
        <v>113.8</v>
      </c>
      <c r="G151" t="str">
        <f>'Long-form'!G151</f>
        <v>1 = Radiocarbon</v>
      </c>
      <c r="H151" s="56">
        <f>'Long-form'!H151</f>
        <v>1158.8105623511899</v>
      </c>
      <c r="I151" s="56">
        <f>'Long-form'!I151</f>
        <v>134.77584757851901</v>
      </c>
      <c r="J151" s="56">
        <f>'Long-form'!J151</f>
        <v>1075</v>
      </c>
      <c r="K151" s="56">
        <f>'Long-form'!K151</f>
        <v>227</v>
      </c>
      <c r="L151" s="56">
        <f>'Long-form'!L151</f>
        <v>284</v>
      </c>
      <c r="M151" s="56" t="str">
        <f>'Long-form'!Q151</f>
        <v>transgressive</v>
      </c>
      <c r="N151" s="55">
        <f>'Long-form'!R151</f>
        <v>1.55</v>
      </c>
      <c r="O151" s="55" t="str">
        <f>'Long-form'!S151</f>
        <v>nd</v>
      </c>
      <c r="P151" s="55">
        <f>'Long-form'!T151</f>
        <v>1</v>
      </c>
      <c r="Q151" s="55">
        <f>'Long-form'!AM151</f>
        <v>-3.6</v>
      </c>
      <c r="R151" s="55" t="str">
        <f>'Long-form'!AN151</f>
        <v>YSD</v>
      </c>
      <c r="S151" s="55">
        <f>'Long-form'!AP151</f>
        <v>0.53484670701052284</v>
      </c>
      <c r="T151" s="55">
        <f>'Long-form'!AQ151</f>
        <v>0.53484670701052284</v>
      </c>
      <c r="U151" t="str">
        <f>'Long-form'!BC151</f>
        <v>-1</v>
      </c>
      <c r="V151" t="str">
        <f>'Long-form'!BD151</f>
        <v>5 = Sedimentary (e.g., deltaic, estuarine, wetland, lacustrine, marine facies)</v>
      </c>
      <c r="W151" t="str">
        <f>'Long-form'!BE151</f>
        <v>Subtidal deposit</v>
      </c>
      <c r="X151" t="str">
        <f>'Long-form'!BF151</f>
        <v>sediment texture and diatom assemblage</v>
      </c>
      <c r="Y151" t="str">
        <f>'Long-form'!BH151</f>
        <v>&lt;MTL</v>
      </c>
      <c r="Z151" s="55">
        <f>'Long-form'!BT151</f>
        <v>-3.5625</v>
      </c>
      <c r="AA151" s="55">
        <f>'Long-form'!BU151</f>
        <v>0.53717874120259079</v>
      </c>
      <c r="AB151" s="55">
        <f>'Long-form'!BV151</f>
        <v>0.53717874120259079</v>
      </c>
      <c r="AC151" s="55" t="str">
        <f>'Long-form'!BW151</f>
        <v>nd</v>
      </c>
      <c r="AD151" s="55" t="str">
        <f>'Long-form'!BX151</f>
        <v>nd</v>
      </c>
      <c r="AE151" s="55" t="str">
        <f>'Long-form'!BY151</f>
        <v>nd</v>
      </c>
      <c r="AF151" t="str">
        <f>'Long-form'!BZ151</f>
        <v>nd</v>
      </c>
      <c r="AG151">
        <f>'Long-form'!CB151</f>
        <v>0</v>
      </c>
      <c r="AH151">
        <f>'Long-form'!CD151</f>
        <v>0</v>
      </c>
      <c r="AI151" t="e">
        <f>'Long-form'!#REF!</f>
        <v>#REF!</v>
      </c>
    </row>
    <row r="152" spans="1:35">
      <c r="A152" t="str">
        <f>'Long-form'!A152</f>
        <v>KWG-176</v>
      </c>
      <c r="B152" t="str">
        <f>'Long-form'!B152</f>
        <v>Xu et al. 1983; Huang et al. 1983; Zong 2004</v>
      </c>
      <c r="C152" t="str">
        <f>'Long-form'!C152</f>
        <v>9a</v>
      </c>
      <c r="D152" t="str">
        <f>'Long-form'!D152</f>
        <v>E_PRD</v>
      </c>
      <c r="E152" s="55">
        <f>'Long-form'!E152</f>
        <v>22.6666666666667</v>
      </c>
      <c r="F152" s="55">
        <f>'Long-form'!F152</f>
        <v>113.8</v>
      </c>
      <c r="G152" t="str">
        <f>'Long-form'!G152</f>
        <v>1 = Radiocarbon</v>
      </c>
      <c r="H152" s="56">
        <f>'Long-form'!H152</f>
        <v>668.81056235118911</v>
      </c>
      <c r="I152" s="56">
        <f>'Long-form'!I152</f>
        <v>122.32959204750168</v>
      </c>
      <c r="J152" s="56">
        <f>'Long-form'!J152</f>
        <v>632</v>
      </c>
      <c r="K152" s="56">
        <f>'Long-form'!K152</f>
        <v>270</v>
      </c>
      <c r="L152" s="56">
        <f>'Long-form'!L152</f>
        <v>154</v>
      </c>
      <c r="M152" s="56" t="str">
        <f>'Long-form'!Q152</f>
        <v>transgressive</v>
      </c>
      <c r="N152" s="55">
        <f>'Long-form'!R152</f>
        <v>0.8</v>
      </c>
      <c r="O152" s="55" t="str">
        <f>'Long-form'!S152</f>
        <v>nd</v>
      </c>
      <c r="P152" s="55">
        <f>'Long-form'!T152</f>
        <v>1</v>
      </c>
      <c r="Q152" s="55">
        <f>'Long-form'!AM152</f>
        <v>-2.8</v>
      </c>
      <c r="R152" s="55" t="str">
        <f>'Long-form'!AN152</f>
        <v>YSD</v>
      </c>
      <c r="S152" s="55">
        <f>'Long-form'!AP152</f>
        <v>0.53418723309341642</v>
      </c>
      <c r="T152" s="55">
        <f>'Long-form'!AQ152</f>
        <v>0.53418723309341642</v>
      </c>
      <c r="U152" t="str">
        <f>'Long-form'!BC152</f>
        <v>-1</v>
      </c>
      <c r="V152" t="str">
        <f>'Long-form'!BD152</f>
        <v>5 = Sedimentary (e.g., deltaic, estuarine, wetland, lacustrine, marine facies)</v>
      </c>
      <c r="W152" t="str">
        <f>'Long-form'!BE152</f>
        <v>Subtidal deposit</v>
      </c>
      <c r="X152" t="str">
        <f>'Long-form'!BF152</f>
        <v>sediment texture and diatom assemblage</v>
      </c>
      <c r="Y152" t="str">
        <f>'Long-form'!BH152</f>
        <v>&lt;MTL</v>
      </c>
      <c r="Z152" s="55">
        <f>'Long-form'!BT152</f>
        <v>-2.7624999999999997</v>
      </c>
      <c r="AA152" s="55">
        <f>'Long-form'!BU152</f>
        <v>0.53652213374659574</v>
      </c>
      <c r="AB152" s="55">
        <f>'Long-form'!BV152</f>
        <v>0.53652213374659574</v>
      </c>
      <c r="AC152" s="55" t="str">
        <f>'Long-form'!BW152</f>
        <v>nd</v>
      </c>
      <c r="AD152" s="55" t="str">
        <f>'Long-form'!BX152</f>
        <v>nd</v>
      </c>
      <c r="AE152" s="55" t="str">
        <f>'Long-form'!BY152</f>
        <v>nd</v>
      </c>
      <c r="AF152" t="str">
        <f>'Long-form'!BZ152</f>
        <v>nd</v>
      </c>
      <c r="AG152">
        <f>'Long-form'!CB152</f>
        <v>0</v>
      </c>
      <c r="AH152">
        <f>'Long-form'!CD152</f>
        <v>0</v>
      </c>
      <c r="AI152" t="e">
        <f>'Long-form'!#REF!</f>
        <v>#REF!</v>
      </c>
    </row>
    <row r="153" spans="1:35">
      <c r="A153" t="str">
        <f>'Long-form'!A153</f>
        <v>KWG-232</v>
      </c>
      <c r="B153" t="str">
        <f>'Long-form'!B153</f>
        <v>Huang et al. 1986</v>
      </c>
      <c r="C153" t="str">
        <f>'Long-form'!C153</f>
        <v>9a</v>
      </c>
      <c r="D153" t="str">
        <f>'Long-form'!D153</f>
        <v>E_PRD</v>
      </c>
      <c r="E153" s="55">
        <f>'Long-form'!E153</f>
        <v>22.754470000000001</v>
      </c>
      <c r="F153" s="55">
        <f>'Long-form'!F153</f>
        <v>113.79058999999999</v>
      </c>
      <c r="G153" t="str">
        <f>'Long-form'!G153</f>
        <v>1 = Radiocarbon</v>
      </c>
      <c r="H153" s="56">
        <f>'Long-form'!H153</f>
        <v>6085.3589885814699</v>
      </c>
      <c r="I153" s="56">
        <f>'Long-form'!I153</f>
        <v>190.64615461330447</v>
      </c>
      <c r="J153" s="56">
        <f>'Long-form'!J153</f>
        <v>6950</v>
      </c>
      <c r="K153" s="56">
        <f>'Long-form'!K153</f>
        <v>468</v>
      </c>
      <c r="L153" s="56">
        <f>'Long-form'!L153</f>
        <v>453</v>
      </c>
      <c r="M153" s="56" t="str">
        <f>'Long-form'!Q153</f>
        <v>regressive</v>
      </c>
      <c r="N153" s="55">
        <f>'Long-form'!R153</f>
        <v>12.2</v>
      </c>
      <c r="O153" s="55" t="str">
        <f>'Long-form'!S153</f>
        <v>nd</v>
      </c>
      <c r="P153" s="55">
        <f>'Long-form'!T153</f>
        <v>1</v>
      </c>
      <c r="Q153" s="55">
        <f>'Long-form'!AM153</f>
        <v>-6.9</v>
      </c>
      <c r="R153" s="55" t="str">
        <f>'Long-form'!AN153</f>
        <v>YSD</v>
      </c>
      <c r="S153" s="55">
        <f>'Long-form'!AP153</f>
        <v>0.58705706707269945</v>
      </c>
      <c r="T153" s="55">
        <f>'Long-form'!AQ153</f>
        <v>0.58705706707269945</v>
      </c>
      <c r="U153" t="str">
        <f>'Long-form'!BC153</f>
        <v>0</v>
      </c>
      <c r="V153" t="str">
        <f>'Long-form'!BD153</f>
        <v>5 = Sedimentary (e.g., deltaic, estuarine, wetland, lacustrine, marine facies)</v>
      </c>
      <c r="W153" t="str">
        <f>'Long-form'!BE153</f>
        <v>Mangrove deposit</v>
      </c>
      <c r="X153" t="str">
        <f>'Long-form'!BF153</f>
        <v>Mangrove peat in core S2 based on author interpretation</v>
      </c>
      <c r="Y153" t="str">
        <f>'Long-form'!BH153</f>
        <v>HAT-MTL</v>
      </c>
      <c r="Z153" s="55">
        <f>'Long-form'!BT153</f>
        <v>-8.0527068540000002</v>
      </c>
      <c r="AA153" s="55">
        <f>'Long-form'!BU153</f>
        <v>1.6215425010716948</v>
      </c>
      <c r="AB153" s="55">
        <f>'Long-form'!BV153</f>
        <v>1.6215425010716948</v>
      </c>
      <c r="AC153" s="55" t="str">
        <f>'Long-form'!BW153</f>
        <v>nd</v>
      </c>
      <c r="AD153" s="55" t="str">
        <f>'Long-form'!BX153</f>
        <v>nd</v>
      </c>
      <c r="AE153" s="55" t="str">
        <f>'Long-form'!BY153</f>
        <v>nd</v>
      </c>
      <c r="AF153" t="str">
        <f>'Long-form'!BZ153</f>
        <v>nd</v>
      </c>
      <c r="AG153">
        <f>'Long-form'!CB153</f>
        <v>0</v>
      </c>
      <c r="AH153">
        <f>'Long-form'!CD153</f>
        <v>0</v>
      </c>
      <c r="AI153" t="e">
        <f>'Long-form'!#REF!</f>
        <v>#REF!</v>
      </c>
    </row>
    <row r="154" spans="1:35">
      <c r="A154" t="str">
        <f>'Long-form'!A154</f>
        <v>KWG-170</v>
      </c>
      <c r="B154" t="str">
        <f>'Long-form'!B154</f>
        <v>Huang et al. 1983; Zong 2004</v>
      </c>
      <c r="C154" t="str">
        <f>'Long-form'!C154</f>
        <v>9a</v>
      </c>
      <c r="D154" t="str">
        <f>'Long-form'!D154</f>
        <v>E_PRD</v>
      </c>
      <c r="E154" s="55">
        <f>'Long-form'!E154</f>
        <v>22.75</v>
      </c>
      <c r="F154" s="55">
        <f>'Long-form'!F154</f>
        <v>113.783333333333</v>
      </c>
      <c r="G154" t="str">
        <f>'Long-form'!G154</f>
        <v>1 = Radiocarbon</v>
      </c>
      <c r="H154" s="56">
        <f>'Long-form'!H154</f>
        <v>2430.6818647162477</v>
      </c>
      <c r="I154" s="56">
        <f>'Long-form'!I154</f>
        <v>106.52721344332629</v>
      </c>
      <c r="J154" s="56">
        <f>'Long-form'!J154</f>
        <v>1914</v>
      </c>
      <c r="K154" s="56">
        <f>'Long-form'!K154</f>
        <v>364</v>
      </c>
      <c r="L154" s="56">
        <f>'Long-form'!L154</f>
        <v>324</v>
      </c>
      <c r="M154" s="56" t="str">
        <f>'Long-form'!Q154</f>
        <v>regressive</v>
      </c>
      <c r="N154" s="55" t="str">
        <f>'Long-form'!R154</f>
        <v>nd</v>
      </c>
      <c r="O154" s="55" t="str">
        <f>'Long-form'!S154</f>
        <v>nd</v>
      </c>
      <c r="P154" s="55">
        <f>'Long-form'!T154</f>
        <v>1</v>
      </c>
      <c r="Q154" s="55">
        <f>'Long-form'!AM154</f>
        <v>-4.0999999999999996</v>
      </c>
      <c r="R154" s="55" t="str">
        <f>'Long-form'!AN154</f>
        <v>YSD</v>
      </c>
      <c r="S154" s="55">
        <f>'Long-form'!AP154</f>
        <v>0.57017541160593732</v>
      </c>
      <c r="T154" s="55">
        <f>'Long-form'!AQ154</f>
        <v>0.57017541160593732</v>
      </c>
      <c r="U154" t="str">
        <f>'Long-form'!BC154</f>
        <v>-1</v>
      </c>
      <c r="V154" t="str">
        <f>'Long-form'!BD154</f>
        <v>5 = Sedimentary (e.g., deltaic, estuarine, wetland, lacustrine, marine facies)</v>
      </c>
      <c r="W154" t="str">
        <f>'Long-form'!BE154</f>
        <v>Marine deposit</v>
      </c>
      <c r="X154" t="str">
        <f>'Long-form'!BF154</f>
        <v>Sediment texture, grain size, microfossil, geochemistry</v>
      </c>
      <c r="Y154" t="str">
        <f>'Long-form'!BH154</f>
        <v>&lt;MTL</v>
      </c>
      <c r="Z154" s="55">
        <f>'Long-form'!BT154</f>
        <v>-4.067081666</v>
      </c>
      <c r="AA154" s="55">
        <f>'Long-form'!BU154</f>
        <v>0.5723635208501674</v>
      </c>
      <c r="AB154" s="55">
        <f>'Long-form'!BV154</f>
        <v>0.5723635208501674</v>
      </c>
      <c r="AC154" s="55" t="str">
        <f>'Long-form'!BW154</f>
        <v>nd</v>
      </c>
      <c r="AD154" s="55" t="str">
        <f>'Long-form'!BX154</f>
        <v>nd</v>
      </c>
      <c r="AE154" s="55" t="str">
        <f>'Long-form'!BY154</f>
        <v>nd</v>
      </c>
      <c r="AF154" t="str">
        <f>'Long-form'!BZ154</f>
        <v>nd</v>
      </c>
      <c r="AG154">
        <f>'Long-form'!CB154</f>
        <v>0</v>
      </c>
      <c r="AH154">
        <f>'Long-form'!CD154</f>
        <v>0</v>
      </c>
      <c r="AI154" t="e">
        <f>'Long-form'!#REF!</f>
        <v>#REF!</v>
      </c>
    </row>
    <row r="155" spans="1:35">
      <c r="A155" t="str">
        <f>'Long-form'!A155</f>
        <v>KWG-227</v>
      </c>
      <c r="B155" t="str">
        <f>'Long-form'!B155</f>
        <v>Huang et al. 1983; Zong 2004</v>
      </c>
      <c r="C155" t="str">
        <f>'Long-form'!C155</f>
        <v>9a</v>
      </c>
      <c r="D155" t="str">
        <f>'Long-form'!D155</f>
        <v>E_PRD</v>
      </c>
      <c r="E155" s="55">
        <f>'Long-form'!E155</f>
        <v>22.75</v>
      </c>
      <c r="F155" s="55">
        <f>'Long-form'!F155</f>
        <v>113.783333333333</v>
      </c>
      <c r="G155" t="str">
        <f>'Long-form'!G155</f>
        <v>1 = Radiocarbon</v>
      </c>
      <c r="H155" s="56">
        <f>'Long-form'!H155</f>
        <v>818.81056235118888</v>
      </c>
      <c r="I155" s="56">
        <f>'Long-form'!I155</f>
        <v>116.89537668577053</v>
      </c>
      <c r="J155" s="56">
        <f>'Long-form'!J155</f>
        <v>756</v>
      </c>
      <c r="K155" s="56">
        <f>'Long-form'!K155</f>
        <v>199</v>
      </c>
      <c r="L155" s="56">
        <f>'Long-form'!L155</f>
        <v>201</v>
      </c>
      <c r="M155" s="56" t="str">
        <f>'Long-form'!Q155</f>
        <v>transgressive</v>
      </c>
      <c r="N155" s="55">
        <f>'Long-form'!R155</f>
        <v>0</v>
      </c>
      <c r="O155" s="55">
        <f>'Long-form'!S155</f>
        <v>0.5</v>
      </c>
      <c r="P155" s="55">
        <f>'Long-form'!T155</f>
        <v>1</v>
      </c>
      <c r="Q155" s="55">
        <f>'Long-form'!AM155</f>
        <v>1</v>
      </c>
      <c r="R155" s="55" t="str">
        <f>'Long-form'!AN155</f>
        <v>YSD</v>
      </c>
      <c r="S155" s="55">
        <f>'Long-form'!AP155</f>
        <v>0.53394756296849977</v>
      </c>
      <c r="T155" s="55">
        <f>'Long-form'!AQ155</f>
        <v>0.53394756296849977</v>
      </c>
      <c r="U155" t="str">
        <f>'Long-form'!BC155</f>
        <v>1</v>
      </c>
      <c r="V155" t="str">
        <f>'Long-form'!BD155</f>
        <v>5 = Sedimentary (e.g., deltaic, estuarine, wetland, lacustrine, marine facies)</v>
      </c>
      <c r="W155" t="str">
        <f>'Long-form'!BE155</f>
        <v>Brackish to freshwater swamp deposit</v>
      </c>
      <c r="X155" t="str">
        <f>'Long-form'!BF155</f>
        <v>field observation</v>
      </c>
      <c r="Y155" t="str">
        <f>'Long-form'!BH155</f>
        <v>&gt;MTL</v>
      </c>
      <c r="Z155" s="55">
        <f>'Long-form'!BT155</f>
        <v>1.0329183340000001</v>
      </c>
      <c r="AA155" s="55">
        <f>'Long-form'!BU155</f>
        <v>0.53628350711167694</v>
      </c>
      <c r="AB155" s="55">
        <f>'Long-form'!BV155</f>
        <v>0.53628350711167694</v>
      </c>
      <c r="AC155" s="55" t="str">
        <f>'Long-form'!BW155</f>
        <v>nd</v>
      </c>
      <c r="AD155" s="55" t="str">
        <f>'Long-form'!BX155</f>
        <v>nd</v>
      </c>
      <c r="AE155" s="55" t="str">
        <f>'Long-form'!BY155</f>
        <v>nd</v>
      </c>
      <c r="AF155" t="str">
        <f>'Long-form'!BZ155</f>
        <v>nd</v>
      </c>
      <c r="AG155">
        <f>'Long-form'!CB155</f>
        <v>0</v>
      </c>
      <c r="AH155">
        <f>'Long-form'!CD155</f>
        <v>0</v>
      </c>
      <c r="AI155" t="e">
        <f>'Long-form'!#REF!</f>
        <v>#REF!</v>
      </c>
    </row>
    <row r="156" spans="1:35">
      <c r="A156" t="str">
        <f>'Long-form'!A156</f>
        <v>KWG-167</v>
      </c>
      <c r="B156" t="str">
        <f>'Long-form'!B156</f>
        <v>Xu et al. 1985; Li et al. 1991; Zong 2004</v>
      </c>
      <c r="C156" t="str">
        <f>'Long-form'!C156</f>
        <v>9a</v>
      </c>
      <c r="D156" t="str">
        <f>'Long-form'!D156</f>
        <v>E_PRD</v>
      </c>
      <c r="E156" s="55">
        <f>'Long-form'!E156</f>
        <v>22.8</v>
      </c>
      <c r="F156" s="55">
        <f>'Long-form'!F156</f>
        <v>113.75</v>
      </c>
      <c r="G156" t="str">
        <f>'Long-form'!G156</f>
        <v>1 = Radiocarbon</v>
      </c>
      <c r="H156" s="56">
        <f>'Long-form'!H156</f>
        <v>3598.8105623511897</v>
      </c>
      <c r="I156" s="56">
        <f>'Long-form'!I156</f>
        <v>148.87756409381564</v>
      </c>
      <c r="J156" s="56">
        <f>'Long-form'!J156</f>
        <v>3913</v>
      </c>
      <c r="K156" s="56">
        <f>'Long-form'!K156</f>
        <v>468</v>
      </c>
      <c r="L156" s="56">
        <f>'Long-form'!L156</f>
        <v>420</v>
      </c>
      <c r="M156" s="56">
        <f>'Long-form'!Q156</f>
        <v>0</v>
      </c>
      <c r="N156" s="55">
        <f>'Long-form'!R156</f>
        <v>1.4</v>
      </c>
      <c r="O156" s="55" t="str">
        <f>'Long-form'!S156</f>
        <v>nd</v>
      </c>
      <c r="P156" s="55">
        <f>'Long-form'!T156</f>
        <v>1</v>
      </c>
      <c r="Q156" s="55">
        <f>'Long-form'!AM156</f>
        <v>-4.7</v>
      </c>
      <c r="R156" s="55" t="str">
        <f>'Long-form'!AN156</f>
        <v>YSD</v>
      </c>
      <c r="S156" s="55">
        <f>'Long-form'!AP156</f>
        <v>0.53468121343469699</v>
      </c>
      <c r="T156" s="55">
        <f>'Long-form'!AQ156</f>
        <v>0.53468121343469699</v>
      </c>
      <c r="U156" t="str">
        <f>'Long-form'!BC156</f>
        <v>-1</v>
      </c>
      <c r="V156" t="str">
        <f>'Long-form'!BD156</f>
        <v>5 = Sedimentary (e.g., deltaic, estuarine, wetland, lacustrine, marine facies)</v>
      </c>
      <c r="W156" t="str">
        <f>'Long-form'!BE156</f>
        <v>Subtidal deposit</v>
      </c>
      <c r="X156" t="str">
        <f>'Long-form'!BF156</f>
        <v>sediment texture and diatom assemblage</v>
      </c>
      <c r="Y156" t="str">
        <f>'Long-form'!BH156</f>
        <v>&lt;MTL</v>
      </c>
      <c r="Z156" s="55">
        <f>'Long-form'!BT156</f>
        <v>-4.668762955</v>
      </c>
      <c r="AA156" s="55">
        <f>'Long-form'!BU156</f>
        <v>0.53701396629882914</v>
      </c>
      <c r="AB156" s="55">
        <f>'Long-form'!BV156</f>
        <v>0.53701396629882914</v>
      </c>
      <c r="AC156" s="55" t="str">
        <f>'Long-form'!BW156</f>
        <v>nd</v>
      </c>
      <c r="AD156" s="55" t="str">
        <f>'Long-form'!BX156</f>
        <v>nd</v>
      </c>
      <c r="AE156" s="55" t="str">
        <f>'Long-form'!BY156</f>
        <v>nd</v>
      </c>
      <c r="AF156" t="str">
        <f>'Long-form'!BZ156</f>
        <v>nd</v>
      </c>
      <c r="AG156">
        <f>'Long-form'!CB156</f>
        <v>0</v>
      </c>
      <c r="AH156">
        <f>'Long-form'!CD156</f>
        <v>0</v>
      </c>
      <c r="AI156" t="e">
        <f>'Long-form'!#REF!</f>
        <v>#REF!</v>
      </c>
    </row>
    <row r="157" spans="1:35">
      <c r="A157" t="str">
        <f>'Long-form'!A157</f>
        <v>KWG-172</v>
      </c>
      <c r="B157" t="str">
        <f>'Long-form'!B157</f>
        <v>Xu et al. 1985; Li et al. 1991; Zong 2004</v>
      </c>
      <c r="C157" t="str">
        <f>'Long-form'!C157</f>
        <v>9a</v>
      </c>
      <c r="D157" t="str">
        <f>'Long-form'!D157</f>
        <v>E_PRD</v>
      </c>
      <c r="E157" s="55">
        <f>'Long-form'!E157</f>
        <v>22.766666666666701</v>
      </c>
      <c r="F157" s="55">
        <f>'Long-form'!F157</f>
        <v>113.75</v>
      </c>
      <c r="G157" t="str">
        <f>'Long-form'!G157</f>
        <v>1 = Radiocarbon</v>
      </c>
      <c r="H157" s="56">
        <f>'Long-form'!H157</f>
        <v>988.81056235118899</v>
      </c>
      <c r="I157" s="56">
        <f>'Long-form'!I157</f>
        <v>116.89537668577053</v>
      </c>
      <c r="J157" s="56">
        <f>'Long-form'!J157</f>
        <v>892</v>
      </c>
      <c r="K157" s="56">
        <f>'Long-form'!K157</f>
        <v>283</v>
      </c>
      <c r="L157" s="56">
        <f>'Long-form'!L157</f>
        <v>210</v>
      </c>
      <c r="M157" s="56" t="str">
        <f>'Long-form'!Q157</f>
        <v>transgressive</v>
      </c>
      <c r="N157" s="55">
        <f>'Long-form'!R157</f>
        <v>0.8</v>
      </c>
      <c r="O157" s="55" t="str">
        <f>'Long-form'!S157</f>
        <v>nd</v>
      </c>
      <c r="P157" s="55">
        <f>'Long-form'!T157</f>
        <v>1</v>
      </c>
      <c r="Q157" s="55">
        <f>'Long-form'!AM157</f>
        <v>-3.9</v>
      </c>
      <c r="R157" s="55" t="str">
        <f>'Long-form'!AN157</f>
        <v>YSD</v>
      </c>
      <c r="S157" s="55">
        <f>'Long-form'!AP157</f>
        <v>0.53418723309341642</v>
      </c>
      <c r="T157" s="55">
        <f>'Long-form'!AQ157</f>
        <v>0.53418723309341642</v>
      </c>
      <c r="U157" t="str">
        <f>'Long-form'!BC157</f>
        <v>-1</v>
      </c>
      <c r="V157" t="str">
        <f>'Long-form'!BD157</f>
        <v>5 = Sedimentary (e.g., deltaic, estuarine, wetland, lacustrine, marine facies)</v>
      </c>
      <c r="W157" t="str">
        <f>'Long-form'!BE157</f>
        <v>Subtidal deposit</v>
      </c>
      <c r="X157" t="str">
        <f>'Long-form'!BF157</f>
        <v>sediment texture and diatom assemblage</v>
      </c>
      <c r="Y157" t="str">
        <f>'Long-form'!BH157</f>
        <v>&lt;MTL</v>
      </c>
      <c r="Z157" s="55">
        <f>'Long-form'!BT157</f>
        <v>-3.8673075199999998</v>
      </c>
      <c r="AA157" s="55">
        <f>'Long-form'!BU157</f>
        <v>0.53652213374659574</v>
      </c>
      <c r="AB157" s="55">
        <f>'Long-form'!BV157</f>
        <v>0.53652213374659574</v>
      </c>
      <c r="AC157" s="55" t="str">
        <f>'Long-form'!BW157</f>
        <v>nd</v>
      </c>
      <c r="AD157" s="55" t="str">
        <f>'Long-form'!BX157</f>
        <v>nd</v>
      </c>
      <c r="AE157" s="55" t="str">
        <f>'Long-form'!BY157</f>
        <v>nd</v>
      </c>
      <c r="AF157" t="str">
        <f>'Long-form'!BZ157</f>
        <v>nd</v>
      </c>
      <c r="AG157">
        <f>'Long-form'!CB157</f>
        <v>0</v>
      </c>
      <c r="AH157">
        <f>'Long-form'!CD157</f>
        <v>0</v>
      </c>
      <c r="AI157" t="e">
        <f>'Long-form'!#REF!</f>
        <v>#REF!</v>
      </c>
    </row>
    <row r="158" spans="1:35">
      <c r="A158" t="str">
        <f>'Long-form'!A158</f>
        <v>KWG-173</v>
      </c>
      <c r="B158" t="str">
        <f>'Long-form'!B158</f>
        <v>Xu et al. 1985; Li et al. 1991; Zong 2004</v>
      </c>
      <c r="C158" t="str">
        <f>'Long-form'!C158</f>
        <v>9a</v>
      </c>
      <c r="D158" t="str">
        <f>'Long-form'!D158</f>
        <v>E_PRD</v>
      </c>
      <c r="E158" s="55">
        <f>'Long-form'!E158</f>
        <v>22.8</v>
      </c>
      <c r="F158" s="55">
        <f>'Long-form'!F158</f>
        <v>113.75</v>
      </c>
      <c r="G158" t="str">
        <f>'Long-form'!G158</f>
        <v>1 = Radiocarbon</v>
      </c>
      <c r="H158" s="56">
        <f>'Long-form'!H158</f>
        <v>6058.8105623511892</v>
      </c>
      <c r="I158" s="56">
        <f>'Long-form'!I158</f>
        <v>180.45644651967461</v>
      </c>
      <c r="J158" s="56">
        <f>'Long-form'!J158</f>
        <v>6302</v>
      </c>
      <c r="K158" s="56">
        <f>'Long-form'!K158</f>
        <v>456</v>
      </c>
      <c r="L158" s="56">
        <f>'Long-form'!L158</f>
        <v>437</v>
      </c>
      <c r="M158" s="56" t="str">
        <f>'Long-form'!Q158</f>
        <v>transgressive</v>
      </c>
      <c r="N158" s="55">
        <f>'Long-form'!R158</f>
        <v>2.02</v>
      </c>
      <c r="O158" s="55" t="str">
        <f>'Long-form'!S158</f>
        <v>nd</v>
      </c>
      <c r="P158" s="55">
        <f>'Long-form'!T158</f>
        <v>1</v>
      </c>
      <c r="Q158" s="55">
        <f>'Long-form'!AM158</f>
        <v>-5.9</v>
      </c>
      <c r="R158" s="55" t="str">
        <f>'Long-form'!AN158</f>
        <v>YSD</v>
      </c>
      <c r="S158" s="55">
        <f>'Long-form'!AP158</f>
        <v>0.53547377153320963</v>
      </c>
      <c r="T158" s="55">
        <f>'Long-form'!AQ158</f>
        <v>0.53547377153320963</v>
      </c>
      <c r="U158" t="str">
        <f>'Long-form'!BC158</f>
        <v>-1</v>
      </c>
      <c r="V158" t="str">
        <f>'Long-form'!BD158</f>
        <v>5 = Sedimentary (e.g., deltaic, estuarine, wetland, lacustrine, marine facies)</v>
      </c>
      <c r="W158" t="str">
        <f>'Long-form'!BE158</f>
        <v>Subtidal deposit</v>
      </c>
      <c r="X158" t="str">
        <f>'Long-form'!BF158</f>
        <v>sediment texture and diatom assemblage</v>
      </c>
      <c r="Y158" t="str">
        <f>'Long-form'!BH158</f>
        <v>&lt;MTL</v>
      </c>
      <c r="Z158" s="55">
        <f>'Long-form'!BT158</f>
        <v>-5.8687629550000002</v>
      </c>
      <c r="AA158" s="55">
        <f>'Long-form'!BU158</f>
        <v>0.53780308664045429</v>
      </c>
      <c r="AB158" s="55">
        <f>'Long-form'!BV158</f>
        <v>0.53780308664045429</v>
      </c>
      <c r="AC158" s="55" t="str">
        <f>'Long-form'!BW158</f>
        <v>nd</v>
      </c>
      <c r="AD158" s="55" t="str">
        <f>'Long-form'!BX158</f>
        <v>nd</v>
      </c>
      <c r="AE158" s="55" t="str">
        <f>'Long-form'!BY158</f>
        <v>nd</v>
      </c>
      <c r="AF158" t="str">
        <f>'Long-form'!BZ158</f>
        <v>nd</v>
      </c>
      <c r="AG158">
        <f>'Long-form'!CB158</f>
        <v>0</v>
      </c>
      <c r="AH158">
        <f>'Long-form'!CD158</f>
        <v>0</v>
      </c>
      <c r="AI158" t="e">
        <f>'Long-form'!#REF!</f>
        <v>#REF!</v>
      </c>
    </row>
    <row r="159" spans="1:35" ht="17" customHeight="1">
      <c r="A159" t="str">
        <f>'Long-form'!A159</f>
        <v>DGST1</v>
      </c>
      <c r="B159" t="str">
        <f>'Long-form'!B159</f>
        <v>Huang et al. 1986</v>
      </c>
      <c r="C159" t="str">
        <f>'Long-form'!C159</f>
        <v>9a</v>
      </c>
      <c r="D159" t="str">
        <f>'Long-form'!D159</f>
        <v>E_PRD</v>
      </c>
      <c r="E159" s="55">
        <f>'Long-form'!E159</f>
        <v>22.918780000000002</v>
      </c>
      <c r="F159" s="55">
        <f>'Long-form'!F159</f>
        <v>113.61955</v>
      </c>
      <c r="G159" t="str">
        <f>'Long-form'!G159</f>
        <v>1 = Radiocarbon</v>
      </c>
      <c r="H159" s="56">
        <f>'Long-form'!H159</f>
        <v>1443.9526305170129</v>
      </c>
      <c r="I159" s="56">
        <f>'Long-form'!I159</f>
        <v>94.53198925993253</v>
      </c>
      <c r="J159" s="56">
        <f>'Long-form'!J159</f>
        <v>1347</v>
      </c>
      <c r="K159" s="56">
        <f>'Long-form'!K159</f>
        <v>185</v>
      </c>
      <c r="L159" s="56">
        <f>'Long-form'!L159</f>
        <v>170</v>
      </c>
      <c r="M159" s="56" t="str">
        <f>'Long-form'!Q159</f>
        <v>regressive</v>
      </c>
      <c r="N159" s="55">
        <f>'Long-form'!R159</f>
        <v>3.02</v>
      </c>
      <c r="O159" s="55" t="str">
        <f>'Long-form'!S159</f>
        <v>nd</v>
      </c>
      <c r="P159" s="55">
        <f>'Long-form'!T159</f>
        <v>1</v>
      </c>
      <c r="Q159" s="55">
        <f>'Long-form'!AM159</f>
        <v>-3.5</v>
      </c>
      <c r="R159" s="55" t="str">
        <f>'Long-form'!AN159</f>
        <v>YSD</v>
      </c>
      <c r="S159" s="55">
        <f>'Long-form'!AP159</f>
        <v>0.53735291941144236</v>
      </c>
      <c r="T159" s="55">
        <f>'Long-form'!AQ159</f>
        <v>0.53735291941144236</v>
      </c>
      <c r="U159" t="str">
        <f>'Long-form'!BC159</f>
        <v>-1</v>
      </c>
      <c r="V159" t="str">
        <f>'Long-form'!BD159</f>
        <v>5 = Sedimentary (e.g., deltaic, estuarine, wetland, lacustrine, marine facies)</v>
      </c>
      <c r="W159" t="str">
        <f>'Long-form'!BE159</f>
        <v>Marine deposit</v>
      </c>
      <c r="X159" t="str">
        <f>'Long-form'!BF159</f>
        <v>Rotten wood and muddy sediment (author interpretation only)</v>
      </c>
      <c r="Y159" t="str">
        <f>'Long-form'!BH159</f>
        <v>&lt;MTL</v>
      </c>
      <c r="Z159" s="55">
        <f>'Long-form'!BT159</f>
        <v>-3.494822192</v>
      </c>
      <c r="AA159" s="55">
        <f>'Long-form'!BU159</f>
        <v>0.53967412389329927</v>
      </c>
      <c r="AB159" s="55">
        <f>'Long-form'!BV159</f>
        <v>0.53967412389329927</v>
      </c>
      <c r="AC159" s="55" t="str">
        <f>'Long-form'!BW159</f>
        <v>nd</v>
      </c>
      <c r="AD159" s="55" t="str">
        <f>'Long-form'!BX159</f>
        <v>nd</v>
      </c>
      <c r="AE159" s="55" t="str">
        <f>'Long-form'!BY159</f>
        <v>nd</v>
      </c>
      <c r="AF159" t="str">
        <f>'Long-form'!BZ159</f>
        <v>nd</v>
      </c>
      <c r="AG159">
        <f>'Long-form'!CB159</f>
        <v>0</v>
      </c>
      <c r="AH159">
        <f>'Long-form'!CD159</f>
        <v>0</v>
      </c>
      <c r="AI159" t="e">
        <f>'Long-form'!#REF!</f>
        <v>#REF!</v>
      </c>
    </row>
    <row r="160" spans="1:35">
      <c r="A160" t="str">
        <f>'Long-form'!A160</f>
        <v>KWG-100</v>
      </c>
      <c r="B160" t="str">
        <f>'Long-form'!B160</f>
        <v>Li et al. 1991; Zong 2004</v>
      </c>
      <c r="C160" t="str">
        <f>'Long-form'!C160</f>
        <v>9a</v>
      </c>
      <c r="D160" t="str">
        <f>'Long-form'!D160</f>
        <v>E_PRD</v>
      </c>
      <c r="E160" s="55">
        <f>'Long-form'!E160</f>
        <v>23.066666666666666</v>
      </c>
      <c r="F160" s="55">
        <f>'Long-form'!F160</f>
        <v>113.61666666666666</v>
      </c>
      <c r="G160" t="str">
        <f>'Long-form'!G160</f>
        <v>1 = Radiocarbon</v>
      </c>
      <c r="H160" s="56">
        <f>'Long-form'!H160</f>
        <v>2698.8105623511892</v>
      </c>
      <c r="I160" s="56">
        <f>'Long-form'!I160</f>
        <v>180.45644651967461</v>
      </c>
      <c r="J160" s="56">
        <f>'Long-form'!J160</f>
        <v>2818</v>
      </c>
      <c r="K160" s="56">
        <f>'Long-form'!K160</f>
        <v>500</v>
      </c>
      <c r="L160" s="56">
        <f>'Long-form'!L160</f>
        <v>468</v>
      </c>
      <c r="M160" s="56" t="str">
        <f>'Long-form'!Q160</f>
        <v>transgressive</v>
      </c>
      <c r="N160" s="55">
        <f>'Long-form'!R160</f>
        <v>1.6</v>
      </c>
      <c r="O160" s="55">
        <f>'Long-form'!S160</f>
        <v>31</v>
      </c>
      <c r="P160" s="55">
        <f>'Long-form'!T160</f>
        <v>1</v>
      </c>
      <c r="Q160" s="55">
        <f>'Long-form'!AM160</f>
        <v>0.6</v>
      </c>
      <c r="R160" s="55" t="str">
        <f>'Long-form'!AN160</f>
        <v>YSD</v>
      </c>
      <c r="S160" s="55">
        <f>'Long-form'!AP160</f>
        <v>0.53490559914811131</v>
      </c>
      <c r="T160" s="55">
        <f>'Long-form'!AQ160</f>
        <v>0.53490559914811131</v>
      </c>
      <c r="U160" t="str">
        <f>'Long-form'!BC160</f>
        <v>0</v>
      </c>
      <c r="V160" t="str">
        <f>'Long-form'!BD160</f>
        <v>5 = Sedimentary (e.g., deltaic, estuarine, wetland, lacustrine, marine facies)</v>
      </c>
      <c r="W160" t="str">
        <f>'Long-form'!BE160</f>
        <v>Tidal flat deposit</v>
      </c>
      <c r="X160" t="str">
        <f>'Long-form'!BF160</f>
        <v>sediment texture and diatom assemblage</v>
      </c>
      <c r="Y160" t="str">
        <f>'Long-form'!BH160</f>
        <v>HAT-LAT</v>
      </c>
      <c r="Z160" s="55">
        <f>'Long-form'!BT160</f>
        <v>0.58830147050000015</v>
      </c>
      <c r="AA160" s="55">
        <f>'Long-form'!BU160</f>
        <v>2.3859003971334216</v>
      </c>
      <c r="AB160" s="55">
        <f>'Long-form'!BV160</f>
        <v>2.3859003971334216</v>
      </c>
      <c r="AC160" s="55" t="str">
        <f>'Long-form'!BW160</f>
        <v>nd</v>
      </c>
      <c r="AD160" s="55" t="str">
        <f>'Long-form'!BX160</f>
        <v>nd</v>
      </c>
      <c r="AE160" s="55" t="str">
        <f>'Long-form'!BY160</f>
        <v>nd</v>
      </c>
      <c r="AF160" t="str">
        <f>'Long-form'!BZ160</f>
        <v>nd</v>
      </c>
      <c r="AG160">
        <f>'Long-form'!CB160</f>
        <v>0</v>
      </c>
      <c r="AH160">
        <f>'Long-form'!CD160</f>
        <v>0</v>
      </c>
      <c r="AI160" t="e">
        <f>'Long-form'!#REF!</f>
        <v>#REF!</v>
      </c>
    </row>
    <row r="161" spans="1:35">
      <c r="A161" t="str">
        <f>'Long-form'!A161</f>
        <v>KWG-700</v>
      </c>
      <c r="B161" t="str">
        <f>'Long-form'!B161</f>
        <v>Li et al 1991; Zong et al. 2013</v>
      </c>
      <c r="C161" t="str">
        <f>'Long-form'!C161</f>
        <v>9a</v>
      </c>
      <c r="D161" t="str">
        <f>'Long-form'!D161</f>
        <v>E_PRD</v>
      </c>
      <c r="E161" s="55">
        <f>'Long-form'!E161</f>
        <v>22.934138900000001</v>
      </c>
      <c r="F161" s="55">
        <f>'Long-form'!F161</f>
        <v>113.4843056</v>
      </c>
      <c r="G161" t="str">
        <f>'Long-form'!G161</f>
        <v>1 = Radiocarbon</v>
      </c>
      <c r="H161" s="56">
        <f>'Long-form'!H161</f>
        <v>3871.2776368064242</v>
      </c>
      <c r="I161" s="56">
        <f>'Long-form'!I161</f>
        <v>138.26757352380201</v>
      </c>
      <c r="J161" s="56">
        <f>'Long-form'!J161</f>
        <v>4285</v>
      </c>
      <c r="K161" s="56">
        <f>'Long-form'!K161</f>
        <v>514</v>
      </c>
      <c r="L161" s="56">
        <f>'Long-form'!L161</f>
        <v>390</v>
      </c>
      <c r="M161" s="56" t="str">
        <f>'Long-form'!Q161</f>
        <v>transgressive</v>
      </c>
      <c r="N161" s="55">
        <f>'Long-form'!R161</f>
        <v>10.7</v>
      </c>
      <c r="O161" s="55" t="str">
        <f>'Long-form'!S161</f>
        <v>nd</v>
      </c>
      <c r="P161" s="55">
        <f>'Long-form'!T161</f>
        <v>1</v>
      </c>
      <c r="Q161" s="55">
        <f>'Long-form'!AM161</f>
        <v>-10.199999999999999</v>
      </c>
      <c r="R161" s="55" t="str">
        <f>'Long-form'!AN161</f>
        <v>YSD</v>
      </c>
      <c r="S161" s="55">
        <f>'Long-form'!AP161</f>
        <v>0.57523560390504347</v>
      </c>
      <c r="T161" s="55">
        <f>'Long-form'!AQ161</f>
        <v>0.57523560390504347</v>
      </c>
      <c r="U161" t="str">
        <f>'Long-form'!BC161</f>
        <v>-1</v>
      </c>
      <c r="V161" t="str">
        <f>'Long-form'!BD161</f>
        <v>5 = Sedimentary (e.g., deltaic, estuarine, wetland, lacustrine, marine facies)</v>
      </c>
      <c r="W161" t="str">
        <f>'Long-form'!BE161</f>
        <v>Tide-influenced environment</v>
      </c>
      <c r="X161" t="str">
        <f>'Long-form'!BF161</f>
        <v>Diatoms are dominated by brackish plantonic species &gt;85%</v>
      </c>
      <c r="Y161" t="str">
        <f>'Long-form'!BH161</f>
        <v>&lt;MTL</v>
      </c>
      <c r="Z161" s="55">
        <f>'Long-form'!BT161</f>
        <v>-10.176495976</v>
      </c>
      <c r="AA161" s="55">
        <f>'Long-form'!BU161</f>
        <v>0.57740453756443588</v>
      </c>
      <c r="AB161" s="55">
        <f>'Long-form'!BV161</f>
        <v>0.57740453756443588</v>
      </c>
      <c r="AC161" s="55" t="str">
        <f>'Long-form'!BW161</f>
        <v>nd</v>
      </c>
      <c r="AD161" s="55" t="str">
        <f>'Long-form'!BX161</f>
        <v>nd</v>
      </c>
      <c r="AE161" s="55" t="str">
        <f>'Long-form'!BY161</f>
        <v>nd</v>
      </c>
      <c r="AF161" t="str">
        <f>'Long-form'!BZ161</f>
        <v>nd</v>
      </c>
      <c r="AG161">
        <f>'Long-form'!CB161</f>
        <v>0</v>
      </c>
      <c r="AH161">
        <f>'Long-form'!CD161</f>
        <v>0</v>
      </c>
      <c r="AI161" t="e">
        <f>'Long-form'!#REF!</f>
        <v>#REF!</v>
      </c>
    </row>
    <row r="162" spans="1:35">
      <c r="A162" t="str">
        <f>'Long-form'!A162</f>
        <v>KWG-796</v>
      </c>
      <c r="B162" t="str">
        <f>'Long-form'!B162</f>
        <v>Li et al 1991; Zong et al. 2013</v>
      </c>
      <c r="C162" t="str">
        <f>'Long-form'!C162</f>
        <v>9a</v>
      </c>
      <c r="D162" t="str">
        <f>'Long-form'!D162</f>
        <v>E_PRD</v>
      </c>
      <c r="E162" s="55">
        <f>'Long-form'!E162</f>
        <v>22.934138900000001</v>
      </c>
      <c r="F162" s="55">
        <f>'Long-form'!F162</f>
        <v>113.4843056</v>
      </c>
      <c r="G162" t="str">
        <f>'Long-form'!G162</f>
        <v>1 = Radiocarbon</v>
      </c>
      <c r="H162" s="56">
        <f>'Long-form'!H162</f>
        <v>2351.2776368064251</v>
      </c>
      <c r="I162" s="56">
        <f>'Long-form'!I162</f>
        <v>134.88113985342798</v>
      </c>
      <c r="J162" s="56">
        <f>'Long-form'!J162</f>
        <v>2410</v>
      </c>
      <c r="K162" s="56">
        <f>'Long-form'!K162</f>
        <v>332</v>
      </c>
      <c r="L162" s="56">
        <f>'Long-form'!L162</f>
        <v>353</v>
      </c>
      <c r="M162" s="56" t="str">
        <f>'Long-form'!Q162</f>
        <v>transgressive</v>
      </c>
      <c r="N162" s="55">
        <f>'Long-form'!R162</f>
        <v>6.8</v>
      </c>
      <c r="O162" s="55" t="str">
        <f>'Long-form'!S162</f>
        <v>nd</v>
      </c>
      <c r="P162" s="55">
        <f>'Long-form'!T162</f>
        <v>1</v>
      </c>
      <c r="Q162" s="55">
        <f>'Long-form'!AM162</f>
        <v>-3.5</v>
      </c>
      <c r="R162" s="55" t="str">
        <f>'Long-form'!AN162</f>
        <v>YSD</v>
      </c>
      <c r="S162" s="55">
        <f>'Long-form'!AP162</f>
        <v>0.55099546277623745</v>
      </c>
      <c r="T162" s="55">
        <f>'Long-form'!AQ162</f>
        <v>0.55099546277623745</v>
      </c>
      <c r="U162" t="str">
        <f>'Long-form'!BC162</f>
        <v>-1</v>
      </c>
      <c r="V162" t="str">
        <f>'Long-form'!BD162</f>
        <v>5 = Sedimentary (e.g., deltaic, estuarine, wetland, lacustrine, marine facies)</v>
      </c>
      <c r="W162" t="str">
        <f>'Long-form'!BE162</f>
        <v>Subtidal deposit</v>
      </c>
      <c r="X162" t="str">
        <f>'Long-form'!BF162</f>
        <v>Clay, organic matter</v>
      </c>
      <c r="Y162" t="str">
        <f>'Long-form'!BH162</f>
        <v>&lt;MTL</v>
      </c>
      <c r="Z162" s="55">
        <f>'Long-form'!BT162</f>
        <v>-3.4764959759999998</v>
      </c>
      <c r="AA162" s="55">
        <f>'Long-form'!BU162</f>
        <v>0.55325943281610668</v>
      </c>
      <c r="AB162" s="55">
        <f>'Long-form'!BV162</f>
        <v>0.55325943281610668</v>
      </c>
      <c r="AC162" s="55" t="str">
        <f>'Long-form'!BW162</f>
        <v>nd</v>
      </c>
      <c r="AD162" s="55" t="str">
        <f>'Long-form'!BX162</f>
        <v>nd</v>
      </c>
      <c r="AE162" s="55" t="str">
        <f>'Long-form'!BY162</f>
        <v>nd</v>
      </c>
      <c r="AF162" t="str">
        <f>'Long-form'!BZ162</f>
        <v>nd</v>
      </c>
      <c r="AG162">
        <f>'Long-form'!CB162</f>
        <v>0</v>
      </c>
      <c r="AH162">
        <f>'Long-form'!CD162</f>
        <v>0</v>
      </c>
      <c r="AI162" t="e">
        <f>'Long-form'!#REF!</f>
        <v>#REF!</v>
      </c>
    </row>
    <row r="163" spans="1:35">
      <c r="A163" t="str">
        <f>'Long-form'!A163</f>
        <v>KWG-693</v>
      </c>
      <c r="B163" t="str">
        <f>'Long-form'!B163</f>
        <v>Li et al 1991; Zong 2004; Zong et al. 2013</v>
      </c>
      <c r="C163" t="str">
        <f>'Long-form'!C163</f>
        <v>9a</v>
      </c>
      <c r="D163" t="str">
        <f>'Long-form'!D163</f>
        <v>E_PRD</v>
      </c>
      <c r="E163" s="55">
        <f>'Long-form'!E163</f>
        <v>22.93</v>
      </c>
      <c r="F163" s="55">
        <f>'Long-form'!F163</f>
        <v>113.35</v>
      </c>
      <c r="G163" t="str">
        <f>'Long-form'!G163</f>
        <v>1 = Radiocarbon</v>
      </c>
      <c r="H163" s="56">
        <f>'Long-form'!H163</f>
        <v>1700.681864716249</v>
      </c>
      <c r="I163" s="56">
        <f>'Long-form'!I163</f>
        <v>80.920004967869346</v>
      </c>
      <c r="J163" s="56">
        <f>'Long-form'!J163</f>
        <v>1105</v>
      </c>
      <c r="K163" s="56">
        <f>'Long-form'!K163</f>
        <v>239</v>
      </c>
      <c r="L163" s="56">
        <f>'Long-form'!L163</f>
        <v>253</v>
      </c>
      <c r="M163" s="56" t="str">
        <f>'Long-form'!Q163</f>
        <v>regressive</v>
      </c>
      <c r="N163" s="55">
        <f>'Long-form'!R163</f>
        <v>3.9</v>
      </c>
      <c r="O163" s="55">
        <f>'Long-form'!S163</f>
        <v>11.4</v>
      </c>
      <c r="P163" s="55">
        <f>'Long-form'!T163</f>
        <v>1</v>
      </c>
      <c r="Q163" s="55">
        <f>'Long-form'!AM163</f>
        <v>-2.7</v>
      </c>
      <c r="R163" s="55" t="str">
        <f>'Long-form'!AN163</f>
        <v>YSD</v>
      </c>
      <c r="S163" s="55">
        <f>'Long-form'!AP163</f>
        <v>0.53961467733930291</v>
      </c>
      <c r="T163" s="55">
        <f>'Long-form'!AQ163</f>
        <v>0.53961467733930291</v>
      </c>
      <c r="U163" t="str">
        <f>'Long-form'!BC163</f>
        <v>-1</v>
      </c>
      <c r="V163" t="str">
        <f>'Long-form'!BD163</f>
        <v>5 = Sedimentary (e.g., deltaic, estuarine, wetland, lacustrine, marine facies)</v>
      </c>
      <c r="W163" t="str">
        <f>'Long-form'!BE163</f>
        <v>Subtidal deposit</v>
      </c>
      <c r="X163" t="str">
        <f>'Long-form'!BF163</f>
        <v>sediment texture and diatom assemblage</v>
      </c>
      <c r="Y163" t="str">
        <f>'Long-form'!BH163</f>
        <v>&lt;MTL</v>
      </c>
      <c r="Z163" s="55">
        <f>'Long-form'!BT163</f>
        <v>-2.6549358450000002</v>
      </c>
      <c r="AA163" s="55">
        <f>'Long-form'!BU163</f>
        <v>0.54192619423681676</v>
      </c>
      <c r="AB163" s="55">
        <f>'Long-form'!BV163</f>
        <v>0.54192619423681676</v>
      </c>
      <c r="AC163" s="55" t="str">
        <f>'Long-form'!BW163</f>
        <v>nd</v>
      </c>
      <c r="AD163" s="55" t="str">
        <f>'Long-form'!BX163</f>
        <v>nd</v>
      </c>
      <c r="AE163" s="55" t="str">
        <f>'Long-form'!BY163</f>
        <v>nd</v>
      </c>
      <c r="AF163" t="str">
        <f>'Long-form'!BZ163</f>
        <v>nd</v>
      </c>
      <c r="AG163">
        <f>'Long-form'!CB163</f>
        <v>0</v>
      </c>
      <c r="AH163">
        <f>'Long-form'!CD163</f>
        <v>0</v>
      </c>
      <c r="AI163" t="e">
        <f>'Long-form'!#REF!</f>
        <v>#REF!</v>
      </c>
    </row>
    <row r="164" spans="1:35">
      <c r="A164" t="str">
        <f>'Long-form'!A164</f>
        <v>KWG-690</v>
      </c>
      <c r="B164" t="str">
        <f>'Long-form'!B164</f>
        <v>Li et al 1991; Zong 2004; Zong et al. 2013</v>
      </c>
      <c r="C164" t="str">
        <f>'Long-form'!C164</f>
        <v>9a</v>
      </c>
      <c r="D164" t="str">
        <f>'Long-form'!D164</f>
        <v>E_PRD</v>
      </c>
      <c r="E164" s="55">
        <f>'Long-form'!E164</f>
        <v>22.933333333333334</v>
      </c>
      <c r="F164" s="55">
        <f>'Long-form'!F164</f>
        <v>113.35</v>
      </c>
      <c r="G164" t="str">
        <f>'Long-form'!G164</f>
        <v>1 = Radiocarbon</v>
      </c>
      <c r="H164" s="56">
        <f>'Long-form'!H164</f>
        <v>2820.6818647162472</v>
      </c>
      <c r="I164" s="56">
        <f>'Long-form'!I164</f>
        <v>102.09332595228739</v>
      </c>
      <c r="J164" s="56">
        <f>'Long-form'!J164</f>
        <v>2409</v>
      </c>
      <c r="K164" s="56">
        <f>'Long-form'!K164</f>
        <v>319</v>
      </c>
      <c r="L164" s="56">
        <f>'Long-form'!L164</f>
        <v>338</v>
      </c>
      <c r="M164" s="56" t="str">
        <f>'Long-form'!Q164</f>
        <v>regressive</v>
      </c>
      <c r="N164" s="55">
        <f>'Long-form'!R164</f>
        <v>5.9</v>
      </c>
      <c r="O164" s="55">
        <f>'Long-form'!S164</f>
        <v>9.4</v>
      </c>
      <c r="P164" s="55">
        <f>'Long-form'!T164</f>
        <v>1</v>
      </c>
      <c r="Q164" s="55">
        <f>'Long-form'!AM164</f>
        <v>-4.7</v>
      </c>
      <c r="R164" s="55" t="str">
        <f>'Long-form'!AN164</f>
        <v>YSD</v>
      </c>
      <c r="S164" s="55">
        <f>'Long-form'!AP164</f>
        <v>0.54683086964801098</v>
      </c>
      <c r="T164" s="55">
        <f>'Long-form'!AQ164</f>
        <v>0.54683086964801098</v>
      </c>
      <c r="U164" t="str">
        <f>'Long-form'!BC164</f>
        <v>-1</v>
      </c>
      <c r="V164" t="str">
        <f>'Long-form'!BD164</f>
        <v>5 = Sedimentary (e.g., deltaic, estuarine, wetland, lacustrine, marine facies)</v>
      </c>
      <c r="W164" t="str">
        <f>'Long-form'!BE164</f>
        <v>Subtidal deposit</v>
      </c>
      <c r="X164" t="str">
        <f>'Long-form'!BF164</f>
        <v>sediment texture and diatom assemblage</v>
      </c>
      <c r="Y164" t="str">
        <f>'Long-form'!BH164</f>
        <v>&lt;MTL</v>
      </c>
      <c r="Z164" s="55">
        <f>'Long-form'!BT164</f>
        <v>-4.655042087</v>
      </c>
      <c r="AA164" s="55">
        <f>'Long-form'!BU164</f>
        <v>0.54911201043138724</v>
      </c>
      <c r="AB164" s="55">
        <f>'Long-form'!BV164</f>
        <v>0.54911201043138724</v>
      </c>
      <c r="AC164" s="55" t="str">
        <f>'Long-form'!BW164</f>
        <v>nd</v>
      </c>
      <c r="AD164" s="55" t="str">
        <f>'Long-form'!BX164</f>
        <v>nd</v>
      </c>
      <c r="AE164" s="55" t="str">
        <f>'Long-form'!BY164</f>
        <v>nd</v>
      </c>
      <c r="AF164" t="str">
        <f>'Long-form'!BZ164</f>
        <v>nd</v>
      </c>
      <c r="AG164">
        <f>'Long-form'!CB164</f>
        <v>0</v>
      </c>
      <c r="AH164">
        <f>'Long-form'!CD164</f>
        <v>0</v>
      </c>
      <c r="AI164" t="e">
        <f>'Long-form'!#REF!</f>
        <v>#REF!</v>
      </c>
    </row>
    <row r="165" spans="1:35" ht="17" customHeight="1">
      <c r="A165" t="str">
        <f>'Long-form'!A165</f>
        <v>KWG-890</v>
      </c>
      <c r="B165" t="str">
        <f>'Long-form'!B165</f>
        <v>Li et al 1991</v>
      </c>
      <c r="C165" t="str">
        <f>'Long-form'!C165</f>
        <v>9a</v>
      </c>
      <c r="D165" t="str">
        <f>'Long-form'!D165</f>
        <v>E_PRD</v>
      </c>
      <c r="E165" s="55">
        <f>'Long-form'!E165</f>
        <v>22.933</v>
      </c>
      <c r="F165" s="55">
        <f>'Long-form'!F165</f>
        <v>113.35</v>
      </c>
      <c r="G165" t="str">
        <f>'Long-form'!G165</f>
        <v>1 = Radiocarbon</v>
      </c>
      <c r="H165" s="56">
        <f>'Long-form'!H165</f>
        <v>7421.2776368064251</v>
      </c>
      <c r="I165" s="56">
        <f>'Long-form'!I165</f>
        <v>172.31634248718257</v>
      </c>
      <c r="J165" s="56">
        <f>'Long-form'!J165</f>
        <v>8225</v>
      </c>
      <c r="K165" s="56">
        <f>'Long-form'!K165</f>
        <v>359</v>
      </c>
      <c r="L165" s="56">
        <f>'Long-form'!L165</f>
        <v>350</v>
      </c>
      <c r="M165" s="56" t="str">
        <f>'Long-form'!Q165</f>
        <v>regressive</v>
      </c>
      <c r="N165" s="55" t="str">
        <f>'Long-form'!R165</f>
        <v>nd</v>
      </c>
      <c r="O165" s="55" t="str">
        <f>'Long-form'!S165</f>
        <v>nd</v>
      </c>
      <c r="P165" s="55">
        <f>'Long-form'!T165</f>
        <v>1</v>
      </c>
      <c r="Q165" s="55">
        <f>'Long-form'!AM165</f>
        <v>-13.9</v>
      </c>
      <c r="R165" s="55" t="str">
        <f>'Long-form'!AN165</f>
        <v>YSD</v>
      </c>
      <c r="S165" s="55">
        <f>'Long-form'!AP165</f>
        <v>0.57017541160593732</v>
      </c>
      <c r="T165" s="55">
        <f>'Long-form'!AQ165</f>
        <v>0.57017541160593732</v>
      </c>
      <c r="U165" t="str">
        <f>'Long-form'!BC165</f>
        <v xml:space="preserve">-1 </v>
      </c>
      <c r="V165" t="str">
        <f>'Long-form'!BD165</f>
        <v>5 = Sedimentary (e.g., deltaic, estuarine, wetland, lacustrine, marine facies)</v>
      </c>
      <c r="W165" t="str">
        <f>'Long-form'!BE165</f>
        <v>Tidal channel deposit</v>
      </c>
      <c r="X165" t="str">
        <f>'Long-form'!BF165</f>
        <v>Sediment texture, grain size, microfossil, geochemistry</v>
      </c>
      <c r="Y165" t="str">
        <f>'Long-form'!BH165</f>
        <v>&lt;HAT</v>
      </c>
      <c r="Z165" s="55">
        <f>'Long-form'!BT165</f>
        <v>-15.828843635</v>
      </c>
      <c r="AA165" s="55">
        <f>'Long-form'!BU165</f>
        <v>0.59791303715506994</v>
      </c>
      <c r="AB165" s="55">
        <f>'Long-form'!BV165</f>
        <v>0.59791303715506994</v>
      </c>
      <c r="AC165" s="55" t="str">
        <f>'Long-form'!BW165</f>
        <v>nd</v>
      </c>
      <c r="AD165" s="55" t="str">
        <f>'Long-form'!BX165</f>
        <v>nd</v>
      </c>
      <c r="AE165" s="55" t="str">
        <f>'Long-form'!BY165</f>
        <v>nd</v>
      </c>
      <c r="AF165" t="str">
        <f>'Long-form'!BZ165</f>
        <v>nd</v>
      </c>
      <c r="AG165">
        <f>'Long-form'!CB165</f>
        <v>0</v>
      </c>
      <c r="AH165">
        <f>'Long-form'!CD165</f>
        <v>0</v>
      </c>
      <c r="AI165" t="e">
        <f>'Long-form'!#REF!</f>
        <v>#REF!</v>
      </c>
    </row>
    <row r="166" spans="1:35">
      <c r="A166" t="str">
        <f>'Long-form'!A166</f>
        <v>KWG-62</v>
      </c>
      <c r="B166" t="str">
        <f>'Long-form'!B166</f>
        <v>Li et al 1982; Zong 2004</v>
      </c>
      <c r="C166" t="str">
        <f>'Long-form'!C166</f>
        <v>9a</v>
      </c>
      <c r="D166" t="str">
        <f>'Long-form'!D166</f>
        <v>W_PRD</v>
      </c>
      <c r="E166" s="55">
        <f>'Long-form'!E166</f>
        <v>22.6666666666667</v>
      </c>
      <c r="F166" s="55">
        <f>'Long-form'!F166</f>
        <v>113.583333333333</v>
      </c>
      <c r="G166" t="str">
        <f>'Long-form'!G166</f>
        <v>1 = Radiocarbon</v>
      </c>
      <c r="H166" s="56">
        <f>'Long-form'!H166</f>
        <v>1638.8105623511879</v>
      </c>
      <c r="I166" s="56">
        <f>'Long-form'!I166</f>
        <v>128.31418117460044</v>
      </c>
      <c r="J166" s="56">
        <f>'Long-form'!J166</f>
        <v>1530</v>
      </c>
      <c r="K166" s="56">
        <f>'Long-form'!K166</f>
        <v>289</v>
      </c>
      <c r="L166" s="56">
        <f>'Long-form'!L166</f>
        <v>230</v>
      </c>
      <c r="M166" s="56" t="str">
        <f>'Long-form'!Q166</f>
        <v>regressive</v>
      </c>
      <c r="N166" s="55">
        <f>'Long-form'!R166</f>
        <v>4.3</v>
      </c>
      <c r="O166" s="55">
        <f>'Long-form'!S166</f>
        <v>11.4</v>
      </c>
      <c r="P166" s="55">
        <f>'Long-form'!T166</f>
        <v>1</v>
      </c>
      <c r="Q166" s="55">
        <f>'Long-form'!AM166</f>
        <v>-4.3</v>
      </c>
      <c r="R166" s="55" t="str">
        <f>'Long-form'!AN166</f>
        <v>YSD</v>
      </c>
      <c r="S166" s="55">
        <f>'Long-form'!AP166</f>
        <v>0.54082899330564738</v>
      </c>
      <c r="T166" s="55">
        <f>'Long-form'!AQ166</f>
        <v>0.54082899330564738</v>
      </c>
      <c r="U166" t="str">
        <f>'Long-form'!BC166</f>
        <v>-1</v>
      </c>
      <c r="V166" t="str">
        <f>'Long-form'!BD166</f>
        <v>5 = Sedimentary (e.g., deltaic, estuarine, wetland, lacustrine, marine facies)</v>
      </c>
      <c r="W166" t="str">
        <f>'Long-form'!BE166</f>
        <v>Subtidal deposit</v>
      </c>
      <c r="X166" t="str">
        <f>'Long-form'!BF166</f>
        <v>sediment texture, mollusc fossil</v>
      </c>
      <c r="Y166" t="str">
        <f>'Long-form'!BH166</f>
        <v>&lt;MTL</v>
      </c>
      <c r="Z166" s="55">
        <f>'Long-form'!BT166</f>
        <v>-4.2651418720000001</v>
      </c>
      <c r="AA166" s="55">
        <f>'Long-form'!BU166</f>
        <v>0.54313534224905669</v>
      </c>
      <c r="AB166" s="55">
        <f>'Long-form'!BV166</f>
        <v>0.54313534224905669</v>
      </c>
      <c r="AC166" s="55" t="str">
        <f>'Long-form'!BW166</f>
        <v>nd</v>
      </c>
      <c r="AD166" s="55" t="str">
        <f>'Long-form'!BX166</f>
        <v>nd</v>
      </c>
      <c r="AE166" s="55" t="str">
        <f>'Long-form'!BY166</f>
        <v>nd</v>
      </c>
      <c r="AF166" t="str">
        <f>'Long-form'!BZ166</f>
        <v>nd</v>
      </c>
      <c r="AG166">
        <f>'Long-form'!CB166</f>
        <v>0</v>
      </c>
      <c r="AH166">
        <f>'Long-form'!CD166</f>
        <v>0</v>
      </c>
      <c r="AI166" t="e">
        <f>'Long-form'!#REF!</f>
        <v>#REF!</v>
      </c>
    </row>
    <row r="167" spans="1:35">
      <c r="A167" t="str">
        <f>'Long-form'!A167</f>
        <v>KWG-13</v>
      </c>
      <c r="B167" t="str">
        <f>'Long-form'!B167</f>
        <v>Huang et al. 1982; Li et al. 1991; Zong 2004</v>
      </c>
      <c r="C167" t="str">
        <f>'Long-form'!C167</f>
        <v>9a</v>
      </c>
      <c r="D167" t="str">
        <f>'Long-form'!D167</f>
        <v>W_PRD</v>
      </c>
      <c r="E167" s="55">
        <f>'Long-form'!E167</f>
        <v>22.3</v>
      </c>
      <c r="F167" s="55">
        <f>'Long-form'!F167</f>
        <v>113.55</v>
      </c>
      <c r="G167" t="str">
        <f>'Long-form'!G167</f>
        <v>1 = Radiocarbon</v>
      </c>
      <c r="H167" s="56">
        <f>'Long-form'!H167</f>
        <v>1548.8105623511901</v>
      </c>
      <c r="I167" s="56">
        <f>'Long-form'!I167</f>
        <v>134.77584757851901</v>
      </c>
      <c r="J167" s="56">
        <f>'Long-form'!J167</f>
        <v>1452</v>
      </c>
      <c r="K167" s="56">
        <f>'Long-form'!K167</f>
        <v>272</v>
      </c>
      <c r="L167" s="56">
        <f>'Long-form'!L167</f>
        <v>275</v>
      </c>
      <c r="M167" s="56" t="str">
        <f>'Long-form'!Q167</f>
        <v>regressive</v>
      </c>
      <c r="N167" s="55">
        <f>'Long-form'!R167</f>
        <v>2.6</v>
      </c>
      <c r="O167" s="55">
        <f>'Long-form'!S167</f>
        <v>6.1</v>
      </c>
      <c r="P167" s="55">
        <f>'Long-form'!T167</f>
        <v>1</v>
      </c>
      <c r="Q167" s="55">
        <f>'Long-form'!AM167</f>
        <v>-1.4</v>
      </c>
      <c r="R167" s="55" t="str">
        <f>'Long-form'!AN167</f>
        <v>YSD</v>
      </c>
      <c r="S167" s="55">
        <f>'Long-form'!AP167</f>
        <v>0.53647367130177037</v>
      </c>
      <c r="T167" s="55">
        <f>'Long-form'!AQ167</f>
        <v>0.53647367130177037</v>
      </c>
      <c r="U167" t="str">
        <f>'Long-form'!BC167</f>
        <v xml:space="preserve">-1 </v>
      </c>
      <c r="V167" t="str">
        <f>'Long-form'!BD167</f>
        <v>5 = Sedimentary (e.g., deltaic, estuarine, wetland, lacustrine, marine facies)</v>
      </c>
      <c r="W167" t="str">
        <f>'Long-form'!BE167</f>
        <v>Tidal influence environemnt</v>
      </c>
      <c r="X167" t="str">
        <f>'Long-form'!BF167</f>
        <v>sediment color, texture</v>
      </c>
      <c r="Y167" t="str">
        <f>'Long-form'!BH167</f>
        <v>&lt;HAT</v>
      </c>
      <c r="Z167" s="55">
        <f>'Long-form'!BT167</f>
        <v>-2.8197009890000002</v>
      </c>
      <c r="AA167" s="55">
        <f>'Long-form'!BU167</f>
        <v>0.56586570845033535</v>
      </c>
      <c r="AB167" s="55">
        <f>'Long-form'!BV167</f>
        <v>0.56586570845033535</v>
      </c>
      <c r="AC167" s="55" t="str">
        <f>'Long-form'!BW167</f>
        <v>nd</v>
      </c>
      <c r="AD167" s="55" t="str">
        <f>'Long-form'!BX167</f>
        <v>nd</v>
      </c>
      <c r="AE167" s="55" t="str">
        <f>'Long-form'!BY167</f>
        <v>nd</v>
      </c>
      <c r="AF167" t="str">
        <f>'Long-form'!BZ167</f>
        <v>nd</v>
      </c>
      <c r="AG167">
        <f>'Long-form'!CB167</f>
        <v>0</v>
      </c>
      <c r="AH167">
        <f>'Long-form'!CD167</f>
        <v>0</v>
      </c>
      <c r="AI167" t="e">
        <f>'Long-form'!#REF!</f>
        <v>#REF!</v>
      </c>
    </row>
    <row r="168" spans="1:35">
      <c r="A168" t="str">
        <f>'Long-form'!A168</f>
        <v>GZ2088</v>
      </c>
      <c r="B168" t="str">
        <f>'Long-form'!B168</f>
        <v>Zong et al. 2013; Yang et al. 2012</v>
      </c>
      <c r="C168" t="str">
        <f>'Long-form'!C168</f>
        <v>9a</v>
      </c>
      <c r="D168" t="str">
        <f>'Long-form'!D168</f>
        <v>W_PRD</v>
      </c>
      <c r="E168" s="55">
        <f>'Long-form'!E168</f>
        <v>22.7055556</v>
      </c>
      <c r="F168" s="55">
        <f>'Long-form'!F168</f>
        <v>113.5138889</v>
      </c>
      <c r="G168" t="str">
        <f>'Long-form'!G168</f>
        <v>1 = Radiocarbon</v>
      </c>
      <c r="H168" s="56">
        <f>'Long-form'!H168</f>
        <v>1175</v>
      </c>
      <c r="I168" s="56">
        <f>'Long-form'!I168</f>
        <v>105.30432089900205</v>
      </c>
      <c r="J168" s="56">
        <f>'Long-form'!J168</f>
        <v>1094</v>
      </c>
      <c r="K168" s="56">
        <f>'Long-form'!K168</f>
        <v>205</v>
      </c>
      <c r="L168" s="56">
        <f>'Long-form'!L168</f>
        <v>258</v>
      </c>
      <c r="M168" s="56" t="str">
        <f>'Long-form'!Q168</f>
        <v>transgressive</v>
      </c>
      <c r="N168" s="55">
        <f>'Long-form'!R168</f>
        <v>2.4</v>
      </c>
      <c r="O168" s="55" t="str">
        <f>'Long-form'!S168</f>
        <v>nd</v>
      </c>
      <c r="P168" s="55">
        <f>'Long-form'!T168</f>
        <v>1</v>
      </c>
      <c r="Q168" s="55">
        <f>'Long-form'!AM168</f>
        <v>-1.9</v>
      </c>
      <c r="R168" s="55" t="str">
        <f>'Long-form'!AN168</f>
        <v>YSD</v>
      </c>
      <c r="S168" s="55">
        <f>'Long-form'!AP168</f>
        <v>0.51305457799341381</v>
      </c>
      <c r="T168" s="55">
        <f>'Long-form'!AQ168</f>
        <v>0.51305457799341381</v>
      </c>
      <c r="U168" t="str">
        <f>'Long-form'!BC168</f>
        <v>-1</v>
      </c>
      <c r="V168" t="str">
        <f>'Long-form'!BD168</f>
        <v>5 = Sedimentary (e.g., deltaic, estuarine, wetland, lacustrine, marine facies)</v>
      </c>
      <c r="W168" t="str">
        <f>'Long-form'!BE168</f>
        <v>Argriculture land</v>
      </c>
      <c r="X168" t="str">
        <f>'Long-form'!BF168</f>
        <v>Clay, organic matter</v>
      </c>
      <c r="Y168" t="str">
        <f>'Long-form'!BH168</f>
        <v>&lt;MTL</v>
      </c>
      <c r="Z168" s="55">
        <f>'Long-form'!BT168</f>
        <v>-1.8678364709999999</v>
      </c>
      <c r="AA168" s="55">
        <f>'Long-form'!BU168</f>
        <v>0.51548520832318745</v>
      </c>
      <c r="AB168" s="55">
        <f>'Long-form'!BV168</f>
        <v>0.51548520832318745</v>
      </c>
      <c r="AC168" s="55" t="str">
        <f>'Long-form'!BW168</f>
        <v>nd</v>
      </c>
      <c r="AD168" s="55" t="str">
        <f>'Long-form'!BX168</f>
        <v>nd</v>
      </c>
      <c r="AE168" s="55" t="str">
        <f>'Long-form'!BY168</f>
        <v>nd</v>
      </c>
      <c r="AF168" t="str">
        <f>'Long-form'!BZ168</f>
        <v>nd</v>
      </c>
      <c r="AG168">
        <f>'Long-form'!CB168</f>
        <v>0</v>
      </c>
      <c r="AH168" t="str">
        <f>'Long-form'!CD168</f>
        <v>Zong 2009 indicated location of core GZ-2 as a subaqueous delta front environment.</v>
      </c>
      <c r="AI168" t="e">
        <f>'Long-form'!#REF!</f>
        <v>#REF!</v>
      </c>
    </row>
    <row r="169" spans="1:35">
      <c r="A169" t="str">
        <f>'Long-form'!A169</f>
        <v>GZ2089</v>
      </c>
      <c r="B169" t="str">
        <f>'Long-form'!B169</f>
        <v>Zong et al. 2013; Yang et al. 2012</v>
      </c>
      <c r="C169" t="str">
        <f>'Long-form'!C169</f>
        <v>9a</v>
      </c>
      <c r="D169" t="str">
        <f>'Long-form'!D169</f>
        <v>W_PRD</v>
      </c>
      <c r="E169" s="55">
        <f>'Long-form'!E169</f>
        <v>22.7055556</v>
      </c>
      <c r="F169" s="55">
        <f>'Long-form'!F169</f>
        <v>113.5138889</v>
      </c>
      <c r="G169" t="str">
        <f>'Long-form'!G169</f>
        <v>1 = Radiocarbon</v>
      </c>
      <c r="H169" s="56">
        <f>'Long-form'!H169</f>
        <v>1817</v>
      </c>
      <c r="I169" s="56">
        <f>'Long-form'!I169</f>
        <v>104.12012293500234</v>
      </c>
      <c r="J169" s="56">
        <f>'Long-form'!J169</f>
        <v>1721</v>
      </c>
      <c r="K169" s="56">
        <f>'Long-form'!K169</f>
        <v>270</v>
      </c>
      <c r="L169" s="56">
        <f>'Long-form'!L169</f>
        <v>299</v>
      </c>
      <c r="M169" s="56" t="str">
        <f>'Long-form'!Q169</f>
        <v>transgressive</v>
      </c>
      <c r="N169" s="55">
        <f>'Long-form'!R169</f>
        <v>6.8</v>
      </c>
      <c r="O169" s="55" t="str">
        <f>'Long-form'!S169</f>
        <v>nd</v>
      </c>
      <c r="P169" s="55">
        <f>'Long-form'!T169</f>
        <v>1</v>
      </c>
      <c r="Q169" s="55">
        <f>'Long-form'!AM169</f>
        <v>-6.3</v>
      </c>
      <c r="R169" s="55" t="str">
        <f>'Long-form'!AN169</f>
        <v>YSD</v>
      </c>
      <c r="S169" s="55">
        <f>'Long-form'!AP169</f>
        <v>0.51305457799341381</v>
      </c>
      <c r="T169" s="55">
        <f>'Long-form'!AQ169</f>
        <v>0.51305457799341381</v>
      </c>
      <c r="U169" t="str">
        <f>'Long-form'!BC169</f>
        <v>-1</v>
      </c>
      <c r="V169" t="str">
        <f>'Long-form'!BD169</f>
        <v>5 = Sedimentary (e.g., deltaic, estuarine, wetland, lacustrine, marine facies)</v>
      </c>
      <c r="W169" t="str">
        <f>'Long-form'!BE169</f>
        <v>Argriculture land</v>
      </c>
      <c r="X169" t="str">
        <f>'Long-form'!BF169</f>
        <v>Clay, organic matter</v>
      </c>
      <c r="Y169" t="str">
        <f>'Long-form'!BH169</f>
        <v>&lt;MTL</v>
      </c>
      <c r="Z169" s="55">
        <f>'Long-form'!BT169</f>
        <v>-6.2678364709999999</v>
      </c>
      <c r="AA169" s="55">
        <f>'Long-form'!BU169</f>
        <v>0.51548520832318745</v>
      </c>
      <c r="AB169" s="55">
        <f>'Long-form'!BV169</f>
        <v>0.51548520832318745</v>
      </c>
      <c r="AC169" s="55" t="str">
        <f>'Long-form'!BW169</f>
        <v>nd</v>
      </c>
      <c r="AD169" s="55" t="str">
        <f>'Long-form'!BX169</f>
        <v>nd</v>
      </c>
      <c r="AE169" s="55" t="str">
        <f>'Long-form'!BY169</f>
        <v>nd</v>
      </c>
      <c r="AF169" t="str">
        <f>'Long-form'!BZ169</f>
        <v>nd</v>
      </c>
      <c r="AG169">
        <f>'Long-form'!CB169</f>
        <v>0</v>
      </c>
      <c r="AH169" t="str">
        <f>'Long-form'!CD169</f>
        <v>Zong 2009 indicated location of core GZ-2 as a subaqueous delta front environment.</v>
      </c>
      <c r="AI169" t="e">
        <f>'Long-form'!#REF!</f>
        <v>#REF!</v>
      </c>
    </row>
    <row r="170" spans="1:35">
      <c r="A170" t="str">
        <f>'Long-form'!A170</f>
        <v>GZ2090</v>
      </c>
      <c r="B170" t="str">
        <f>'Long-form'!B170</f>
        <v>Zong et al. 2013; Yang et al. 2012</v>
      </c>
      <c r="C170" t="str">
        <f>'Long-form'!C170</f>
        <v>9a</v>
      </c>
      <c r="D170" t="str">
        <f>'Long-form'!D170</f>
        <v>W_PRD</v>
      </c>
      <c r="E170" s="55">
        <f>'Long-form'!E170</f>
        <v>22.7055556</v>
      </c>
      <c r="F170" s="55">
        <f>'Long-form'!F170</f>
        <v>113.5138889</v>
      </c>
      <c r="G170" t="str">
        <f>'Long-form'!G170</f>
        <v>1 = Radiocarbon</v>
      </c>
      <c r="H170" s="56">
        <f>'Long-form'!H170</f>
        <v>2452</v>
      </c>
      <c r="I170" s="56">
        <f>'Long-form'!I170</f>
        <v>107.70329614269008</v>
      </c>
      <c r="J170" s="56">
        <f>'Long-form'!J170</f>
        <v>2531</v>
      </c>
      <c r="K170" s="56">
        <f>'Long-form'!K170</f>
        <v>227</v>
      </c>
      <c r="L170" s="56">
        <f>'Long-form'!L170</f>
        <v>347</v>
      </c>
      <c r="M170" s="56" t="str">
        <f>'Long-form'!Q170</f>
        <v>transgressive</v>
      </c>
      <c r="N170" s="55">
        <f>'Long-form'!R170</f>
        <v>10.5</v>
      </c>
      <c r="O170" s="55" t="str">
        <f>'Long-form'!S170</f>
        <v>nd</v>
      </c>
      <c r="P170" s="55">
        <f>'Long-form'!T170</f>
        <v>1</v>
      </c>
      <c r="Q170" s="55">
        <f>'Long-form'!AM170</f>
        <v>-10</v>
      </c>
      <c r="R170" s="55" t="str">
        <f>'Long-form'!AN170</f>
        <v>YSD</v>
      </c>
      <c r="S170" s="55">
        <f>'Long-form'!AP170</f>
        <v>0.51305457799341381</v>
      </c>
      <c r="T170" s="55">
        <f>'Long-form'!AQ170</f>
        <v>0.51305457799341381</v>
      </c>
      <c r="U170" t="str">
        <f>'Long-form'!BC170</f>
        <v>-1</v>
      </c>
      <c r="V170" t="str">
        <f>'Long-form'!BD170</f>
        <v>5 = Sedimentary (e.g., deltaic, estuarine, wetland, lacustrine, marine facies)</v>
      </c>
      <c r="W170" t="str">
        <f>'Long-form'!BE170</f>
        <v>Subtidal deposit</v>
      </c>
      <c r="X170" t="str">
        <f>'Long-form'!BF170</f>
        <v>Clay, organic matter</v>
      </c>
      <c r="Y170" t="str">
        <f>'Long-form'!BH170</f>
        <v>&lt;MTL</v>
      </c>
      <c r="Z170" s="55">
        <f>'Long-form'!BT170</f>
        <v>-9.967836471</v>
      </c>
      <c r="AA170" s="55">
        <f>'Long-form'!BU170</f>
        <v>0.51548520832318745</v>
      </c>
      <c r="AB170" s="55">
        <f>'Long-form'!BV170</f>
        <v>0.51548520832318745</v>
      </c>
      <c r="AC170" s="55" t="str">
        <f>'Long-form'!BW170</f>
        <v>nd</v>
      </c>
      <c r="AD170" s="55" t="str">
        <f>'Long-form'!BX170</f>
        <v>nd</v>
      </c>
      <c r="AE170" s="55" t="str">
        <f>'Long-form'!BY170</f>
        <v>nd</v>
      </c>
      <c r="AF170" t="str">
        <f>'Long-form'!BZ170</f>
        <v>nd</v>
      </c>
      <c r="AG170">
        <f>'Long-form'!CB170</f>
        <v>0</v>
      </c>
      <c r="AH170" t="str">
        <f>'Long-form'!CD170</f>
        <v>Zong 2009 indicated location of core GZ-2 as a subaqueous delta front environment.</v>
      </c>
      <c r="AI170" t="e">
        <f>'Long-form'!#REF!</f>
        <v>#REF!</v>
      </c>
    </row>
    <row r="171" spans="1:35">
      <c r="A171" t="str">
        <f>'Long-form'!A171</f>
        <v>GZ2091</v>
      </c>
      <c r="B171" t="str">
        <f>'Long-form'!B171</f>
        <v>Zong et al. 2013; Yang et al. 2012</v>
      </c>
      <c r="C171" t="str">
        <f>'Long-form'!C171</f>
        <v>9a</v>
      </c>
      <c r="D171" t="str">
        <f>'Long-form'!D171</f>
        <v>W_PRD</v>
      </c>
      <c r="E171" s="55">
        <f>'Long-form'!E171</f>
        <v>22.7055556</v>
      </c>
      <c r="F171" s="55">
        <f>'Long-form'!F171</f>
        <v>113.5138889</v>
      </c>
      <c r="G171" t="str">
        <f>'Long-form'!G171</f>
        <v>1 = Radiocarbon</v>
      </c>
      <c r="H171" s="56">
        <f>'Long-form'!H171</f>
        <v>3698</v>
      </c>
      <c r="I171" s="56">
        <f>'Long-form'!I171</f>
        <v>103.84603988597736</v>
      </c>
      <c r="J171" s="56">
        <f>'Long-form'!J171</f>
        <v>4045</v>
      </c>
      <c r="K171" s="56">
        <f>'Long-form'!K171</f>
        <v>358</v>
      </c>
      <c r="L171" s="56">
        <f>'Long-form'!L171</f>
        <v>318</v>
      </c>
      <c r="M171" s="56" t="str">
        <f>'Long-form'!Q171</f>
        <v>transgressive</v>
      </c>
      <c r="N171" s="55">
        <f>'Long-form'!R171</f>
        <v>12.8</v>
      </c>
      <c r="O171" s="55" t="str">
        <f>'Long-form'!S171</f>
        <v>nd</v>
      </c>
      <c r="P171" s="55">
        <f>'Long-form'!T171</f>
        <v>1</v>
      </c>
      <c r="Q171" s="55">
        <f>'Long-form'!AM171</f>
        <v>-12.3</v>
      </c>
      <c r="R171" s="55" t="str">
        <f>'Long-form'!AN171</f>
        <v>YSD</v>
      </c>
      <c r="S171" s="55">
        <f>'Long-form'!AP171</f>
        <v>0.51305457799341381</v>
      </c>
      <c r="T171" s="55">
        <f>'Long-form'!AQ171</f>
        <v>0.51305457799341381</v>
      </c>
      <c r="U171" t="str">
        <f>'Long-form'!BC171</f>
        <v>-1</v>
      </c>
      <c r="V171" t="str">
        <f>'Long-form'!BD171</f>
        <v>5 = Sedimentary (e.g., deltaic, estuarine, wetland, lacustrine, marine facies)</v>
      </c>
      <c r="W171" t="str">
        <f>'Long-form'!BE171</f>
        <v>Subtidal deposit</v>
      </c>
      <c r="X171" t="str">
        <f>'Long-form'!BF171</f>
        <v>Clay, organic matter</v>
      </c>
      <c r="Y171" t="str">
        <f>'Long-form'!BH171</f>
        <v>&lt;MTL</v>
      </c>
      <c r="Z171" s="55">
        <f>'Long-form'!BT171</f>
        <v>-12.267836471000001</v>
      </c>
      <c r="AA171" s="55">
        <f>'Long-form'!BU171</f>
        <v>0.51548520832318745</v>
      </c>
      <c r="AB171" s="55">
        <f>'Long-form'!BV171</f>
        <v>0.51548520832318745</v>
      </c>
      <c r="AC171" s="55" t="str">
        <f>'Long-form'!BW171</f>
        <v>nd</v>
      </c>
      <c r="AD171" s="55" t="str">
        <f>'Long-form'!BX171</f>
        <v>nd</v>
      </c>
      <c r="AE171" s="55" t="str">
        <f>'Long-form'!BY171</f>
        <v>nd</v>
      </c>
      <c r="AF171" t="str">
        <f>'Long-form'!BZ171</f>
        <v>nd</v>
      </c>
      <c r="AG171">
        <f>'Long-form'!CB171</f>
        <v>0</v>
      </c>
      <c r="AH171" t="str">
        <f>'Long-form'!CD171</f>
        <v>Zong 2009 indicated location of core GZ-2 as a subaqueous delta front environment.</v>
      </c>
      <c r="AI171" t="e">
        <f>'Long-form'!#REF!</f>
        <v>#REF!</v>
      </c>
    </row>
    <row r="172" spans="1:35">
      <c r="A172" t="str">
        <f>'Long-form'!A172</f>
        <v>KWG-179</v>
      </c>
      <c r="B172" t="str">
        <f>'Long-form'!B172</f>
        <v>Xu et al. 1983; Li et al. 1991; Zong 2004</v>
      </c>
      <c r="C172" t="str">
        <f>'Long-form'!C172</f>
        <v>9a</v>
      </c>
      <c r="D172" t="str">
        <f>'Long-form'!D172</f>
        <v>W_PRD</v>
      </c>
      <c r="E172" s="55">
        <f>'Long-form'!E172</f>
        <v>22.35</v>
      </c>
      <c r="F172" s="55">
        <f>'Long-form'!F172</f>
        <v>113.45</v>
      </c>
      <c r="G172" t="str">
        <f>'Long-form'!G172</f>
        <v>1 = Radiocarbon</v>
      </c>
      <c r="H172" s="56">
        <f>'Long-form'!H172</f>
        <v>1650.6818647162495</v>
      </c>
      <c r="I172" s="56">
        <f>'Long-form'!I172</f>
        <v>102.09332595228739</v>
      </c>
      <c r="J172" s="56">
        <f>'Long-form'!J172</f>
        <v>1055</v>
      </c>
      <c r="K172" s="56">
        <f>'Long-form'!K172</f>
        <v>262</v>
      </c>
      <c r="L172" s="56">
        <f>'Long-form'!L172</f>
        <v>289</v>
      </c>
      <c r="M172" s="56" t="str">
        <f>'Long-form'!Q172</f>
        <v>transgressive</v>
      </c>
      <c r="N172" s="55">
        <f>'Long-form'!R172</f>
        <v>0.85</v>
      </c>
      <c r="O172" s="55" t="str">
        <f>'Long-form'!S172</f>
        <v>nd</v>
      </c>
      <c r="P172" s="55">
        <f>'Long-form'!T172</f>
        <v>1</v>
      </c>
      <c r="Q172" s="55">
        <f>'Long-form'!AM172</f>
        <v>-4.4000000000000004</v>
      </c>
      <c r="R172" s="55" t="str">
        <f>'Long-form'!AN172</f>
        <v>YSD</v>
      </c>
      <c r="S172" s="55">
        <f>'Long-form'!AP172</f>
        <v>0.53421812024677706</v>
      </c>
      <c r="T172" s="55">
        <f>'Long-form'!AQ172</f>
        <v>0.53421812024677706</v>
      </c>
      <c r="U172" t="str">
        <f>'Long-form'!BC172</f>
        <v>-1</v>
      </c>
      <c r="V172" t="str">
        <f>'Long-form'!BD172</f>
        <v>5 = Sedimentary (e.g., deltaic, estuarine, wetland, lacustrine, marine facies)</v>
      </c>
      <c r="W172" t="str">
        <f>'Long-form'!BE172</f>
        <v>Subtidal deposit</v>
      </c>
      <c r="X172" t="str">
        <f>'Long-form'!BF172</f>
        <v>sediment texture and diatom assemblage</v>
      </c>
      <c r="Y172" t="str">
        <f>'Long-form'!BH172</f>
        <v>&lt;MTL</v>
      </c>
      <c r="Z172" s="55">
        <f>'Long-form'!BT172</f>
        <v>-4.3720931530000007</v>
      </c>
      <c r="AA172" s="55">
        <f>'Long-form'!BU172</f>
        <v>0.53655288648930033</v>
      </c>
      <c r="AB172" s="55">
        <f>'Long-form'!BV172</f>
        <v>0.53655288648930033</v>
      </c>
      <c r="AC172" s="55" t="str">
        <f>'Long-form'!BW172</f>
        <v>nd</v>
      </c>
      <c r="AD172" s="55" t="str">
        <f>'Long-form'!BX172</f>
        <v>nd</v>
      </c>
      <c r="AE172" s="55" t="str">
        <f>'Long-form'!BY172</f>
        <v>nd</v>
      </c>
      <c r="AF172" t="str">
        <f>'Long-form'!BZ172</f>
        <v>nd</v>
      </c>
      <c r="AG172">
        <f>'Long-form'!CB172</f>
        <v>0</v>
      </c>
      <c r="AH172">
        <f>'Long-form'!CD172</f>
        <v>0</v>
      </c>
      <c r="AI172" t="e">
        <f>'Long-form'!#REF!</f>
        <v>#REF!</v>
      </c>
    </row>
    <row r="173" spans="1:35">
      <c r="A173" t="str">
        <f>'Long-form'!A173</f>
        <v>ZSSX1</v>
      </c>
      <c r="B173" t="str">
        <f>'Long-form'!B173</f>
        <v>Huang et al. 1981; Huang et al., 1986</v>
      </c>
      <c r="C173" t="str">
        <f>'Long-form'!C173</f>
        <v>9a</v>
      </c>
      <c r="D173" t="str">
        <f>'Long-form'!D173</f>
        <v>W_PRD</v>
      </c>
      <c r="E173" s="55">
        <f>'Long-form'!E173</f>
        <v>22.357230000000001</v>
      </c>
      <c r="F173" s="55">
        <f>'Long-form'!F173</f>
        <v>113.44150999999999</v>
      </c>
      <c r="G173" t="str">
        <f>'Long-form'!G173</f>
        <v>1 = Radiocarbon</v>
      </c>
      <c r="H173" s="56">
        <f>'Long-form'!H173</f>
        <v>1650.6818647162495</v>
      </c>
      <c r="I173" s="56">
        <f>'Long-form'!I173</f>
        <v>102.09332595228739</v>
      </c>
      <c r="J173" s="56">
        <f>'Long-form'!J173</f>
        <v>1055</v>
      </c>
      <c r="K173" s="56">
        <f>'Long-form'!K173</f>
        <v>262</v>
      </c>
      <c r="L173" s="56">
        <f>'Long-form'!L173</f>
        <v>289</v>
      </c>
      <c r="M173" s="56" t="str">
        <f>'Long-form'!Q173</f>
        <v>regressive</v>
      </c>
      <c r="N173" s="55">
        <f>'Long-form'!R173</f>
        <v>2.5</v>
      </c>
      <c r="O173" s="55" t="str">
        <f>'Long-form'!S173</f>
        <v>nd</v>
      </c>
      <c r="P173" s="55">
        <f>'Long-form'!T173</f>
        <v>1</v>
      </c>
      <c r="Q173" s="55">
        <f>'Long-form'!AM173</f>
        <v>-1.2</v>
      </c>
      <c r="R173" s="55" t="str">
        <f>'Long-form'!AN173</f>
        <v>YSD</v>
      </c>
      <c r="S173" s="55">
        <f>'Long-form'!AP173</f>
        <v>0.51244511901275824</v>
      </c>
      <c r="T173" s="55">
        <f>'Long-form'!AQ173</f>
        <v>0.51244511901275824</v>
      </c>
      <c r="U173" t="str">
        <f>'Long-form'!BC173</f>
        <v>0</v>
      </c>
      <c r="V173" t="str">
        <f>'Long-form'!BD173</f>
        <v>5 = Sedimentary (e.g., deltaic, estuarine, wetland, lacustrine, marine facies)</v>
      </c>
      <c r="W173" t="str">
        <f>'Long-form'!BE173</f>
        <v>Shell hash</v>
      </c>
      <c r="X173" t="str">
        <f>'Long-form'!BF173</f>
        <v>author interpretation only</v>
      </c>
      <c r="Y173" t="str">
        <f>'Long-form'!BH173</f>
        <v>HAT-LAT</v>
      </c>
      <c r="Z173" s="55">
        <f>'Long-form'!BT173</f>
        <v>-1.0710108890000001</v>
      </c>
      <c r="AA173" s="55">
        <f>'Long-form'!BU173</f>
        <v>1.7124620100936934</v>
      </c>
      <c r="AB173" s="55">
        <f>'Long-form'!BV173</f>
        <v>1.7124620100936934</v>
      </c>
      <c r="AC173" s="55" t="str">
        <f>'Long-form'!BW173</f>
        <v>nd</v>
      </c>
      <c r="AD173" s="55" t="str">
        <f>'Long-form'!BX173</f>
        <v>nd</v>
      </c>
      <c r="AE173" s="55" t="str">
        <f>'Long-form'!BY173</f>
        <v>nd</v>
      </c>
      <c r="AF173" t="str">
        <f>'Long-form'!BZ173</f>
        <v>nd</v>
      </c>
      <c r="AG173">
        <f>'Long-form'!CB173</f>
        <v>0</v>
      </c>
      <c r="AH173" t="str">
        <f>'Long-form'!CD173</f>
        <v>Chacterised as shell hash formed in intertidal zone in Huang 1986. Only general discription for all samples in original studies, no sketch, figure, other analysis.</v>
      </c>
      <c r="AI173" t="e">
        <f>'Long-form'!#REF!</f>
        <v>#REF!</v>
      </c>
    </row>
    <row r="174" spans="1:35">
      <c r="A174" t="str">
        <f>'Long-form'!A174</f>
        <v>GC-480</v>
      </c>
      <c r="B174" t="str">
        <f>'Long-form'!B174</f>
        <v>Huang et al. 1981</v>
      </c>
      <c r="C174" t="str">
        <f>'Long-form'!C174</f>
        <v>9a</v>
      </c>
      <c r="D174" t="str">
        <f>'Long-form'!D174</f>
        <v>W_PRD</v>
      </c>
      <c r="E174" s="55">
        <f>'Long-form'!E174</f>
        <v>22.52946</v>
      </c>
      <c r="F174" s="55">
        <f>'Long-form'!F174</f>
        <v>113.43831</v>
      </c>
      <c r="G174" t="str">
        <f>'Long-form'!G174</f>
        <v>1 = Radiocarbon</v>
      </c>
      <c r="H174" s="56">
        <f>'Long-form'!H174</f>
        <v>5420.6818647162481</v>
      </c>
      <c r="I174" s="56">
        <f>'Long-form'!I174</f>
        <v>254.60370618669322</v>
      </c>
      <c r="J174" s="56">
        <f>'Long-form'!J174</f>
        <v>5610</v>
      </c>
      <c r="K174" s="56">
        <f>'Long-form'!K174</f>
        <v>595</v>
      </c>
      <c r="L174" s="56">
        <f>'Long-form'!L174</f>
        <v>642</v>
      </c>
      <c r="M174" s="56" t="str">
        <f>'Long-form'!Q174</f>
        <v>regressive</v>
      </c>
      <c r="N174" s="55">
        <f>'Long-form'!R174</f>
        <v>2</v>
      </c>
      <c r="O174" s="55" t="str">
        <f>'Long-form'!S174</f>
        <v>na</v>
      </c>
      <c r="P174" s="55">
        <f>'Long-form'!T174</f>
        <v>1</v>
      </c>
      <c r="Q174" s="55">
        <f>'Long-form'!AM174</f>
        <v>0.2</v>
      </c>
      <c r="R174" s="55" t="str">
        <f>'Long-form'!AN174</f>
        <v>YSD</v>
      </c>
      <c r="S174" s="55">
        <f>'Long-form'!AP174</f>
        <v>0.5148786264742401</v>
      </c>
      <c r="T174" s="55">
        <f>'Long-form'!AQ174</f>
        <v>0.5148786264742401</v>
      </c>
      <c r="U174" t="str">
        <f>'Long-form'!BC174</f>
        <v xml:space="preserve">-1 </v>
      </c>
      <c r="V174" t="str">
        <f>'Long-form'!BD174</f>
        <v>5 = Sedimentary (e.g., deltaic, estuarine, wetland, lacustrine, marine facies)</v>
      </c>
      <c r="W174" t="str">
        <f>'Long-form'!BE174</f>
        <v>Oyster shell layer (reef)</v>
      </c>
      <c r="X174" t="str">
        <f>'Long-form'!BF174</f>
        <v>1.6 m think of oyster shell (Ostrea rivularis; O. plicatula; O gigas) accumulation</v>
      </c>
      <c r="Y174" t="str">
        <f>'Long-form'!BH174</f>
        <v>&lt;MTL</v>
      </c>
      <c r="Z174" s="55">
        <f>'Long-form'!BT174</f>
        <v>0.23146931900000001</v>
      </c>
      <c r="AA174" s="55">
        <f>'Long-form'!BU174</f>
        <v>0.51730068625510262</v>
      </c>
      <c r="AB174" s="55">
        <f>'Long-form'!BV174</f>
        <v>0.51730068625510262</v>
      </c>
      <c r="AC174" s="55" t="str">
        <f>'Long-form'!BW174</f>
        <v>nd</v>
      </c>
      <c r="AD174" s="55" t="str">
        <f>'Long-form'!BX174</f>
        <v>nd</v>
      </c>
      <c r="AE174" s="55" t="str">
        <f>'Long-form'!BY174</f>
        <v>nd</v>
      </c>
      <c r="AF174" t="str">
        <f>'Long-form'!BZ174</f>
        <v>nd</v>
      </c>
      <c r="AG174">
        <f>'Long-form'!CB174</f>
        <v>0</v>
      </c>
      <c r="AH174">
        <f>'Long-form'!CD174</f>
        <v>0</v>
      </c>
      <c r="AI174" t="e">
        <f>'Long-form'!#REF!</f>
        <v>#REF!</v>
      </c>
    </row>
    <row r="175" spans="1:35">
      <c r="A175" t="str">
        <f>'Long-form'!A175</f>
        <v>KWG-40</v>
      </c>
      <c r="B175" t="str">
        <f>'Long-form'!B175</f>
        <v>Huang et al. 1983</v>
      </c>
      <c r="C175" t="str">
        <f>'Long-form'!C175</f>
        <v>9a</v>
      </c>
      <c r="D175" t="str">
        <f>'Long-form'!D175</f>
        <v>W_PRD</v>
      </c>
      <c r="E175" s="55">
        <f>'Long-form'!E175</f>
        <v>22.679559999999999</v>
      </c>
      <c r="F175" s="55">
        <f>'Long-form'!F175</f>
        <v>113.42274999999999</v>
      </c>
      <c r="G175" t="str">
        <f>'Long-form'!G175</f>
        <v>1 = Radiocarbon</v>
      </c>
      <c r="H175" s="56">
        <f>'Long-form'!H175</f>
        <v>6180.681864716249</v>
      </c>
      <c r="I175" s="56">
        <f>'Long-form'!I175</f>
        <v>176.70044483249043</v>
      </c>
      <c r="J175" s="56">
        <f>'Long-form'!J175</f>
        <v>6437</v>
      </c>
      <c r="K175" s="56">
        <f>'Long-form'!K175</f>
        <v>444</v>
      </c>
      <c r="L175" s="56">
        <f>'Long-form'!L175</f>
        <v>447</v>
      </c>
      <c r="M175" s="56" t="str">
        <f>'Long-form'!Q175</f>
        <v>regressive</v>
      </c>
      <c r="N175" s="55">
        <f>'Long-form'!R175</f>
        <v>9</v>
      </c>
      <c r="O175" s="55">
        <f>'Long-form'!S175</f>
        <v>8.6999999999999993</v>
      </c>
      <c r="P175" s="55">
        <f>'Long-form'!T175</f>
        <v>1</v>
      </c>
      <c r="Q175" s="55">
        <f>'Long-form'!AM175</f>
        <v>-7.4</v>
      </c>
      <c r="R175" s="55" t="str">
        <f>'Long-form'!AN175</f>
        <v>YSD</v>
      </c>
      <c r="S175" s="55">
        <f>'Long-form'!AP175</f>
        <v>0.5634713834792322</v>
      </c>
      <c r="T175" s="55">
        <f>'Long-form'!AQ175</f>
        <v>0.5634713834792322</v>
      </c>
      <c r="U175" t="str">
        <f>'Long-form'!BC175</f>
        <v>-1</v>
      </c>
      <c r="V175" t="str">
        <f>'Long-form'!BD175</f>
        <v>5 = Sedimentary (e.g., deltaic, estuarine, wetland, lacustrine, marine facies)</v>
      </c>
      <c r="W175" t="str">
        <f>'Long-form'!BE175</f>
        <v>Subtidal deposit</v>
      </c>
      <c r="X175" t="str">
        <f>'Long-form'!BF175</f>
        <v>sediment texture, mollusc fossil</v>
      </c>
      <c r="Y175" t="str">
        <f>'Long-form'!BH175</f>
        <v>&lt;MTL</v>
      </c>
      <c r="Z175" s="55">
        <f>'Long-form'!BT175</f>
        <v>-7.3683956210000003</v>
      </c>
      <c r="AA175" s="55">
        <f>'Long-form'!BU175</f>
        <v>0.56568542494923801</v>
      </c>
      <c r="AB175" s="55">
        <f>'Long-form'!BV175</f>
        <v>0.56568542494923801</v>
      </c>
      <c r="AC175" s="55" t="str">
        <f>'Long-form'!BW175</f>
        <v>nd</v>
      </c>
      <c r="AD175" s="55" t="str">
        <f>'Long-form'!BX175</f>
        <v>nd</v>
      </c>
      <c r="AE175" s="55" t="str">
        <f>'Long-form'!BY175</f>
        <v>nd</v>
      </c>
      <c r="AF175" t="str">
        <f>'Long-form'!BZ175</f>
        <v>nd</v>
      </c>
      <c r="AG175">
        <f>'Long-form'!CB175</f>
        <v>0</v>
      </c>
      <c r="AH175">
        <f>'Long-form'!CD175</f>
        <v>0</v>
      </c>
      <c r="AI175" t="e">
        <f>'Long-form'!#REF!</f>
        <v>#REF!</v>
      </c>
    </row>
    <row r="176" spans="1:35">
      <c r="A176" t="str">
        <f>'Long-form'!A176</f>
        <v>KWG-46</v>
      </c>
      <c r="B176" t="str">
        <f>'Long-form'!B176</f>
        <v>Huang et al. 1982</v>
      </c>
      <c r="C176" t="str">
        <f>'Long-form'!C176</f>
        <v>9a</v>
      </c>
      <c r="D176" t="str">
        <f>'Long-form'!D176</f>
        <v>W_PRD</v>
      </c>
      <c r="E176" s="55">
        <f>'Long-form'!E176</f>
        <v>22.844529999999999</v>
      </c>
      <c r="F176" s="55">
        <f>'Long-form'!F176</f>
        <v>113.39076300000001</v>
      </c>
      <c r="G176" t="str">
        <f>'Long-form'!G176</f>
        <v>1 = Radiocarbon</v>
      </c>
      <c r="H176" s="56">
        <f>'Long-form'!H176</f>
        <v>5048.8105623511901</v>
      </c>
      <c r="I176" s="56">
        <f>'Long-form'!I176</f>
        <v>201.71645716328698</v>
      </c>
      <c r="J176" s="56">
        <f>'Long-form'!J176</f>
        <v>5802</v>
      </c>
      <c r="K176" s="56">
        <f>'Long-form'!K176</f>
        <v>473</v>
      </c>
      <c r="L176" s="56">
        <f>'Long-form'!L176</f>
        <v>475</v>
      </c>
      <c r="M176" s="56" t="str">
        <f>'Long-form'!Q176</f>
        <v>transgressive</v>
      </c>
      <c r="N176" s="55">
        <f>'Long-form'!R176</f>
        <v>9.6999999999999993</v>
      </c>
      <c r="O176" s="55">
        <f>'Long-form'!S176</f>
        <v>3.5</v>
      </c>
      <c r="P176" s="55">
        <f>'Long-form'!T176</f>
        <v>1</v>
      </c>
      <c r="Q176" s="55">
        <f>'Long-form'!AM176</f>
        <v>-8.9</v>
      </c>
      <c r="R176" s="55" t="str">
        <f>'Long-form'!AN176</f>
        <v>YSD</v>
      </c>
      <c r="S176" s="55">
        <f>'Long-form'!AP176</f>
        <v>0.56809858299418425</v>
      </c>
      <c r="T176" s="55">
        <f>'Long-form'!AQ176</f>
        <v>0.56809858299418425</v>
      </c>
      <c r="U176" t="str">
        <f>'Long-form'!BC176</f>
        <v>-1</v>
      </c>
      <c r="V176" t="str">
        <f>'Long-form'!BD176</f>
        <v>5 = Sedimentary (e.g., deltaic, estuarine, wetland, lacustrine, marine facies)</v>
      </c>
      <c r="W176" t="str">
        <f>'Long-form'!BE176</f>
        <v>Subtidal deposit</v>
      </c>
      <c r="X176" t="str">
        <f>'Long-form'!BF176</f>
        <v>sediment texture, mollusc fossil</v>
      </c>
      <c r="Y176" t="str">
        <f>'Long-form'!BH176</f>
        <v>&lt;MTL</v>
      </c>
      <c r="Z176" s="55">
        <f>'Long-form'!BT176</f>
        <v>-8.8900148380000008</v>
      </c>
      <c r="AA176" s="55">
        <f>'Long-form'!BU176</f>
        <v>0.57029466067989809</v>
      </c>
      <c r="AB176" s="55">
        <f>'Long-form'!BV176</f>
        <v>0.57029466067989809</v>
      </c>
      <c r="AC176" s="55" t="str">
        <f>'Long-form'!BW176</f>
        <v>nd</v>
      </c>
      <c r="AD176" s="55" t="str">
        <f>'Long-form'!BX176</f>
        <v>nd</v>
      </c>
      <c r="AE176" s="55" t="str">
        <f>'Long-form'!BY176</f>
        <v>nd</v>
      </c>
      <c r="AF176" t="str">
        <f>'Long-form'!BZ176</f>
        <v>nd</v>
      </c>
      <c r="AG176">
        <f>'Long-form'!CB176</f>
        <v>0</v>
      </c>
      <c r="AH176">
        <f>'Long-form'!CD176</f>
        <v>0</v>
      </c>
      <c r="AI176" t="e">
        <f>'Long-form'!#REF!</f>
        <v>#REF!</v>
      </c>
    </row>
    <row r="177" spans="1:35">
      <c r="A177" t="str">
        <f>'Long-form'!A177</f>
        <v>KWG-99</v>
      </c>
      <c r="B177" t="str">
        <f>'Long-form'!B177</f>
        <v>Li et al 1991</v>
      </c>
      <c r="C177" t="str">
        <f>'Long-form'!C177</f>
        <v>9a</v>
      </c>
      <c r="D177" t="str">
        <f>'Long-form'!D177</f>
        <v>W_PRD</v>
      </c>
      <c r="E177" s="55">
        <f>'Long-form'!E177</f>
        <v>22.572877999999999</v>
      </c>
      <c r="F177" s="55">
        <f>'Long-form'!F177</f>
        <v>113.38992</v>
      </c>
      <c r="G177" t="str">
        <f>'Long-form'!G177</f>
        <v>1 = Radiocarbon</v>
      </c>
      <c r="H177" s="56">
        <f>'Long-form'!H177</f>
        <v>4738.8105623511883</v>
      </c>
      <c r="I177" s="56">
        <f>'Long-form'!I177</f>
        <v>156.41140971971382</v>
      </c>
      <c r="J177" s="56">
        <f>'Long-form'!J177</f>
        <v>5445</v>
      </c>
      <c r="K177" s="56">
        <f>'Long-form'!K177</f>
        <v>441</v>
      </c>
      <c r="L177" s="56">
        <f>'Long-form'!L177</f>
        <v>468</v>
      </c>
      <c r="M177" s="56" t="str">
        <f>'Long-form'!Q177</f>
        <v>na</v>
      </c>
      <c r="N177" s="55" t="str">
        <f>'Long-form'!R177</f>
        <v>na</v>
      </c>
      <c r="O177" s="55" t="str">
        <f>'Long-form'!S177</f>
        <v>na</v>
      </c>
      <c r="P177" s="55">
        <f>'Long-form'!T177</f>
        <v>1</v>
      </c>
      <c r="Q177" s="55">
        <f>'Long-form'!AM177</f>
        <v>-5.9</v>
      </c>
      <c r="R177" s="55" t="str">
        <f>'Long-form'!AN177</f>
        <v>YSD</v>
      </c>
      <c r="S177" s="55">
        <f>'Long-form'!AP177</f>
        <v>0.57017541160593732</v>
      </c>
      <c r="T177" s="55">
        <f>'Long-form'!AQ177</f>
        <v>0.57017541160593732</v>
      </c>
      <c r="U177" t="str">
        <f>'Long-form'!BC177</f>
        <v>-1</v>
      </c>
      <c r="V177" t="str">
        <f>'Long-form'!BD177</f>
        <v>5 = Sedimentary (e.g., deltaic, estuarine, wetland, lacustrine, marine facies)</v>
      </c>
      <c r="W177" t="str">
        <f>'Long-form'!BE177</f>
        <v>Subtidal deposit</v>
      </c>
      <c r="X177" t="str">
        <f>'Long-form'!BF177</f>
        <v>sediment texture</v>
      </c>
      <c r="Y177" t="str">
        <f>'Long-form'!BH177</f>
        <v>&lt;MTL</v>
      </c>
      <c r="Z177" s="55">
        <f>'Long-form'!BT177</f>
        <v>-5.8678923530000002</v>
      </c>
      <c r="AA177" s="55">
        <f>'Long-form'!BU177</f>
        <v>0.5723635208501674</v>
      </c>
      <c r="AB177" s="55">
        <f>'Long-form'!BV177</f>
        <v>0.5723635208501674</v>
      </c>
      <c r="AC177" s="55" t="str">
        <f>'Long-form'!BW177</f>
        <v>nd</v>
      </c>
      <c r="AD177" s="55" t="str">
        <f>'Long-form'!BX177</f>
        <v>nd</v>
      </c>
      <c r="AE177" s="55" t="str">
        <f>'Long-form'!BY177</f>
        <v>nd</v>
      </c>
      <c r="AF177" t="str">
        <f>'Long-form'!BZ177</f>
        <v>nd</v>
      </c>
      <c r="AG177">
        <f>'Long-form'!CB177</f>
        <v>0</v>
      </c>
      <c r="AH177">
        <f>'Long-form'!CD177</f>
        <v>0</v>
      </c>
      <c r="AI177" t="e">
        <f>'Long-form'!#REF!</f>
        <v>#REF!</v>
      </c>
    </row>
    <row r="178" spans="1:35">
      <c r="A178" t="str">
        <f>'Long-form'!A178</f>
        <v>KWG-48</v>
      </c>
      <c r="B178" t="str">
        <f>'Long-form'!B178</f>
        <v>Huang et al. 1982; Zong 2004</v>
      </c>
      <c r="C178" t="str">
        <f>'Long-form'!C178</f>
        <v>9a</v>
      </c>
      <c r="D178" t="str">
        <f>'Long-form'!D178</f>
        <v>W_PRD</v>
      </c>
      <c r="E178" s="55">
        <f>'Long-form'!E178</f>
        <v>22.45</v>
      </c>
      <c r="F178" s="55">
        <f>'Long-form'!F178</f>
        <v>113.383333333333</v>
      </c>
      <c r="G178" t="str">
        <f>'Long-form'!G178</f>
        <v>1 = Radiocarbon</v>
      </c>
      <c r="H178" s="56">
        <f>'Long-form'!H178</f>
        <v>1418.8105623511885</v>
      </c>
      <c r="I178" s="56">
        <f>'Long-form'!I178</f>
        <v>122.32959204750168</v>
      </c>
      <c r="J178" s="56">
        <f>'Long-form'!J178</f>
        <v>1324</v>
      </c>
      <c r="K178" s="56">
        <f>'Long-form'!K178</f>
        <v>243</v>
      </c>
      <c r="L178" s="56">
        <f>'Long-form'!L178</f>
        <v>264</v>
      </c>
      <c r="M178" s="56" t="str">
        <f>'Long-form'!Q178</f>
        <v>regressive</v>
      </c>
      <c r="N178" s="55">
        <f>'Long-form'!R178</f>
        <v>3</v>
      </c>
      <c r="O178" s="55">
        <f>'Long-form'!S178</f>
        <v>16.2</v>
      </c>
      <c r="P178" s="55">
        <f>'Long-form'!T178</f>
        <v>1</v>
      </c>
      <c r="Q178" s="55">
        <f>'Long-form'!AM178</f>
        <v>-2.2000000000000002</v>
      </c>
      <c r="R178" s="55" t="str">
        <f>'Long-form'!AN178</f>
        <v>YSD</v>
      </c>
      <c r="S178" s="55">
        <f>'Long-form'!AP178</f>
        <v>0.53730810528038753</v>
      </c>
      <c r="T178" s="55">
        <f>'Long-form'!AQ178</f>
        <v>0.53730810528038753</v>
      </c>
      <c r="U178" t="str">
        <f>'Long-form'!BC178</f>
        <v>-1</v>
      </c>
      <c r="V178" t="str">
        <f>'Long-form'!BD178</f>
        <v>5 = Sedimentary (e.g., deltaic, estuarine, wetland, lacustrine, marine facies)</v>
      </c>
      <c r="W178" t="str">
        <f>'Long-form'!BE178</f>
        <v>Subtidal deposit</v>
      </c>
      <c r="X178" t="str">
        <f>'Long-form'!BF178</f>
        <v>sediment texture and pollen assemblage</v>
      </c>
      <c r="Y178" t="str">
        <f>'Long-form'!BH178</f>
        <v>&lt;MTL</v>
      </c>
      <c r="Z178" s="55">
        <f>'Long-form'!BT178</f>
        <v>-2.1718642460000002</v>
      </c>
      <c r="AA178" s="55">
        <f>'Long-form'!BU178</f>
        <v>0.53962950252928166</v>
      </c>
      <c r="AB178" s="55">
        <f>'Long-form'!BV178</f>
        <v>0.53962950252928166</v>
      </c>
      <c r="AC178" s="55" t="str">
        <f>'Long-form'!BW178</f>
        <v>nd</v>
      </c>
      <c r="AD178" s="55" t="str">
        <f>'Long-form'!BX178</f>
        <v>nd</v>
      </c>
      <c r="AE178" s="55" t="str">
        <f>'Long-form'!BY178</f>
        <v>nd</v>
      </c>
      <c r="AF178" t="str">
        <f>'Long-form'!BZ178</f>
        <v>nd</v>
      </c>
      <c r="AG178">
        <f>'Long-form'!CB178</f>
        <v>0</v>
      </c>
      <c r="AH178">
        <f>'Long-form'!CD178</f>
        <v>0</v>
      </c>
      <c r="AI178" t="e">
        <f>'Long-form'!#REF!</f>
        <v>#REF!</v>
      </c>
    </row>
    <row r="179" spans="1:35">
      <c r="A179" t="str">
        <f>'Long-form'!A179</f>
        <v>KWG-43</v>
      </c>
      <c r="B179" t="str">
        <f>'Long-form'!B179</f>
        <v>Huang et al. 1982; Li et al 1991; Zong 2004</v>
      </c>
      <c r="C179" t="str">
        <f>'Long-form'!C179</f>
        <v>9a</v>
      </c>
      <c r="D179" t="str">
        <f>'Long-form'!D179</f>
        <v>W_PRD</v>
      </c>
      <c r="E179" s="55">
        <f>'Long-form'!E179</f>
        <v>22.85</v>
      </c>
      <c r="F179" s="55">
        <f>'Long-form'!F179</f>
        <v>113.383333333333</v>
      </c>
      <c r="G179" t="str">
        <f>'Long-form'!G179</f>
        <v>1 = Radiocarbon</v>
      </c>
      <c r="H179" s="56">
        <f>'Long-form'!H179</f>
        <v>2070.681864716249</v>
      </c>
      <c r="I179" s="56">
        <f>'Long-form'!I179</f>
        <v>102.09332595228739</v>
      </c>
      <c r="J179" s="56">
        <f>'Long-form'!J179</f>
        <v>1492</v>
      </c>
      <c r="K179" s="56">
        <f>'Long-form'!K179</f>
        <v>319</v>
      </c>
      <c r="L179" s="56">
        <f>'Long-form'!L179</f>
        <v>275</v>
      </c>
      <c r="M179" s="56" t="str">
        <f>'Long-form'!Q179</f>
        <v>regressive</v>
      </c>
      <c r="N179" s="55">
        <f>'Long-form'!R179</f>
        <v>4</v>
      </c>
      <c r="O179" s="55">
        <f>'Long-form'!S179</f>
        <v>6.1</v>
      </c>
      <c r="P179" s="55">
        <f>'Long-form'!T179</f>
        <v>1</v>
      </c>
      <c r="Q179" s="55">
        <f>'Long-form'!AM179</f>
        <v>-6.7</v>
      </c>
      <c r="R179" s="55" t="str">
        <f>'Long-form'!AN179</f>
        <v>YSD</v>
      </c>
      <c r="S179" s="55">
        <f>'Long-form'!AP179</f>
        <v>0.53990739946772348</v>
      </c>
      <c r="T179" s="55">
        <f>'Long-form'!AQ179</f>
        <v>0.53990739946772348</v>
      </c>
      <c r="U179" t="str">
        <f>'Long-form'!BC179</f>
        <v>-1</v>
      </c>
      <c r="V179" t="str">
        <f>'Long-form'!BD179</f>
        <v>5 = Sedimentary (e.g., deltaic, estuarine, wetland, lacustrine, marine facies)</v>
      </c>
      <c r="W179" t="str">
        <f>'Long-form'!BE179</f>
        <v>Subtidal deposit</v>
      </c>
      <c r="X179" t="str">
        <f>'Long-form'!BF179</f>
        <v>sediment texture, mollusc fossil</v>
      </c>
      <c r="Y179" t="str">
        <f>'Long-form'!BH179</f>
        <v>&lt;MTL</v>
      </c>
      <c r="Z179" s="55">
        <f>'Long-form'!BT179</f>
        <v>-6.6901031519999998</v>
      </c>
      <c r="AA179" s="55">
        <f>'Long-form'!BU179</f>
        <v>0.54221766846903829</v>
      </c>
      <c r="AB179" s="55">
        <f>'Long-form'!BV179</f>
        <v>0.54221766846903829</v>
      </c>
      <c r="AC179" s="55" t="str">
        <f>'Long-form'!BW179</f>
        <v>nd</v>
      </c>
      <c r="AD179" s="55" t="str">
        <f>'Long-form'!BX179</f>
        <v>nd</v>
      </c>
      <c r="AE179" s="55" t="str">
        <f>'Long-form'!BY179</f>
        <v>nd</v>
      </c>
      <c r="AF179" t="str">
        <f>'Long-form'!BZ179</f>
        <v>nd</v>
      </c>
      <c r="AG179">
        <f>'Long-form'!CB179</f>
        <v>0</v>
      </c>
      <c r="AH179">
        <f>'Long-form'!CD179</f>
        <v>0</v>
      </c>
      <c r="AI179" t="e">
        <f>'Long-form'!#REF!</f>
        <v>#REF!</v>
      </c>
    </row>
    <row r="180" spans="1:35">
      <c r="A180" t="str">
        <f>'Long-form'!A180</f>
        <v>DMDLS1</v>
      </c>
      <c r="B180" t="str">
        <f>'Long-form'!B180</f>
        <v>Huang et al. 1986; Li et al 1991</v>
      </c>
      <c r="C180" t="str">
        <f>'Long-form'!C180</f>
        <v>9a</v>
      </c>
      <c r="D180" t="str">
        <f>'Long-form'!D180</f>
        <v>W_PRD</v>
      </c>
      <c r="E180" s="55">
        <f>'Long-form'!E180</f>
        <v>22.217870000000001</v>
      </c>
      <c r="F180" s="55">
        <f>'Long-form'!F180</f>
        <v>113.37174</v>
      </c>
      <c r="G180" t="str">
        <f>'Long-form'!G180</f>
        <v>1 = Radiocarbon</v>
      </c>
      <c r="H180" s="56">
        <f>'Long-form'!H180</f>
        <v>8440.681864716249</v>
      </c>
      <c r="I180" s="56">
        <f>'Long-form'!I180</f>
        <v>228.74231616384407</v>
      </c>
      <c r="J180" s="56">
        <f>'Long-form'!J180</f>
        <v>8848</v>
      </c>
      <c r="K180" s="56">
        <f>'Long-form'!K180</f>
        <v>595</v>
      </c>
      <c r="L180" s="56">
        <f>'Long-form'!L180</f>
        <v>557</v>
      </c>
      <c r="M180" s="56" t="str">
        <f>'Long-form'!Q180</f>
        <v>regressive</v>
      </c>
      <c r="N180" s="55">
        <f>'Long-form'!R180</f>
        <v>16.100000000000001</v>
      </c>
      <c r="O180" s="55" t="str">
        <f>'Long-form'!S180</f>
        <v>nd</v>
      </c>
      <c r="P180" s="55">
        <f>'Long-form'!T180</f>
        <v>1</v>
      </c>
      <c r="Q180" s="55">
        <f>'Long-form'!AM180</f>
        <v>-54.7</v>
      </c>
      <c r="R180" s="55" t="str">
        <f>'Long-form'!AN180</f>
        <v>YSD</v>
      </c>
      <c r="S180" s="55">
        <f>'Long-form'!AP180</f>
        <v>0.62352546058681524</v>
      </c>
      <c r="T180" s="55">
        <f>'Long-form'!AQ180</f>
        <v>0.62352546058681524</v>
      </c>
      <c r="U180" t="str">
        <f>'Long-form'!BC180</f>
        <v>-1</v>
      </c>
      <c r="V180" t="str">
        <f>'Long-form'!BD180</f>
        <v>5 = Sedimentary (e.g., deltaic, estuarine, wetland, lacustrine, marine facies)</v>
      </c>
      <c r="W180" t="str">
        <f>'Long-form'!BE180</f>
        <v>Subtidal deposit</v>
      </c>
      <c r="X180" t="str">
        <f>'Long-form'!BF180</f>
        <v>Shell-bearing muddy sediment (author interpretation only)</v>
      </c>
      <c r="Y180" t="str">
        <f>'Long-form'!BH180</f>
        <v>&lt;MTL</v>
      </c>
      <c r="Z180" s="55">
        <f>'Long-form'!BT180</f>
        <v>-54.670444278000005</v>
      </c>
      <c r="AA180" s="55">
        <f>'Long-form'!BU180</f>
        <v>0.62552697783548883</v>
      </c>
      <c r="AB180" s="55">
        <f>'Long-form'!BV180</f>
        <v>0.62552697783548883</v>
      </c>
      <c r="AC180" s="55" t="str">
        <f>'Long-form'!BW180</f>
        <v>nd</v>
      </c>
      <c r="AD180" s="55" t="str">
        <f>'Long-form'!BX180</f>
        <v>nd</v>
      </c>
      <c r="AE180" s="55" t="str">
        <f>'Long-form'!BY180</f>
        <v>nd</v>
      </c>
      <c r="AF180" t="str">
        <f>'Long-form'!BZ180</f>
        <v>nd</v>
      </c>
      <c r="AG180">
        <f>'Long-form'!CB180</f>
        <v>0</v>
      </c>
      <c r="AH180">
        <f>'Long-form'!CD180</f>
        <v>0</v>
      </c>
      <c r="AI180" t="e">
        <f>'Long-form'!#REF!</f>
        <v>#REF!</v>
      </c>
    </row>
    <row r="181" spans="1:35">
      <c r="A181" t="str">
        <f>'Long-form'!A181</f>
        <v>KWG-86</v>
      </c>
      <c r="B181" t="str">
        <f>'Long-form'!B181</f>
        <v>Huang et al. 1981</v>
      </c>
      <c r="C181" t="str">
        <f>'Long-form'!C181</f>
        <v>9a</v>
      </c>
      <c r="D181" t="str">
        <f>'Long-form'!D181</f>
        <v>W_PRD</v>
      </c>
      <c r="E181" s="55">
        <f>'Long-form'!E181</f>
        <v>22.516666666666701</v>
      </c>
      <c r="F181" s="55">
        <f>'Long-form'!F181</f>
        <v>113.35</v>
      </c>
      <c r="G181" t="str">
        <f>'Long-form'!G181</f>
        <v>1 = Radiocarbon</v>
      </c>
      <c r="H181" s="56">
        <f>'Long-form'!H181</f>
        <v>5410.681864716249</v>
      </c>
      <c r="I181" s="56">
        <f>'Long-form'!I181</f>
        <v>157.55331543322089</v>
      </c>
      <c r="J181" s="56">
        <f>'Long-form'!J181</f>
        <v>5605</v>
      </c>
      <c r="K181" s="56">
        <f>'Long-form'!K181</f>
        <v>412</v>
      </c>
      <c r="L181" s="56">
        <f>'Long-form'!L181</f>
        <v>417</v>
      </c>
      <c r="M181" s="56" t="str">
        <f>'Long-form'!Q181</f>
        <v>na</v>
      </c>
      <c r="N181" s="55">
        <f>'Long-form'!R181</f>
        <v>2.5</v>
      </c>
      <c r="O181" s="55">
        <f>'Long-form'!S181</f>
        <v>17</v>
      </c>
      <c r="P181" s="55">
        <f>'Long-form'!T181</f>
        <v>1</v>
      </c>
      <c r="Q181" s="55">
        <f>'Long-form'!AM181</f>
        <v>-1.4</v>
      </c>
      <c r="R181" s="55" t="str">
        <f>'Long-form'!AN181</f>
        <v>YSD</v>
      </c>
      <c r="S181" s="55">
        <f>'Long-form'!AP181</f>
        <v>0.53628350711167694</v>
      </c>
      <c r="T181" s="55">
        <f>'Long-form'!AQ181</f>
        <v>0.53628350711167694</v>
      </c>
      <c r="U181" t="str">
        <f>'Long-form'!BC181</f>
        <v xml:space="preserve">-1 </v>
      </c>
      <c r="V181" t="str">
        <f>'Long-form'!BD181</f>
        <v>5 = Sedimentary (e.g., deltaic, estuarine, wetland, lacustrine, marine facies)</v>
      </c>
      <c r="W181" t="str">
        <f>'Long-form'!BE181</f>
        <v>Oyster shell layer</v>
      </c>
      <c r="X181" t="str">
        <f>'Long-form'!BF181</f>
        <v>sediment texture, mollusc fossil</v>
      </c>
      <c r="Y181" t="str">
        <f>'Long-form'!BH181</f>
        <v>&lt;MTL</v>
      </c>
      <c r="Z181" s="55">
        <f>'Long-form'!BT181</f>
        <v>-1.3692009979999999</v>
      </c>
      <c r="AA181" s="55">
        <f>'Long-form'!BU181</f>
        <v>0.53860932037980924</v>
      </c>
      <c r="AB181" s="55">
        <f>'Long-form'!BV181</f>
        <v>0.53860932037980924</v>
      </c>
      <c r="AC181" s="55" t="str">
        <f>'Long-form'!BW181</f>
        <v>nd</v>
      </c>
      <c r="AD181" s="55" t="str">
        <f>'Long-form'!BX181</f>
        <v>nd</v>
      </c>
      <c r="AE181" s="55" t="str">
        <f>'Long-form'!BY181</f>
        <v>nd</v>
      </c>
      <c r="AF181" t="str">
        <f>'Long-form'!BZ181</f>
        <v>nd</v>
      </c>
      <c r="AG181">
        <f>'Long-form'!CB181</f>
        <v>0</v>
      </c>
      <c r="AH181">
        <f>'Long-form'!CD181</f>
        <v>0</v>
      </c>
      <c r="AI181" t="e">
        <f>'Long-form'!#REF!</f>
        <v>#REF!</v>
      </c>
    </row>
    <row r="182" spans="1:35">
      <c r="A182" t="str">
        <f>'Long-form'!A182</f>
        <v>KWG-155</v>
      </c>
      <c r="B182" t="str">
        <f>'Long-form'!B182</f>
        <v>Li et al 1991</v>
      </c>
      <c r="C182" t="str">
        <f>'Long-form'!C182</f>
        <v>9a</v>
      </c>
      <c r="D182" t="str">
        <f>'Long-form'!D182</f>
        <v>W_PRD</v>
      </c>
      <c r="E182" s="55">
        <f>'Long-form'!E182</f>
        <v>22.516666666666701</v>
      </c>
      <c r="F182" s="55">
        <f>'Long-form'!F182</f>
        <v>113.35</v>
      </c>
      <c r="G182" t="str">
        <f>'Long-form'!G182</f>
        <v>1 = Radiocarbon</v>
      </c>
      <c r="H182" s="56">
        <f>'Long-form'!H182</f>
        <v>5830.6818647162499</v>
      </c>
      <c r="I182" s="56">
        <f>'Long-form'!I182</f>
        <v>129.317621397859</v>
      </c>
      <c r="J182" s="56">
        <f>'Long-form'!J182</f>
        <v>6056</v>
      </c>
      <c r="K182" s="56">
        <f>'Long-form'!K182</f>
        <v>336</v>
      </c>
      <c r="L182" s="56">
        <f>'Long-form'!L182</f>
        <v>355</v>
      </c>
      <c r="M182" s="56" t="str">
        <f>'Long-form'!Q182</f>
        <v>na</v>
      </c>
      <c r="N182" s="55">
        <f>'Long-form'!R182</f>
        <v>7.6</v>
      </c>
      <c r="O182" s="55">
        <f>'Long-form'!S182</f>
        <v>13</v>
      </c>
      <c r="P182" s="55">
        <f>'Long-form'!T182</f>
        <v>1</v>
      </c>
      <c r="Q182" s="55">
        <f>'Long-form'!AM182</f>
        <v>-6</v>
      </c>
      <c r="R182" s="55" t="str">
        <f>'Long-form'!AN182</f>
        <v>YSD</v>
      </c>
      <c r="S182" s="55">
        <f>'Long-form'!AP182</f>
        <v>0.55516123783996307</v>
      </c>
      <c r="T182" s="55">
        <f>'Long-form'!AQ182</f>
        <v>0.55516123783996307</v>
      </c>
      <c r="U182" t="str">
        <f>'Long-form'!BC182</f>
        <v>-1</v>
      </c>
      <c r="V182" t="str">
        <f>'Long-form'!BD182</f>
        <v>5 = Sedimentary (e.g., deltaic, estuarine, wetland, lacustrine, marine facies)</v>
      </c>
      <c r="W182" t="str">
        <f>'Long-form'!BE182</f>
        <v>Subtidal deposit</v>
      </c>
      <c r="X182" t="str">
        <f>'Long-form'!BF182</f>
        <v>sediment texture, mollusc fossil</v>
      </c>
      <c r="Y182" t="str">
        <f>'Long-form'!BH182</f>
        <v>&lt;MTL</v>
      </c>
      <c r="Z182" s="55">
        <f>'Long-form'!BT182</f>
        <v>-5.9692009979999998</v>
      </c>
      <c r="AA182" s="55">
        <f>'Long-form'!BU182</f>
        <v>0.55740828842061552</v>
      </c>
      <c r="AB182" s="55">
        <f>'Long-form'!BV182</f>
        <v>0.55740828842061552</v>
      </c>
      <c r="AC182" s="55" t="str">
        <f>'Long-form'!BW182</f>
        <v>nd</v>
      </c>
      <c r="AD182" s="55" t="str">
        <f>'Long-form'!BX182</f>
        <v>nd</v>
      </c>
      <c r="AE182" s="55" t="str">
        <f>'Long-form'!BY182</f>
        <v>nd</v>
      </c>
      <c r="AF182" t="str">
        <f>'Long-form'!BZ182</f>
        <v>nd</v>
      </c>
      <c r="AG182">
        <f>'Long-form'!CB182</f>
        <v>0</v>
      </c>
      <c r="AH182">
        <f>'Long-form'!CD182</f>
        <v>0</v>
      </c>
      <c r="AI182" t="e">
        <f>'Long-form'!#REF!</f>
        <v>#REF!</v>
      </c>
    </row>
    <row r="183" spans="1:35">
      <c r="A183" t="str">
        <f>'Long-form'!A183</f>
        <v>GC-477</v>
      </c>
      <c r="B183" t="str">
        <f>'Long-form'!B183</f>
        <v>Huang et al. 1981; Huang et al. 1982</v>
      </c>
      <c r="C183" t="str">
        <f>'Long-form'!C183</f>
        <v>9a</v>
      </c>
      <c r="D183" t="str">
        <f>'Long-form'!D183</f>
        <v>W_PRD</v>
      </c>
      <c r="E183" s="55">
        <f>'Long-form'!E183</f>
        <v>22.833333333333332</v>
      </c>
      <c r="F183" s="55">
        <f>'Long-form'!F183</f>
        <v>113.28333333333333</v>
      </c>
      <c r="G183" t="str">
        <f>'Long-form'!G183</f>
        <v>1 = Radiocarbon</v>
      </c>
      <c r="H183" s="56">
        <f>'Long-form'!H183</f>
        <v>6310.681864716249</v>
      </c>
      <c r="I183" s="56">
        <f>'Long-form'!I183</f>
        <v>303.84707864977082</v>
      </c>
      <c r="J183" s="56">
        <f>'Long-form'!J183</f>
        <v>6581</v>
      </c>
      <c r="K183" s="56">
        <f>'Long-form'!K183</f>
        <v>681</v>
      </c>
      <c r="L183" s="56">
        <f>'Long-form'!L183</f>
        <v>680</v>
      </c>
      <c r="M183" s="56" t="str">
        <f>'Long-form'!Q183</f>
        <v>transgressive</v>
      </c>
      <c r="N183" s="55">
        <f>'Long-form'!R183</f>
        <v>0.5</v>
      </c>
      <c r="O183" s="55" t="str">
        <f>'Long-form'!S183</f>
        <v>nd</v>
      </c>
      <c r="P183" s="55">
        <f>'Long-form'!T183</f>
        <v>1</v>
      </c>
      <c r="Q183" s="55">
        <f>'Long-form'!AM183</f>
        <v>-0.5</v>
      </c>
      <c r="R183" s="55" t="str">
        <f>'Long-form'!AN183</f>
        <v>YSD</v>
      </c>
      <c r="S183" s="55">
        <f>'Long-form'!AP183</f>
        <v>0.53404119691274754</v>
      </c>
      <c r="T183" s="55">
        <f>'Long-form'!AQ183</f>
        <v>0.53404119691274754</v>
      </c>
      <c r="U183" t="str">
        <f>'Long-form'!BC183</f>
        <v>-1</v>
      </c>
      <c r="V183" t="str">
        <f>'Long-form'!BD183</f>
        <v>5 = Sedimentary (e.g., deltaic, estuarine, wetland, lacustrine, marine facies)</v>
      </c>
      <c r="W183" t="str">
        <f>'Long-form'!BE183</f>
        <v>Subtidal deposit</v>
      </c>
      <c r="X183" t="str">
        <f>'Long-form'!BF183</f>
        <v>sediment texture, mollusc fossil</v>
      </c>
      <c r="Y183" t="str">
        <f>'Long-form'!BH183</f>
        <v>&lt;MTL</v>
      </c>
      <c r="Z183" s="55">
        <f>'Long-form'!BT183</f>
        <v>-0.498581881</v>
      </c>
      <c r="AA183" s="55">
        <f>'Long-form'!BU183</f>
        <v>0.53637673327615543</v>
      </c>
      <c r="AB183" s="55">
        <f>'Long-form'!BV183</f>
        <v>0.53637673327615543</v>
      </c>
      <c r="AC183" s="55" t="str">
        <f>'Long-form'!BW183</f>
        <v>nd</v>
      </c>
      <c r="AD183" s="55" t="str">
        <f>'Long-form'!BX183</f>
        <v>nd</v>
      </c>
      <c r="AE183" s="55" t="str">
        <f>'Long-form'!BY183</f>
        <v>nd</v>
      </c>
      <c r="AF183" t="str">
        <f>'Long-form'!BZ183</f>
        <v>nd</v>
      </c>
      <c r="AG183">
        <f>'Long-form'!CB183</f>
        <v>0</v>
      </c>
      <c r="AH183">
        <f>'Long-form'!CD183</f>
        <v>0</v>
      </c>
      <c r="AI183" t="e">
        <f>'Long-form'!#REF!</f>
        <v>#REF!</v>
      </c>
    </row>
    <row r="184" spans="1:35">
      <c r="A184" t="str">
        <f>'Long-form'!A184</f>
        <v>KWG-98</v>
      </c>
      <c r="B184" t="str">
        <f>'Long-form'!B184</f>
        <v>Huang et al. 1983; Li et al. 1991; Zong 2004</v>
      </c>
      <c r="C184" t="str">
        <f>'Long-form'!C184</f>
        <v>9a</v>
      </c>
      <c r="D184" t="str">
        <f>'Long-form'!D184</f>
        <v>W_PRD</v>
      </c>
      <c r="E184" s="55">
        <f>'Long-form'!E184</f>
        <v>22.833333333333332</v>
      </c>
      <c r="F184" s="55">
        <f>'Long-form'!F184</f>
        <v>113.28333333333333</v>
      </c>
      <c r="G184" t="str">
        <f>'Long-form'!G184</f>
        <v>1 = Radiocarbon</v>
      </c>
      <c r="H184" s="56">
        <f>'Long-form'!H184</f>
        <v>6940.6818647162481</v>
      </c>
      <c r="I184" s="56">
        <f>'Long-form'!I184</f>
        <v>157.55331543322089</v>
      </c>
      <c r="J184" s="56">
        <f>'Long-form'!J184</f>
        <v>7254</v>
      </c>
      <c r="K184" s="56">
        <f>'Long-form'!K184</f>
        <v>349</v>
      </c>
      <c r="L184" s="56">
        <f>'Long-form'!L184</f>
        <v>396</v>
      </c>
      <c r="M184" s="56" t="str">
        <f>'Long-form'!Q184</f>
        <v>regressive</v>
      </c>
      <c r="N184" s="55">
        <f>'Long-form'!R184</f>
        <v>10</v>
      </c>
      <c r="O184" s="55">
        <f>'Long-form'!S184</f>
        <v>18</v>
      </c>
      <c r="P184" s="55">
        <f>'Long-form'!T184</f>
        <v>1</v>
      </c>
      <c r="Q184" s="55">
        <f>'Long-form'!AM184</f>
        <v>-8.4</v>
      </c>
      <c r="R184" s="55" t="str">
        <f>'Long-form'!AN184</f>
        <v>YSD</v>
      </c>
      <c r="S184" s="55">
        <f>'Long-form'!AP184</f>
        <v>0.57017541160593732</v>
      </c>
      <c r="T184" s="55">
        <f>'Long-form'!AQ184</f>
        <v>0.57017541160593732</v>
      </c>
      <c r="U184" t="str">
        <f>'Long-form'!BC184</f>
        <v>-1</v>
      </c>
      <c r="V184" t="str">
        <f>'Long-form'!BD184</f>
        <v>5 = Sedimentary (e.g., deltaic, estuarine, wetland, lacustrine, marine facies)</v>
      </c>
      <c r="W184" t="str">
        <f>'Long-form'!BE184</f>
        <v>Subtidal deposit</v>
      </c>
      <c r="X184" t="str">
        <f>'Long-form'!BF184</f>
        <v>sediment texture, mollusc fossil</v>
      </c>
      <c r="Y184" t="str">
        <f>'Long-form'!BH184</f>
        <v>&lt;MTL</v>
      </c>
      <c r="Z184" s="55">
        <f>'Long-form'!BT184</f>
        <v>-8.3985818810000001</v>
      </c>
      <c r="AA184" s="55">
        <f>'Long-form'!BU184</f>
        <v>0.5723635208501674</v>
      </c>
      <c r="AB184" s="55">
        <f>'Long-form'!BV184</f>
        <v>0.5723635208501674</v>
      </c>
      <c r="AC184" s="55" t="str">
        <f>'Long-form'!BW184</f>
        <v>nd</v>
      </c>
      <c r="AD184" s="55" t="str">
        <f>'Long-form'!BX184</f>
        <v>nd</v>
      </c>
      <c r="AE184" s="55" t="str">
        <f>'Long-form'!BY184</f>
        <v>nd</v>
      </c>
      <c r="AF184" t="str">
        <f>'Long-form'!BZ184</f>
        <v>nd</v>
      </c>
      <c r="AG184">
        <f>'Long-form'!CB184</f>
        <v>0</v>
      </c>
      <c r="AH184">
        <f>'Long-form'!CD184</f>
        <v>0</v>
      </c>
      <c r="AI184" t="e">
        <f>'Long-form'!#REF!</f>
        <v>#REF!</v>
      </c>
    </row>
    <row r="185" spans="1:35">
      <c r="A185" t="str">
        <f>'Long-form'!A185</f>
        <v>RH-?</v>
      </c>
      <c r="B185" t="str">
        <f>'Long-form'!B185</f>
        <v>Huang et al. 1982; Li et al 1991; Zong 2004</v>
      </c>
      <c r="C185" t="str">
        <f>'Long-form'!C185</f>
        <v>9a</v>
      </c>
      <c r="D185" t="str">
        <f>'Long-form'!D185</f>
        <v>W_PRD</v>
      </c>
      <c r="E185" s="55">
        <f>'Long-form'!E185</f>
        <v>22.716666666666665</v>
      </c>
      <c r="F185" s="55">
        <f>'Long-form'!F185</f>
        <v>113.25</v>
      </c>
      <c r="G185" t="str">
        <f>'Long-form'!G185</f>
        <v>1 = Radiocarbon</v>
      </c>
      <c r="H185" s="56">
        <f>'Long-form'!H185</f>
        <v>7855.3589885814699</v>
      </c>
      <c r="I185" s="56">
        <f>'Long-form'!I185</f>
        <v>191.95300536548001</v>
      </c>
      <c r="J185" s="56">
        <f>'Long-form'!J185</f>
        <v>8719</v>
      </c>
      <c r="K185" s="56">
        <f>'Long-form'!K185</f>
        <v>551</v>
      </c>
      <c r="L185" s="56">
        <f>'Long-form'!L185</f>
        <v>495</v>
      </c>
      <c r="M185" s="56" t="str">
        <f>'Long-form'!Q185</f>
        <v>transgressive</v>
      </c>
      <c r="N185" s="55">
        <f>'Long-form'!R185</f>
        <v>20.7</v>
      </c>
      <c r="O185" s="55">
        <f>'Long-form'!S185</f>
        <v>0.2</v>
      </c>
      <c r="P185" s="55">
        <f>'Long-form'!T185</f>
        <v>0</v>
      </c>
      <c r="Q185" s="55">
        <f>'Long-form'!AM185</f>
        <v>-22.6</v>
      </c>
      <c r="R185" s="55" t="str">
        <f>'Long-form'!AN185</f>
        <v>YSD</v>
      </c>
      <c r="S185" s="55">
        <f>'Long-form'!AP185</f>
        <v>0.15459624833740307</v>
      </c>
      <c r="T185" s="55">
        <f>'Long-form'!AQ185</f>
        <v>0.67564487713591082</v>
      </c>
      <c r="U185" t="str">
        <f>'Long-form'!BC185</f>
        <v>-1</v>
      </c>
      <c r="V185" t="str">
        <f>'Long-form'!BD185</f>
        <v>5 = Sedimentary (e.g., deltaic, estuarine, wetland, lacustrine, marine facies)</v>
      </c>
      <c r="W185" t="str">
        <f>'Long-form'!BE185</f>
        <v>Subtidal deposit</v>
      </c>
      <c r="X185" t="str">
        <f>'Long-form'!BF185</f>
        <v>sediment texture</v>
      </c>
      <c r="Y185" t="str">
        <f>'Long-form'!BH185</f>
        <v>&lt;MTL</v>
      </c>
      <c r="Z185" s="55">
        <f>'Long-form'!BT185</f>
        <v>-22.598769063000002</v>
      </c>
      <c r="AA185" s="55">
        <f>'Long-form'!BU185</f>
        <v>0.16248076809271922</v>
      </c>
      <c r="AB185" s="55">
        <f>'Long-form'!BV185</f>
        <v>0.16248076809271922</v>
      </c>
      <c r="AC185" s="55" t="str">
        <f>'Long-form'!BW185</f>
        <v>nd</v>
      </c>
      <c r="AD185" s="55" t="str">
        <f>'Long-form'!BX185</f>
        <v>nd</v>
      </c>
      <c r="AE185" s="55" t="str">
        <f>'Long-form'!BY185</f>
        <v>nd</v>
      </c>
      <c r="AF185" t="str">
        <f>'Long-form'!BZ185</f>
        <v>nd</v>
      </c>
      <c r="AG185">
        <f>'Long-form'!CB185</f>
        <v>0</v>
      </c>
      <c r="AH185">
        <f>'Long-form'!CD185</f>
        <v>0</v>
      </c>
      <c r="AI185" t="e">
        <f>'Long-form'!#REF!</f>
        <v>#REF!</v>
      </c>
    </row>
    <row r="186" spans="1:35">
      <c r="A186" t="str">
        <f>'Long-form'!A186</f>
        <v>GC-483</v>
      </c>
      <c r="B186" t="str">
        <f>'Long-form'!B186</f>
        <v>Huang et al. 1982</v>
      </c>
      <c r="C186" t="str">
        <f>'Long-form'!C186</f>
        <v>9a</v>
      </c>
      <c r="D186" t="str">
        <f>'Long-form'!D186</f>
        <v>W_PRD</v>
      </c>
      <c r="E186" s="55">
        <f>'Long-form'!E186</f>
        <v>22.674233999999998</v>
      </c>
      <c r="F186" s="55">
        <f>'Long-form'!F186</f>
        <v>113.237593</v>
      </c>
      <c r="G186" t="str">
        <f>'Long-form'!G186</f>
        <v>1 = Radiocarbon</v>
      </c>
      <c r="H186" s="56">
        <f>'Long-form'!H186</f>
        <v>5330.6818647162499</v>
      </c>
      <c r="I186" s="56">
        <f>'Long-form'!I186</f>
        <v>254.60370618669322</v>
      </c>
      <c r="J186" s="56">
        <f>'Long-form'!J186</f>
        <v>5506</v>
      </c>
      <c r="K186" s="56">
        <f>'Long-form'!K186</f>
        <v>600</v>
      </c>
      <c r="L186" s="56">
        <f>'Long-form'!L186</f>
        <v>647</v>
      </c>
      <c r="M186" s="56" t="str">
        <f>'Long-form'!Q186</f>
        <v>na</v>
      </c>
      <c r="N186" s="55">
        <f>'Long-form'!R186</f>
        <v>7.7</v>
      </c>
      <c r="O186" s="55">
        <f>'Long-form'!S186</f>
        <v>13</v>
      </c>
      <c r="P186" s="55">
        <f>'Long-form'!T186</f>
        <v>1</v>
      </c>
      <c r="Q186" s="55">
        <f>'Long-form'!AM186</f>
        <v>-5.6</v>
      </c>
      <c r="R186" s="55" t="str">
        <f>'Long-form'!AN186</f>
        <v>YSD</v>
      </c>
      <c r="S186" s="55">
        <f>'Long-form'!AP186</f>
        <v>0.55571215570653121</v>
      </c>
      <c r="T186" s="55">
        <f>'Long-form'!AQ186</f>
        <v>0.55571215570653121</v>
      </c>
      <c r="U186" t="str">
        <f>'Long-form'!BC186</f>
        <v xml:space="preserve">-1 </v>
      </c>
      <c r="V186" t="str">
        <f>'Long-form'!BD186</f>
        <v>5 = Sedimentary (e.g., deltaic, estuarine, wetland, lacustrine, marine facies)</v>
      </c>
      <c r="W186" t="str">
        <f>'Long-form'!BE186</f>
        <v>Oyster shell layer</v>
      </c>
      <c r="X186" t="str">
        <f>'Long-form'!BF186</f>
        <v>sediment texture, mollusc fossil</v>
      </c>
      <c r="Y186" t="str">
        <f>'Long-form'!BH186</f>
        <v>&lt;MTL</v>
      </c>
      <c r="Z186" s="55">
        <f>'Long-form'!BT186</f>
        <v>-5.5874775579999998</v>
      </c>
      <c r="AA186" s="55">
        <f>'Long-form'!BU186</f>
        <v>0.55795698758954526</v>
      </c>
      <c r="AB186" s="55">
        <f>'Long-form'!BV186</f>
        <v>0.55795698758954526</v>
      </c>
      <c r="AC186" s="55" t="str">
        <f>'Long-form'!BW186</f>
        <v>nd</v>
      </c>
      <c r="AD186" s="55" t="str">
        <f>'Long-form'!BX186</f>
        <v>nd</v>
      </c>
      <c r="AE186" s="55" t="str">
        <f>'Long-form'!BY186</f>
        <v>nd</v>
      </c>
      <c r="AF186" t="str">
        <f>'Long-form'!BZ186</f>
        <v>nd</v>
      </c>
      <c r="AG186">
        <f>'Long-form'!CB186</f>
        <v>0</v>
      </c>
      <c r="AH186">
        <f>'Long-form'!CD186</f>
        <v>0</v>
      </c>
      <c r="AI186" t="e">
        <f>'Long-form'!#REF!</f>
        <v>#REF!</v>
      </c>
    </row>
    <row r="187" spans="1:35">
      <c r="A187" t="str">
        <f>'Long-form'!A187</f>
        <v>Beta628986</v>
      </c>
      <c r="B187" t="str">
        <f>'Long-form'!B187</f>
        <v>Lin et al. 2023</v>
      </c>
      <c r="C187" t="str">
        <f>'Long-form'!C187</f>
        <v>9a</v>
      </c>
      <c r="D187" t="str">
        <f>'Long-form'!D187</f>
        <v>W_PRD</v>
      </c>
      <c r="E187" s="55">
        <f>'Long-form'!E187</f>
        <v>22.483152357409701</v>
      </c>
      <c r="F187" s="55">
        <f>'Long-form'!F187</f>
        <v>113.233522645843</v>
      </c>
      <c r="G187" t="str">
        <f>'Long-form'!G187</f>
        <v>1 = Radiocarbon</v>
      </c>
      <c r="H187" s="56">
        <f>'Long-form'!H187</f>
        <v>3450</v>
      </c>
      <c r="I187" s="56">
        <f>'Long-form'!I187</f>
        <v>30</v>
      </c>
      <c r="J187" s="56">
        <f>'Long-form'!J187</f>
        <v>3165</v>
      </c>
      <c r="K187" s="56">
        <f>'Long-form'!K187</f>
        <v>223</v>
      </c>
      <c r="L187" s="56">
        <f>'Long-form'!L187</f>
        <v>245</v>
      </c>
      <c r="M187" s="56" t="str">
        <f>'Long-form'!Q187</f>
        <v>regressive</v>
      </c>
      <c r="N187" s="55">
        <f>'Long-form'!R187</f>
        <v>8.75</v>
      </c>
      <c r="O187" s="55">
        <f>'Long-form'!S187</f>
        <v>21.25</v>
      </c>
      <c r="P187" s="55">
        <f>'Long-form'!T187</f>
        <v>1</v>
      </c>
      <c r="Q187" s="55">
        <f>'Long-form'!AM187</f>
        <v>-7.75</v>
      </c>
      <c r="R187" s="55" t="str">
        <f>'Long-form'!AN187</f>
        <v>YSD</v>
      </c>
      <c r="S187" s="55">
        <f>'Long-form'!AP187</f>
        <v>1.0315764634771385</v>
      </c>
      <c r="T187" s="55">
        <f>'Long-form'!AQ187</f>
        <v>1.0315764634771385</v>
      </c>
      <c r="U187" t="str">
        <f>'Long-form'!BC187</f>
        <v>-1</v>
      </c>
      <c r="V187" t="str">
        <f>'Long-form'!BD187</f>
        <v>5 = Sedimentary (e.g., deltaic, estuarine, wetland, lacustrine, marine facies)</v>
      </c>
      <c r="W187" t="str">
        <f>'Long-form'!BE187</f>
        <v>Delta front deposit</v>
      </c>
      <c r="X187" t="str">
        <f>'Long-form'!BF187</f>
        <v>Lithology and stratigraphic corrolation</v>
      </c>
      <c r="Y187" t="str">
        <f>'Long-form'!BH187</f>
        <v>&lt;MTL</v>
      </c>
      <c r="Z187" s="55">
        <f>'Long-form'!BT187</f>
        <v>-7.7215074379999997</v>
      </c>
      <c r="AA187" s="55">
        <f>'Long-form'!BU187</f>
        <v>1.0327874902418213</v>
      </c>
      <c r="AB187" s="55">
        <f>'Long-form'!BV187</f>
        <v>1.0327874902418213</v>
      </c>
      <c r="AC187" s="55" t="str">
        <f>'Long-form'!BW187</f>
        <v>nd</v>
      </c>
      <c r="AD187" s="55" t="str">
        <f>'Long-form'!BX187</f>
        <v>nd</v>
      </c>
      <c r="AE187" s="55" t="str">
        <f>'Long-form'!BY187</f>
        <v>nd</v>
      </c>
      <c r="AF187" t="str">
        <f>'Long-form'!BZ187</f>
        <v>nd</v>
      </c>
      <c r="AG187">
        <f>'Long-form'!CB187</f>
        <v>0</v>
      </c>
      <c r="AH187">
        <f>'Long-form'!CD187</f>
        <v>0</v>
      </c>
      <c r="AI187" t="e">
        <f>'Long-form'!#REF!</f>
        <v>#REF!</v>
      </c>
    </row>
    <row r="188" spans="1:35">
      <c r="A188" t="str">
        <f>'Long-form'!A188</f>
        <v>Beta628987</v>
      </c>
      <c r="B188" t="str">
        <f>'Long-form'!B188</f>
        <v>Lin et al. 2023</v>
      </c>
      <c r="C188" t="str">
        <f>'Long-form'!C188</f>
        <v>9a</v>
      </c>
      <c r="D188" t="str">
        <f>'Long-form'!D188</f>
        <v>W_PRD</v>
      </c>
      <c r="E188" s="55">
        <f>'Long-form'!E188</f>
        <v>22.483152357409701</v>
      </c>
      <c r="F188" s="55">
        <f>'Long-form'!F188</f>
        <v>113.233522645843</v>
      </c>
      <c r="G188" t="str">
        <f>'Long-form'!G188</f>
        <v>1 = Radiocarbon</v>
      </c>
      <c r="H188" s="56">
        <f>'Long-form'!H188</f>
        <v>5090</v>
      </c>
      <c r="I188" s="56">
        <f>'Long-form'!I188</f>
        <v>30</v>
      </c>
      <c r="J188" s="56">
        <f>'Long-form'!J188</f>
        <v>5250</v>
      </c>
      <c r="K188" s="56">
        <f>'Long-form'!K188</f>
        <v>225</v>
      </c>
      <c r="L188" s="56">
        <f>'Long-form'!L188</f>
        <v>271</v>
      </c>
      <c r="M188" s="56" t="str">
        <f>'Long-form'!Q188</f>
        <v>regressive</v>
      </c>
      <c r="N188" s="55">
        <f>'Long-form'!R188</f>
        <v>12.75</v>
      </c>
      <c r="O188" s="55">
        <f>'Long-form'!S188</f>
        <v>17.25</v>
      </c>
      <c r="P188" s="55">
        <f>'Long-form'!T188</f>
        <v>1</v>
      </c>
      <c r="Q188" s="55">
        <f>'Long-form'!AM188</f>
        <v>-11.75</v>
      </c>
      <c r="R188" s="55" t="str">
        <f>'Long-form'!AN188</f>
        <v>YSD</v>
      </c>
      <c r="S188" s="55">
        <f>'Long-form'!AP188</f>
        <v>1.0481173598409674</v>
      </c>
      <c r="T188" s="55">
        <f>'Long-form'!AQ188</f>
        <v>1.0481173598409674</v>
      </c>
      <c r="U188" t="str">
        <f>'Long-form'!BC188</f>
        <v>-1</v>
      </c>
      <c r="V188" t="str">
        <f>'Long-form'!BD188</f>
        <v>5 = Sedimentary (e.g., deltaic, estuarine, wetland, lacustrine, marine facies)</v>
      </c>
      <c r="W188" t="str">
        <f>'Long-form'!BE188</f>
        <v>Delta front deposit</v>
      </c>
      <c r="X188" t="str">
        <f>'Long-form'!BF188</f>
        <v>Lithology and stratigraphic corrolation</v>
      </c>
      <c r="Y188" t="str">
        <f>'Long-form'!BH188</f>
        <v>&lt;MTL</v>
      </c>
      <c r="Z188" s="55">
        <f>'Long-form'!BT188</f>
        <v>-11.721507438</v>
      </c>
      <c r="AA188" s="55">
        <f>'Long-form'!BU188</f>
        <v>1.0493092966327897</v>
      </c>
      <c r="AB188" s="55">
        <f>'Long-form'!BV188</f>
        <v>1.0493092966327897</v>
      </c>
      <c r="AC188" s="55" t="str">
        <f>'Long-form'!BW188</f>
        <v>nd</v>
      </c>
      <c r="AD188" s="55" t="str">
        <f>'Long-form'!BX188</f>
        <v>nd</v>
      </c>
      <c r="AE188" s="55" t="str">
        <f>'Long-form'!BY188</f>
        <v>nd</v>
      </c>
      <c r="AF188" t="str">
        <f>'Long-form'!BZ188</f>
        <v>nd</v>
      </c>
      <c r="AG188">
        <f>'Long-form'!CB188</f>
        <v>0</v>
      </c>
      <c r="AH188">
        <f>'Long-form'!CD188</f>
        <v>0</v>
      </c>
      <c r="AI188" t="e">
        <f>'Long-form'!#REF!</f>
        <v>#REF!</v>
      </c>
    </row>
    <row r="189" spans="1:35">
      <c r="A189" t="str">
        <f>'Long-form'!A189</f>
        <v>Beta628988</v>
      </c>
      <c r="B189" t="str">
        <f>'Long-form'!B189</f>
        <v>Lin et al. 2023</v>
      </c>
      <c r="C189" t="str">
        <f>'Long-form'!C189</f>
        <v>9a</v>
      </c>
      <c r="D189" t="str">
        <f>'Long-form'!D189</f>
        <v>W_PRD</v>
      </c>
      <c r="E189" s="55">
        <f>'Long-form'!E189</f>
        <v>22.483152357409701</v>
      </c>
      <c r="F189" s="55">
        <f>'Long-form'!F189</f>
        <v>113.233522645843</v>
      </c>
      <c r="G189" t="str">
        <f>'Long-form'!G189</f>
        <v>1 = Radiocarbon</v>
      </c>
      <c r="H189" s="56">
        <f>'Long-form'!H189</f>
        <v>7940</v>
      </c>
      <c r="I189" s="56">
        <f>'Long-form'!I189</f>
        <v>30</v>
      </c>
      <c r="J189" s="56">
        <f>'Long-form'!J189</f>
        <v>8241</v>
      </c>
      <c r="K189" s="56">
        <f>'Long-form'!K189</f>
        <v>184</v>
      </c>
      <c r="L189" s="56">
        <f>'Long-form'!L189</f>
        <v>222</v>
      </c>
      <c r="M189" s="56" t="str">
        <f>'Long-form'!Q189</f>
        <v>regressive</v>
      </c>
      <c r="N189" s="55">
        <f>'Long-form'!R189</f>
        <v>20.75</v>
      </c>
      <c r="O189" s="55">
        <f>'Long-form'!S189</f>
        <v>9.25</v>
      </c>
      <c r="P189" s="55">
        <f>'Long-form'!T189</f>
        <v>1</v>
      </c>
      <c r="Q189" s="55">
        <f>'Long-form'!AM189</f>
        <v>-19.75</v>
      </c>
      <c r="R189" s="55" t="str">
        <f>'Long-form'!AN189</f>
        <v>YSD</v>
      </c>
      <c r="S189" s="55">
        <f>'Long-form'!AP189</f>
        <v>1.0980664825045887</v>
      </c>
      <c r="T189" s="55">
        <f>'Long-form'!AQ189</f>
        <v>1.0980664825045887</v>
      </c>
      <c r="U189" t="str">
        <f>'Long-form'!BC189</f>
        <v>-1</v>
      </c>
      <c r="V189" t="str">
        <f>'Long-form'!BD189</f>
        <v>5 = Sedimentary (e.g., deltaic, estuarine, wetland, lacustrine, marine facies)</v>
      </c>
      <c r="W189" t="str">
        <f>'Long-form'!BE189</f>
        <v>Estuarine or prodelta deposit</v>
      </c>
      <c r="X189" t="str">
        <f>'Long-form'!BF189</f>
        <v>Lithology and stratigraphic corrolation</v>
      </c>
      <c r="Y189" t="str">
        <f>'Long-form'!BH189</f>
        <v>&lt;MTL</v>
      </c>
      <c r="Z189" s="55">
        <f>'Long-form'!BT189</f>
        <v>-19.721507438</v>
      </c>
      <c r="AA189" s="55">
        <f>'Long-form'!BU189</f>
        <v>1.0992042576336758</v>
      </c>
      <c r="AB189" s="55">
        <f>'Long-form'!BV189</f>
        <v>1.0992042576336758</v>
      </c>
      <c r="AC189" s="55" t="str">
        <f>'Long-form'!BW189</f>
        <v>nd</v>
      </c>
      <c r="AD189" s="55" t="str">
        <f>'Long-form'!BX189</f>
        <v>nd</v>
      </c>
      <c r="AE189" s="55" t="str">
        <f>'Long-form'!BY189</f>
        <v>nd</v>
      </c>
      <c r="AF189" t="str">
        <f>'Long-form'!BZ189</f>
        <v>nd</v>
      </c>
      <c r="AG189">
        <f>'Long-form'!CB189</f>
        <v>0</v>
      </c>
      <c r="AH189">
        <f>'Long-form'!CD189</f>
        <v>0</v>
      </c>
      <c r="AI189" t="e">
        <f>'Long-form'!#REF!</f>
        <v>#REF!</v>
      </c>
    </row>
    <row r="190" spans="1:35">
      <c r="A190" t="str">
        <f>'Long-form'!A190</f>
        <v>Beta628989</v>
      </c>
      <c r="B190" t="str">
        <f>'Long-form'!B190</f>
        <v>Lin et al. 2023</v>
      </c>
      <c r="C190" t="str">
        <f>'Long-form'!C190</f>
        <v>9a</v>
      </c>
      <c r="D190" t="str">
        <f>'Long-form'!D190</f>
        <v>W_PRD</v>
      </c>
      <c r="E190" s="55">
        <f>'Long-form'!E190</f>
        <v>22.483152357409701</v>
      </c>
      <c r="F190" s="55">
        <f>'Long-form'!F190</f>
        <v>113.233522645843</v>
      </c>
      <c r="G190" t="str">
        <f>'Long-form'!G190</f>
        <v>1 = Radiocarbon</v>
      </c>
      <c r="H190" s="56">
        <f>'Long-form'!H190</f>
        <v>7820</v>
      </c>
      <c r="I190" s="56">
        <f>'Long-form'!I190</f>
        <v>30</v>
      </c>
      <c r="J190" s="56">
        <f>'Long-form'!J190</f>
        <v>8115</v>
      </c>
      <c r="K190" s="56">
        <f>'Long-form'!K190</f>
        <v>210</v>
      </c>
      <c r="L190" s="56">
        <f>'Long-form'!L190</f>
        <v>188</v>
      </c>
      <c r="M190" s="56" t="str">
        <f>'Long-form'!Q190</f>
        <v>regressive</v>
      </c>
      <c r="N190" s="55">
        <f>'Long-form'!R190</f>
        <v>23.15</v>
      </c>
      <c r="O190" s="55">
        <f>'Long-form'!S190</f>
        <v>6.8500000000000014</v>
      </c>
      <c r="P190" s="55">
        <f>'Long-form'!T190</f>
        <v>1</v>
      </c>
      <c r="Q190" s="55">
        <f>'Long-form'!AM190</f>
        <v>-22.15</v>
      </c>
      <c r="R190" s="55" t="str">
        <f>'Long-form'!AN190</f>
        <v>YSD</v>
      </c>
      <c r="S190" s="55">
        <f>'Long-form'!AP190</f>
        <v>1.1170917598836723</v>
      </c>
      <c r="T190" s="55">
        <f>'Long-form'!AQ190</f>
        <v>1.1170917598836723</v>
      </c>
      <c r="U190" t="str">
        <f>'Long-form'!BC190</f>
        <v>-1</v>
      </c>
      <c r="V190" t="str">
        <f>'Long-form'!BD190</f>
        <v>5 = Sedimentary (e.g., deltaic, estuarine, wetland, lacustrine, marine facies)</v>
      </c>
      <c r="W190" t="str">
        <f>'Long-form'!BE190</f>
        <v>Estuarine or prodelta deposit</v>
      </c>
      <c r="X190" t="str">
        <f>'Long-form'!BF190</f>
        <v>Lithology and stratigraphic corrolation</v>
      </c>
      <c r="Y190" t="str">
        <f>'Long-form'!BH190</f>
        <v>&lt;MTL</v>
      </c>
      <c r="Z190" s="55">
        <f>'Long-form'!BT190</f>
        <v>-22.121507437999998</v>
      </c>
      <c r="AA190" s="55">
        <f>'Long-form'!BU190</f>
        <v>1.1182101770239796</v>
      </c>
      <c r="AB190" s="55">
        <f>'Long-form'!BV190</f>
        <v>1.1182101770239796</v>
      </c>
      <c r="AC190" s="55" t="str">
        <f>'Long-form'!BW190</f>
        <v>nd</v>
      </c>
      <c r="AD190" s="55" t="str">
        <f>'Long-form'!BX190</f>
        <v>nd</v>
      </c>
      <c r="AE190" s="55" t="str">
        <f>'Long-form'!BY190</f>
        <v>nd</v>
      </c>
      <c r="AF190" t="str">
        <f>'Long-form'!BZ190</f>
        <v>nd</v>
      </c>
      <c r="AG190">
        <f>'Long-form'!CB190</f>
        <v>0</v>
      </c>
      <c r="AH190">
        <f>'Long-form'!CD190</f>
        <v>0</v>
      </c>
      <c r="AI190" t="e">
        <f>'Long-form'!#REF!</f>
        <v>#REF!</v>
      </c>
    </row>
    <row r="191" spans="1:35">
      <c r="A191" t="str">
        <f>'Long-form'!A191</f>
        <v>STU22001</v>
      </c>
      <c r="B191" t="str">
        <f>'Long-form'!B191</f>
        <v>Lin et al. 2023</v>
      </c>
      <c r="C191" t="str">
        <f>'Long-form'!C191</f>
        <v>9a</v>
      </c>
      <c r="D191" t="str">
        <f>'Long-form'!D191</f>
        <v>W_PRD</v>
      </c>
      <c r="E191" s="55">
        <f>'Long-form'!E191</f>
        <v>22.483152357409701</v>
      </c>
      <c r="F191" s="55">
        <f>'Long-form'!F191</f>
        <v>113.233522645843</v>
      </c>
      <c r="G191" t="str">
        <f>'Long-form'!G191</f>
        <v xml:space="preserve">3 = Optically stimulated luminescence </v>
      </c>
      <c r="H191" s="56" t="str">
        <f>'Long-form'!H191</f>
        <v>n.a.</v>
      </c>
      <c r="I191" s="56" t="str">
        <f>'Long-form'!I191</f>
        <v>n.a.</v>
      </c>
      <c r="J191" s="56">
        <f>'Long-form'!J191</f>
        <v>500</v>
      </c>
      <c r="K191" s="56">
        <f>'Long-form'!K191</f>
        <v>30</v>
      </c>
      <c r="L191" s="56">
        <f>'Long-form'!L191</f>
        <v>30</v>
      </c>
      <c r="M191" s="56" t="str">
        <f>'Long-form'!Q191</f>
        <v>regressive</v>
      </c>
      <c r="N191" s="55">
        <f>'Long-form'!R191</f>
        <v>5.65</v>
      </c>
      <c r="O191" s="55">
        <f>'Long-form'!S191</f>
        <v>24.35</v>
      </c>
      <c r="P191" s="55">
        <f>'Long-form'!T191</f>
        <v>1</v>
      </c>
      <c r="Q191" s="55">
        <f>'Long-form'!AM191</f>
        <v>-4.6500000000000004</v>
      </c>
      <c r="R191" s="55" t="str">
        <f>'Long-form'!AN191</f>
        <v>YSD</v>
      </c>
      <c r="S191" s="55">
        <f>'Long-form'!AP191</f>
        <v>1.0231783813196993</v>
      </c>
      <c r="T191" s="55">
        <f>'Long-form'!AQ191</f>
        <v>1.0231783813196993</v>
      </c>
      <c r="U191" t="str">
        <f>'Long-form'!BC191</f>
        <v>-1</v>
      </c>
      <c r="V191" t="str">
        <f>'Long-form'!BD191</f>
        <v>5 = Sedimentary (e.g., deltaic, estuarine, wetland, lacustrine, marine facies)</v>
      </c>
      <c r="W191" t="str">
        <f>'Long-form'!BE191</f>
        <v>Delta front deposit</v>
      </c>
      <c r="X191" t="str">
        <f>'Long-form'!BF191</f>
        <v>Lithology and stratigraphic corrolation</v>
      </c>
      <c r="Y191" t="str">
        <f>'Long-form'!BH191</f>
        <v>&lt;MTL</v>
      </c>
      <c r="Z191" s="55">
        <f>'Long-form'!BT191</f>
        <v>-4.6215074380000001</v>
      </c>
      <c r="AA191" s="55">
        <f>'Long-form'!BU191</f>
        <v>1.0243993361965831</v>
      </c>
      <c r="AB191" s="55">
        <f>'Long-form'!BV191</f>
        <v>1.0243993361965831</v>
      </c>
      <c r="AC191" s="55" t="str">
        <f>'Long-form'!BW191</f>
        <v>nd</v>
      </c>
      <c r="AD191" s="55" t="str">
        <f>'Long-form'!BX191</f>
        <v>nd</v>
      </c>
      <c r="AE191" s="55" t="str">
        <f>'Long-form'!BY191</f>
        <v>nd</v>
      </c>
      <c r="AF191" t="str">
        <f>'Long-form'!BZ191</f>
        <v>nd</v>
      </c>
      <c r="AG191">
        <f>'Long-form'!CB191</f>
        <v>0</v>
      </c>
      <c r="AH191">
        <f>'Long-form'!CD191</f>
        <v>0</v>
      </c>
      <c r="AI191" t="e">
        <f>'Long-form'!#REF!</f>
        <v>#REF!</v>
      </c>
    </row>
    <row r="192" spans="1:35">
      <c r="A192" t="str">
        <f>'Long-form'!A192</f>
        <v>STU22002</v>
      </c>
      <c r="B192" t="str">
        <f>'Long-form'!B192</f>
        <v>Lin et al. 2023</v>
      </c>
      <c r="C192" t="str">
        <f>'Long-form'!C192</f>
        <v>9a</v>
      </c>
      <c r="D192" t="str">
        <f>'Long-form'!D192</f>
        <v>W_PRD</v>
      </c>
      <c r="E192" s="55">
        <f>'Long-form'!E192</f>
        <v>22.483152357409701</v>
      </c>
      <c r="F192" s="55">
        <f>'Long-form'!F192</f>
        <v>113.233522645843</v>
      </c>
      <c r="G192" t="str">
        <f>'Long-form'!G192</f>
        <v xml:space="preserve">3 = Optically stimulated luminescence </v>
      </c>
      <c r="H192" s="56" t="str">
        <f>'Long-form'!H192</f>
        <v>n.a.</v>
      </c>
      <c r="I192" s="56" t="str">
        <f>'Long-form'!I192</f>
        <v>n.a.</v>
      </c>
      <c r="J192" s="56">
        <f>'Long-form'!J192</f>
        <v>1390</v>
      </c>
      <c r="K192" s="56">
        <f>'Long-form'!K192</f>
        <v>90</v>
      </c>
      <c r="L192" s="56">
        <f>'Long-form'!L192</f>
        <v>90</v>
      </c>
      <c r="M192" s="56" t="str">
        <f>'Long-form'!Q192</f>
        <v>regressive</v>
      </c>
      <c r="N192" s="55">
        <f>'Long-form'!R192</f>
        <v>7.05</v>
      </c>
      <c r="O192" s="55">
        <f>'Long-form'!S192</f>
        <v>22.95</v>
      </c>
      <c r="P192" s="55">
        <f>'Long-form'!T192</f>
        <v>1</v>
      </c>
      <c r="Q192" s="55">
        <f>'Long-form'!AM192</f>
        <v>-6.05</v>
      </c>
      <c r="R192" s="55" t="str">
        <f>'Long-form'!AN192</f>
        <v>YSD</v>
      </c>
      <c r="S192" s="55">
        <f>'Long-form'!AP192</f>
        <v>1.0266479435522189</v>
      </c>
      <c r="T192" s="55">
        <f>'Long-form'!AQ192</f>
        <v>1.0266479435522189</v>
      </c>
      <c r="U192" t="str">
        <f>'Long-form'!BC192</f>
        <v>-1</v>
      </c>
      <c r="V192" t="str">
        <f>'Long-form'!BD192</f>
        <v>5 = Sedimentary (e.g., deltaic, estuarine, wetland, lacustrine, marine facies)</v>
      </c>
      <c r="W192" t="str">
        <f>'Long-form'!BE192</f>
        <v>Delta front deposit</v>
      </c>
      <c r="X192" t="str">
        <f>'Long-form'!BF192</f>
        <v>Lithology and stratigraphic corrolation</v>
      </c>
      <c r="Y192" t="str">
        <f>'Long-form'!BH192</f>
        <v>&lt;MTL</v>
      </c>
      <c r="Z192" s="55">
        <f>'Long-form'!BT192</f>
        <v>-6.0215074379999995</v>
      </c>
      <c r="AA192" s="55">
        <f>'Long-form'!BU192</f>
        <v>1.027864777098622</v>
      </c>
      <c r="AB192" s="55">
        <f>'Long-form'!BV192</f>
        <v>1.027864777098622</v>
      </c>
      <c r="AC192" s="55" t="str">
        <f>'Long-form'!BW192</f>
        <v>nd</v>
      </c>
      <c r="AD192" s="55" t="str">
        <f>'Long-form'!BX192</f>
        <v>nd</v>
      </c>
      <c r="AE192" s="55" t="str">
        <f>'Long-form'!BY192</f>
        <v>nd</v>
      </c>
      <c r="AF192" t="str">
        <f>'Long-form'!BZ192</f>
        <v>nd</v>
      </c>
      <c r="AG192">
        <f>'Long-form'!CB192</f>
        <v>0</v>
      </c>
      <c r="AH192">
        <f>'Long-form'!CD192</f>
        <v>0</v>
      </c>
      <c r="AI192" t="e">
        <f>'Long-form'!#REF!</f>
        <v>#REF!</v>
      </c>
    </row>
    <row r="193" spans="1:35">
      <c r="A193" t="str">
        <f>'Long-form'!A193</f>
        <v>STU22003</v>
      </c>
      <c r="B193" t="str">
        <f>'Long-form'!B193</f>
        <v>Lin et al. 2023</v>
      </c>
      <c r="C193" t="str">
        <f>'Long-form'!C193</f>
        <v>9a</v>
      </c>
      <c r="D193" t="str">
        <f>'Long-form'!D193</f>
        <v>W_PRD</v>
      </c>
      <c r="E193" s="55">
        <f>'Long-form'!E193</f>
        <v>22.483152357409701</v>
      </c>
      <c r="F193" s="55">
        <f>'Long-form'!F193</f>
        <v>113.233522645843</v>
      </c>
      <c r="G193" t="str">
        <f>'Long-form'!G193</f>
        <v xml:space="preserve">3 = Optically stimulated luminescence </v>
      </c>
      <c r="H193" s="56" t="str">
        <f>'Long-form'!H193</f>
        <v>n.a.</v>
      </c>
      <c r="I193" s="56" t="str">
        <f>'Long-form'!I193</f>
        <v>n.a.</v>
      </c>
      <c r="J193" s="56">
        <f>'Long-form'!J193</f>
        <v>3150</v>
      </c>
      <c r="K193" s="56">
        <f>'Long-form'!K193</f>
        <v>160</v>
      </c>
      <c r="L193" s="56">
        <f>'Long-form'!L193</f>
        <v>160</v>
      </c>
      <c r="M193" s="56" t="str">
        <f>'Long-form'!Q193</f>
        <v>regressive</v>
      </c>
      <c r="N193" s="55">
        <f>'Long-form'!R193</f>
        <v>8.75</v>
      </c>
      <c r="O193" s="55">
        <f>'Long-form'!S193</f>
        <v>21.25</v>
      </c>
      <c r="P193" s="55">
        <f>'Long-form'!T193</f>
        <v>1</v>
      </c>
      <c r="Q193" s="55">
        <f>'Long-form'!AM193</f>
        <v>-7.75</v>
      </c>
      <c r="R193" s="55" t="str">
        <f>'Long-form'!AN193</f>
        <v>YSD</v>
      </c>
      <c r="S193" s="55">
        <f>'Long-form'!AP193</f>
        <v>1.0318672395226045</v>
      </c>
      <c r="T193" s="55">
        <f>'Long-form'!AQ193</f>
        <v>1.0318672395226045</v>
      </c>
      <c r="U193" t="str">
        <f>'Long-form'!BC193</f>
        <v>-1</v>
      </c>
      <c r="V193" t="str">
        <f>'Long-form'!BD193</f>
        <v>5 = Sedimentary (e.g., deltaic, estuarine, wetland, lacustrine, marine facies)</v>
      </c>
      <c r="W193" t="str">
        <f>'Long-form'!BE193</f>
        <v>Delta front deposit</v>
      </c>
      <c r="X193" t="str">
        <f>'Long-form'!BF193</f>
        <v>Lithology and stratigraphic corrolation</v>
      </c>
      <c r="Y193" t="str">
        <f>'Long-form'!BH193</f>
        <v>&lt;MTL</v>
      </c>
      <c r="Z193" s="55">
        <f>'Long-form'!BT193</f>
        <v>-7.7215074379999997</v>
      </c>
      <c r="AA193" s="55">
        <f>'Long-form'!BU193</f>
        <v>1.0330779254247959</v>
      </c>
      <c r="AB193" s="55">
        <f>'Long-form'!BV193</f>
        <v>1.0330779254247959</v>
      </c>
      <c r="AC193" s="55" t="str">
        <f>'Long-form'!BW193</f>
        <v>nd</v>
      </c>
      <c r="AD193" s="55" t="str">
        <f>'Long-form'!BX193</f>
        <v>nd</v>
      </c>
      <c r="AE193" s="55" t="str">
        <f>'Long-form'!BY193</f>
        <v>nd</v>
      </c>
      <c r="AF193" t="str">
        <f>'Long-form'!BZ193</f>
        <v>nd</v>
      </c>
      <c r="AG193">
        <f>'Long-form'!CB193</f>
        <v>0</v>
      </c>
      <c r="AH193">
        <f>'Long-form'!CD193</f>
        <v>0</v>
      </c>
      <c r="AI193" t="e">
        <f>'Long-form'!#REF!</f>
        <v>#REF!</v>
      </c>
    </row>
    <row r="194" spans="1:35">
      <c r="A194" t="str">
        <f>'Long-form'!A194</f>
        <v>STU22004</v>
      </c>
      <c r="B194" t="str">
        <f>'Long-form'!B194</f>
        <v>Lin et al. 2023</v>
      </c>
      <c r="C194" t="str">
        <f>'Long-form'!C194</f>
        <v>9a</v>
      </c>
      <c r="D194" t="str">
        <f>'Long-form'!D194</f>
        <v>W_PRD</v>
      </c>
      <c r="E194" s="55">
        <f>'Long-form'!E194</f>
        <v>22.483152357409701</v>
      </c>
      <c r="F194" s="55">
        <f>'Long-form'!F194</f>
        <v>113.233522645843</v>
      </c>
      <c r="G194" t="str">
        <f>'Long-form'!G194</f>
        <v xml:space="preserve">3 = Optically stimulated luminescence </v>
      </c>
      <c r="H194" s="56" t="str">
        <f>'Long-form'!H194</f>
        <v>n.a.</v>
      </c>
      <c r="I194" s="56" t="str">
        <f>'Long-form'!I194</f>
        <v>n.a.</v>
      </c>
      <c r="J194" s="56">
        <f>'Long-form'!J194</f>
        <v>2330</v>
      </c>
      <c r="K194" s="56">
        <f>'Long-form'!K194</f>
        <v>130</v>
      </c>
      <c r="L194" s="56">
        <f>'Long-form'!L194</f>
        <v>130</v>
      </c>
      <c r="M194" s="56" t="str">
        <f>'Long-form'!Q194</f>
        <v>regressive</v>
      </c>
      <c r="N194" s="55">
        <f>'Long-form'!R194</f>
        <v>9.5500000000000007</v>
      </c>
      <c r="O194" s="55">
        <f>'Long-form'!S194</f>
        <v>20.45</v>
      </c>
      <c r="P194" s="55">
        <f>'Long-form'!T194</f>
        <v>1</v>
      </c>
      <c r="Q194" s="55">
        <f>'Long-form'!AM194</f>
        <v>-8.5500000000000007</v>
      </c>
      <c r="R194" s="55" t="str">
        <f>'Long-form'!AN194</f>
        <v>YSD</v>
      </c>
      <c r="S194" s="55">
        <f>'Long-form'!AP194</f>
        <v>1.0347009229724307</v>
      </c>
      <c r="T194" s="55">
        <f>'Long-form'!AQ194</f>
        <v>1.0347009229724307</v>
      </c>
      <c r="U194" t="str">
        <f>'Long-form'!BC194</f>
        <v>-1</v>
      </c>
      <c r="V194" t="str">
        <f>'Long-form'!BD194</f>
        <v>5 = Sedimentary (e.g., deltaic, estuarine, wetland, lacustrine, marine facies)</v>
      </c>
      <c r="W194" t="str">
        <f>'Long-form'!BE194</f>
        <v>Delta front deposit</v>
      </c>
      <c r="X194" t="str">
        <f>'Long-form'!BF194</f>
        <v>Lithology and stratigraphic corrolation</v>
      </c>
      <c r="Y194" t="str">
        <f>'Long-form'!BH194</f>
        <v>&lt;MTL</v>
      </c>
      <c r="Z194" s="55">
        <f>'Long-form'!BT194</f>
        <v>-8.5215074380000004</v>
      </c>
      <c r="AA194" s="55">
        <f>'Long-form'!BU194</f>
        <v>1.0359082970996998</v>
      </c>
      <c r="AB194" s="55">
        <f>'Long-form'!BV194</f>
        <v>1.0359082970996998</v>
      </c>
      <c r="AC194" s="55" t="str">
        <f>'Long-form'!BW194</f>
        <v>nd</v>
      </c>
      <c r="AD194" s="55" t="str">
        <f>'Long-form'!BX194</f>
        <v>nd</v>
      </c>
      <c r="AE194" s="55" t="str">
        <f>'Long-form'!BY194</f>
        <v>nd</v>
      </c>
      <c r="AF194" t="str">
        <f>'Long-form'!BZ194</f>
        <v>nd</v>
      </c>
      <c r="AG194">
        <f>'Long-form'!CB194</f>
        <v>0</v>
      </c>
      <c r="AH194">
        <f>'Long-form'!CD194</f>
        <v>0</v>
      </c>
      <c r="AI194" t="e">
        <f>'Long-form'!#REF!</f>
        <v>#REF!</v>
      </c>
    </row>
    <row r="195" spans="1:35">
      <c r="A195" t="str">
        <f>'Long-form'!A195</f>
        <v>STU22005</v>
      </c>
      <c r="B195" t="str">
        <f>'Long-form'!B195</f>
        <v>Lin et al. 2023</v>
      </c>
      <c r="C195" t="str">
        <f>'Long-form'!C195</f>
        <v>9a</v>
      </c>
      <c r="D195" t="str">
        <f>'Long-form'!D195</f>
        <v>W_PRD</v>
      </c>
      <c r="E195" s="55">
        <f>'Long-form'!E195</f>
        <v>22.483152357409701</v>
      </c>
      <c r="F195" s="55">
        <f>'Long-form'!F195</f>
        <v>113.233522645843</v>
      </c>
      <c r="G195" t="str">
        <f>'Long-form'!G195</f>
        <v xml:space="preserve">3 = Optically stimulated luminescence </v>
      </c>
      <c r="H195" s="56" t="str">
        <f>'Long-form'!H195</f>
        <v>n.a.</v>
      </c>
      <c r="I195" s="56" t="str">
        <f>'Long-form'!I195</f>
        <v>n.a.</v>
      </c>
      <c r="J195" s="56">
        <f>'Long-form'!J195</f>
        <v>3760</v>
      </c>
      <c r="K195" s="56">
        <f>'Long-form'!K195</f>
        <v>200</v>
      </c>
      <c r="L195" s="56">
        <f>'Long-form'!L195</f>
        <v>200</v>
      </c>
      <c r="M195" s="56" t="str">
        <f>'Long-form'!Q195</f>
        <v>regressive</v>
      </c>
      <c r="N195" s="55">
        <f>'Long-form'!R195</f>
        <v>11.15</v>
      </c>
      <c r="O195" s="55">
        <f>'Long-form'!S195</f>
        <v>18.850000000000001</v>
      </c>
      <c r="P195" s="55">
        <f>'Long-form'!T195</f>
        <v>1</v>
      </c>
      <c r="Q195" s="55">
        <f>'Long-form'!AM195</f>
        <v>-10.15</v>
      </c>
      <c r="R195" s="55" t="str">
        <f>'Long-form'!AN195</f>
        <v>YSD</v>
      </c>
      <c r="S195" s="55">
        <f>'Long-form'!AP195</f>
        <v>1.0410830898636285</v>
      </c>
      <c r="T195" s="55">
        <f>'Long-form'!AQ195</f>
        <v>1.0410830898636285</v>
      </c>
      <c r="U195" t="str">
        <f>'Long-form'!BC195</f>
        <v>-1</v>
      </c>
      <c r="V195" t="str">
        <f>'Long-form'!BD195</f>
        <v>5 = Sedimentary (e.g., deltaic, estuarine, wetland, lacustrine, marine facies)</v>
      </c>
      <c r="W195" t="str">
        <f>'Long-form'!BE195</f>
        <v>Delta front deposit</v>
      </c>
      <c r="X195" t="str">
        <f>'Long-form'!BF195</f>
        <v>Lithology and stratigraphic corrolation</v>
      </c>
      <c r="Y195" t="str">
        <f>'Long-form'!BH195</f>
        <v>&lt;MTL</v>
      </c>
      <c r="Z195" s="55">
        <f>'Long-form'!BT195</f>
        <v>-10.121507438</v>
      </c>
      <c r="AA195" s="55">
        <f>'Long-form'!BU195</f>
        <v>1.0422830709552948</v>
      </c>
      <c r="AB195" s="55">
        <f>'Long-form'!BV195</f>
        <v>1.0422830709552948</v>
      </c>
      <c r="AC195" s="55" t="str">
        <f>'Long-form'!BW195</f>
        <v>nd</v>
      </c>
      <c r="AD195" s="55" t="str">
        <f>'Long-form'!BX195</f>
        <v>nd</v>
      </c>
      <c r="AE195" s="55" t="str">
        <f>'Long-form'!BY195</f>
        <v>nd</v>
      </c>
      <c r="AF195" t="str">
        <f>'Long-form'!BZ195</f>
        <v>nd</v>
      </c>
      <c r="AG195">
        <f>'Long-form'!CB195</f>
        <v>0</v>
      </c>
      <c r="AH195">
        <f>'Long-form'!CD195</f>
        <v>0</v>
      </c>
      <c r="AI195" t="e">
        <f>'Long-form'!#REF!</f>
        <v>#REF!</v>
      </c>
    </row>
    <row r="196" spans="1:35">
      <c r="A196" t="str">
        <f>'Long-form'!A196</f>
        <v>STU22006</v>
      </c>
      <c r="B196" t="str">
        <f>'Long-form'!B196</f>
        <v>Lin et al. 2023</v>
      </c>
      <c r="C196" t="str">
        <f>'Long-form'!C196</f>
        <v>9a</v>
      </c>
      <c r="D196" t="str">
        <f>'Long-form'!D196</f>
        <v>W_PRD</v>
      </c>
      <c r="E196" s="55">
        <f>'Long-form'!E196</f>
        <v>22.483152357409701</v>
      </c>
      <c r="F196" s="55">
        <f>'Long-form'!F196</f>
        <v>113.233522645843</v>
      </c>
      <c r="G196" t="str">
        <f>'Long-form'!G196</f>
        <v xml:space="preserve">3 = Optically stimulated luminescence </v>
      </c>
      <c r="H196" s="56" t="str">
        <f>'Long-form'!H196</f>
        <v>n.a.</v>
      </c>
      <c r="I196" s="56" t="str">
        <f>'Long-form'!I196</f>
        <v>n.a.</v>
      </c>
      <c r="J196" s="56">
        <f>'Long-form'!J196</f>
        <v>3820</v>
      </c>
      <c r="K196" s="56">
        <f>'Long-form'!K196</f>
        <v>190</v>
      </c>
      <c r="L196" s="56">
        <f>'Long-form'!L196</f>
        <v>190</v>
      </c>
      <c r="M196" s="56" t="str">
        <f>'Long-form'!Q196</f>
        <v>regressive</v>
      </c>
      <c r="N196" s="55">
        <f>'Long-form'!R196</f>
        <v>12.05</v>
      </c>
      <c r="O196" s="55">
        <f>'Long-form'!S196</f>
        <v>17.95</v>
      </c>
      <c r="P196" s="55">
        <f>'Long-form'!T196</f>
        <v>1</v>
      </c>
      <c r="Q196" s="55">
        <f>'Long-form'!AM196</f>
        <v>-11.05</v>
      </c>
      <c r="R196" s="55" t="str">
        <f>'Long-form'!AN196</f>
        <v>YSD</v>
      </c>
      <c r="S196" s="55">
        <f>'Long-form'!AP196</f>
        <v>1.0450865992825666</v>
      </c>
      <c r="T196" s="55">
        <f>'Long-form'!AQ196</f>
        <v>1.0450865992825666</v>
      </c>
      <c r="U196" t="str">
        <f>'Long-form'!BC196</f>
        <v>-1</v>
      </c>
      <c r="V196" t="str">
        <f>'Long-form'!BD196</f>
        <v>5 = Sedimentary (e.g., deltaic, estuarine, wetland, lacustrine, marine facies)</v>
      </c>
      <c r="W196" t="str">
        <f>'Long-form'!BE196</f>
        <v>Estuarine or prodelta deposit</v>
      </c>
      <c r="X196" t="str">
        <f>'Long-form'!BF196</f>
        <v>Lithology and stratigraphic corrolation</v>
      </c>
      <c r="Y196" t="str">
        <f>'Long-form'!BH196</f>
        <v>&lt;MTL</v>
      </c>
      <c r="Z196" s="55">
        <f>'Long-form'!BT196</f>
        <v>-11.021507438</v>
      </c>
      <c r="AA196" s="55">
        <f>'Long-form'!BU196</f>
        <v>1.0462819887582888</v>
      </c>
      <c r="AB196" s="55">
        <f>'Long-form'!BV196</f>
        <v>1.0462819887582888</v>
      </c>
      <c r="AC196" s="55" t="str">
        <f>'Long-form'!BW196</f>
        <v>nd</v>
      </c>
      <c r="AD196" s="55" t="str">
        <f>'Long-form'!BX196</f>
        <v>nd</v>
      </c>
      <c r="AE196" s="55" t="str">
        <f>'Long-form'!BY196</f>
        <v>nd</v>
      </c>
      <c r="AF196" t="str">
        <f>'Long-form'!BZ196</f>
        <v>nd</v>
      </c>
      <c r="AG196">
        <f>'Long-form'!CB196</f>
        <v>0</v>
      </c>
      <c r="AH196">
        <f>'Long-form'!CD196</f>
        <v>0</v>
      </c>
      <c r="AI196" t="e">
        <f>'Long-form'!#REF!</f>
        <v>#REF!</v>
      </c>
    </row>
    <row r="197" spans="1:35">
      <c r="A197" t="str">
        <f>'Long-form'!A197</f>
        <v>STU22007</v>
      </c>
      <c r="B197" t="str">
        <f>'Long-form'!B197</f>
        <v>Lin et al. 2023</v>
      </c>
      <c r="C197" t="str">
        <f>'Long-form'!C197</f>
        <v>9a</v>
      </c>
      <c r="D197" t="str">
        <f>'Long-form'!D197</f>
        <v>W_PRD</v>
      </c>
      <c r="E197" s="55">
        <f>'Long-form'!E197</f>
        <v>22.483152357409701</v>
      </c>
      <c r="F197" s="55">
        <f>'Long-form'!F197</f>
        <v>113.233522645843</v>
      </c>
      <c r="G197" t="str">
        <f>'Long-form'!G197</f>
        <v xml:space="preserve">3 = Optically stimulated luminescence </v>
      </c>
      <c r="H197" s="56" t="str">
        <f>'Long-form'!H197</f>
        <v>n.a.</v>
      </c>
      <c r="I197" s="56" t="str">
        <f>'Long-form'!I197</f>
        <v>n.a.</v>
      </c>
      <c r="J197" s="56">
        <f>'Long-form'!J197</f>
        <v>4510</v>
      </c>
      <c r="K197" s="56">
        <f>'Long-form'!K197</f>
        <v>240</v>
      </c>
      <c r="L197" s="56">
        <f>'Long-form'!L197</f>
        <v>240</v>
      </c>
      <c r="M197" s="56" t="str">
        <f>'Long-form'!Q197</f>
        <v>regressive</v>
      </c>
      <c r="N197" s="55">
        <f>'Long-form'!R197</f>
        <v>12.75</v>
      </c>
      <c r="O197" s="55">
        <f>'Long-form'!S197</f>
        <v>17.25</v>
      </c>
      <c r="P197" s="55">
        <f>'Long-form'!T197</f>
        <v>1</v>
      </c>
      <c r="Q197" s="55">
        <f>'Long-form'!AM197</f>
        <v>-11.75</v>
      </c>
      <c r="R197" s="55" t="str">
        <f>'Long-form'!AN197</f>
        <v>YSD</v>
      </c>
      <c r="S197" s="55">
        <f>'Long-form'!AP197</f>
        <v>1.048403548258017</v>
      </c>
      <c r="T197" s="55">
        <f>'Long-form'!AQ197</f>
        <v>1.048403548258017</v>
      </c>
      <c r="U197" t="str">
        <f>'Long-form'!BC197</f>
        <v>-1</v>
      </c>
      <c r="V197" t="str">
        <f>'Long-form'!BD197</f>
        <v>5 = Sedimentary (e.g., deltaic, estuarine, wetland, lacustrine, marine facies)</v>
      </c>
      <c r="W197" t="str">
        <f>'Long-form'!BE197</f>
        <v>Estuarine or prodelta deposit</v>
      </c>
      <c r="X197" t="str">
        <f>'Long-form'!BF197</f>
        <v>Lithology and stratigraphic corrolation</v>
      </c>
      <c r="Y197" t="str">
        <f>'Long-form'!BH197</f>
        <v>&lt;MTL</v>
      </c>
      <c r="Z197" s="55">
        <f>'Long-form'!BT197</f>
        <v>-11.721507438</v>
      </c>
      <c r="AA197" s="55">
        <f>'Long-form'!BU197</f>
        <v>1.0495951600498166</v>
      </c>
      <c r="AB197" s="55">
        <f>'Long-form'!BV197</f>
        <v>1.0495951600498166</v>
      </c>
      <c r="AC197" s="55" t="str">
        <f>'Long-form'!BW197</f>
        <v>nd</v>
      </c>
      <c r="AD197" s="55" t="str">
        <f>'Long-form'!BX197</f>
        <v>nd</v>
      </c>
      <c r="AE197" s="55" t="str">
        <f>'Long-form'!BY197</f>
        <v>nd</v>
      </c>
      <c r="AF197" t="str">
        <f>'Long-form'!BZ197</f>
        <v>nd</v>
      </c>
      <c r="AG197">
        <f>'Long-form'!CB197</f>
        <v>0</v>
      </c>
      <c r="AH197">
        <f>'Long-form'!CD197</f>
        <v>0</v>
      </c>
      <c r="AI197" t="e">
        <f>'Long-form'!#REF!</f>
        <v>#REF!</v>
      </c>
    </row>
    <row r="198" spans="1:35">
      <c r="A198" t="str">
        <f>'Long-form'!A198</f>
        <v>STU22008</v>
      </c>
      <c r="B198" t="str">
        <f>'Long-form'!B198</f>
        <v>Lin et al. 2023</v>
      </c>
      <c r="C198" t="str">
        <f>'Long-form'!C198</f>
        <v>9a</v>
      </c>
      <c r="D198" t="str">
        <f>'Long-form'!D198</f>
        <v>W_PRD</v>
      </c>
      <c r="E198" s="55">
        <f>'Long-form'!E198</f>
        <v>22.483152357409701</v>
      </c>
      <c r="F198" s="55">
        <f>'Long-form'!F198</f>
        <v>113.233522645843</v>
      </c>
      <c r="G198" t="str">
        <f>'Long-form'!G198</f>
        <v xml:space="preserve">3 = Optically stimulated luminescence </v>
      </c>
      <c r="H198" s="56" t="str">
        <f>'Long-form'!H198</f>
        <v>n.a.</v>
      </c>
      <c r="I198" s="56" t="str">
        <f>'Long-form'!I198</f>
        <v>n.a.</v>
      </c>
      <c r="J198" s="56">
        <f>'Long-form'!J198</f>
        <v>5200</v>
      </c>
      <c r="K198" s="56">
        <f>'Long-form'!K198</f>
        <v>300</v>
      </c>
      <c r="L198" s="56">
        <f>'Long-form'!L198</f>
        <v>300</v>
      </c>
      <c r="M198" s="56" t="str">
        <f>'Long-form'!Q198</f>
        <v>regressive</v>
      </c>
      <c r="N198" s="55">
        <f>'Long-form'!R198</f>
        <v>13.65</v>
      </c>
      <c r="O198" s="55">
        <f>'Long-form'!S198</f>
        <v>16.350000000000001</v>
      </c>
      <c r="P198" s="55">
        <f>'Long-form'!T198</f>
        <v>1</v>
      </c>
      <c r="Q198" s="55">
        <f>'Long-form'!AM198</f>
        <v>-12.65</v>
      </c>
      <c r="R198" s="55" t="str">
        <f>'Long-form'!AN198</f>
        <v>YSD</v>
      </c>
      <c r="S198" s="55">
        <f>'Long-form'!AP198</f>
        <v>1.0529263981874517</v>
      </c>
      <c r="T198" s="55">
        <f>'Long-form'!AQ198</f>
        <v>1.0529263981874517</v>
      </c>
      <c r="U198" t="str">
        <f>'Long-form'!BC198</f>
        <v>-1</v>
      </c>
      <c r="V198" t="str">
        <f>'Long-form'!BD198</f>
        <v>5 = Sedimentary (e.g., deltaic, estuarine, wetland, lacustrine, marine facies)</v>
      </c>
      <c r="W198" t="str">
        <f>'Long-form'!BE198</f>
        <v>Estuarine or prodelta deposit</v>
      </c>
      <c r="X198" t="str">
        <f>'Long-form'!BF198</f>
        <v>Lithology and stratigraphic corrolation</v>
      </c>
      <c r="Y198" t="str">
        <f>'Long-form'!BH198</f>
        <v>&lt;MTL</v>
      </c>
      <c r="Z198" s="55">
        <f>'Long-form'!BT198</f>
        <v>-12.621507438</v>
      </c>
      <c r="AA198" s="55">
        <f>'Long-form'!BU198</f>
        <v>1.0541128971794245</v>
      </c>
      <c r="AB198" s="55">
        <f>'Long-form'!BV198</f>
        <v>1.0541128971794245</v>
      </c>
      <c r="AC198" s="55" t="str">
        <f>'Long-form'!BW198</f>
        <v>nd</v>
      </c>
      <c r="AD198" s="55" t="str">
        <f>'Long-form'!BX198</f>
        <v>nd</v>
      </c>
      <c r="AE198" s="55" t="str">
        <f>'Long-form'!BY198</f>
        <v>nd</v>
      </c>
      <c r="AF198" t="str">
        <f>'Long-form'!BZ198</f>
        <v>nd</v>
      </c>
      <c r="AG198">
        <f>'Long-form'!CB198</f>
        <v>0</v>
      </c>
      <c r="AH198">
        <f>'Long-form'!CD198</f>
        <v>0</v>
      </c>
      <c r="AI198" t="e">
        <f>'Long-form'!#REF!</f>
        <v>#REF!</v>
      </c>
    </row>
    <row r="199" spans="1:35">
      <c r="A199" t="str">
        <f>'Long-form'!A199</f>
        <v>STU22009</v>
      </c>
      <c r="B199" t="str">
        <f>'Long-form'!B199</f>
        <v>Lin et al. 2023</v>
      </c>
      <c r="C199" t="str">
        <f>'Long-form'!C199</f>
        <v>9a</v>
      </c>
      <c r="D199" t="str">
        <f>'Long-form'!D199</f>
        <v>W_PRD</v>
      </c>
      <c r="E199" s="55">
        <f>'Long-form'!E199</f>
        <v>22.483152357409701</v>
      </c>
      <c r="F199" s="55">
        <f>'Long-form'!F199</f>
        <v>113.233522645843</v>
      </c>
      <c r="G199" t="str">
        <f>'Long-form'!G199</f>
        <v xml:space="preserve">3 = Optically stimulated luminescence </v>
      </c>
      <c r="H199" s="56" t="str">
        <f>'Long-form'!H199</f>
        <v>n.a.</v>
      </c>
      <c r="I199" s="56" t="str">
        <f>'Long-form'!I199</f>
        <v>n.a.</v>
      </c>
      <c r="J199" s="56">
        <f>'Long-form'!J199</f>
        <v>4480</v>
      </c>
      <c r="K199" s="56">
        <f>'Long-form'!K199</f>
        <v>230</v>
      </c>
      <c r="L199" s="56">
        <f>'Long-form'!L199</f>
        <v>230</v>
      </c>
      <c r="M199" s="56" t="str">
        <f>'Long-form'!Q199</f>
        <v>regressive</v>
      </c>
      <c r="N199" s="55">
        <f>'Long-form'!R199</f>
        <v>15.15</v>
      </c>
      <c r="O199" s="55">
        <f>'Long-form'!S199</f>
        <v>14.85</v>
      </c>
      <c r="P199" s="55">
        <f>'Long-form'!T199</f>
        <v>1</v>
      </c>
      <c r="Q199" s="55">
        <f>'Long-form'!AM199</f>
        <v>-14.15</v>
      </c>
      <c r="R199" s="55" t="str">
        <f>'Long-form'!AN199</f>
        <v>YSD</v>
      </c>
      <c r="S199" s="55">
        <f>'Long-form'!AP199</f>
        <v>1.0611003722551415</v>
      </c>
      <c r="T199" s="55">
        <f>'Long-form'!AQ199</f>
        <v>1.0611003722551415</v>
      </c>
      <c r="U199" t="str">
        <f>'Long-form'!BC199</f>
        <v>-1</v>
      </c>
      <c r="V199" t="str">
        <f>'Long-form'!BD199</f>
        <v>5 = Sedimentary (e.g., deltaic, estuarine, wetland, lacustrine, marine facies)</v>
      </c>
      <c r="W199" t="str">
        <f>'Long-form'!BE199</f>
        <v>Estuarine or prodelta deposit</v>
      </c>
      <c r="X199" t="str">
        <f>'Long-form'!BF199</f>
        <v>Lithology and stratigraphic corrolation</v>
      </c>
      <c r="Y199" t="str">
        <f>'Long-form'!BH199</f>
        <v>&lt;MTL</v>
      </c>
      <c r="Z199" s="55">
        <f>'Long-form'!BT199</f>
        <v>-14.121507438</v>
      </c>
      <c r="AA199" s="55">
        <f>'Long-form'!BU199</f>
        <v>1.0622777414593605</v>
      </c>
      <c r="AB199" s="55">
        <f>'Long-form'!BV199</f>
        <v>1.0622777414593605</v>
      </c>
      <c r="AC199" s="55" t="str">
        <f>'Long-form'!BW199</f>
        <v>nd</v>
      </c>
      <c r="AD199" s="55" t="str">
        <f>'Long-form'!BX199</f>
        <v>nd</v>
      </c>
      <c r="AE199" s="55" t="str">
        <f>'Long-form'!BY199</f>
        <v>nd</v>
      </c>
      <c r="AF199" t="str">
        <f>'Long-form'!BZ199</f>
        <v>nd</v>
      </c>
      <c r="AG199">
        <f>'Long-form'!CB199</f>
        <v>0</v>
      </c>
      <c r="AH199">
        <f>'Long-form'!CD199</f>
        <v>0</v>
      </c>
      <c r="AI199" t="e">
        <f>'Long-form'!#REF!</f>
        <v>#REF!</v>
      </c>
    </row>
    <row r="200" spans="1:35">
      <c r="A200" t="str">
        <f>'Long-form'!A200</f>
        <v>STU22010</v>
      </c>
      <c r="B200" t="str">
        <f>'Long-form'!B200</f>
        <v>Lin et al. 2023</v>
      </c>
      <c r="C200" t="str">
        <f>'Long-form'!C200</f>
        <v>9a</v>
      </c>
      <c r="D200" t="str">
        <f>'Long-form'!D200</f>
        <v>W_PRD</v>
      </c>
      <c r="E200" s="55">
        <f>'Long-form'!E200</f>
        <v>22.483152357409701</v>
      </c>
      <c r="F200" s="55">
        <f>'Long-form'!F200</f>
        <v>113.233522645843</v>
      </c>
      <c r="G200" t="str">
        <f>'Long-form'!G200</f>
        <v xml:space="preserve">3 = Optically stimulated luminescence </v>
      </c>
      <c r="H200" s="56" t="str">
        <f>'Long-form'!H200</f>
        <v>n.a.</v>
      </c>
      <c r="I200" s="56" t="str">
        <f>'Long-form'!I200</f>
        <v>n.a.</v>
      </c>
      <c r="J200" s="56">
        <f>'Long-form'!J200</f>
        <v>7700</v>
      </c>
      <c r="K200" s="56">
        <f>'Long-form'!K200</f>
        <v>400</v>
      </c>
      <c r="L200" s="56">
        <f>'Long-form'!L200</f>
        <v>400</v>
      </c>
      <c r="M200" s="56" t="str">
        <f>'Long-form'!Q200</f>
        <v>regressive</v>
      </c>
      <c r="N200" s="55">
        <f>'Long-form'!R200</f>
        <v>18.350000000000001</v>
      </c>
      <c r="O200" s="55">
        <f>'Long-form'!S200</f>
        <v>11.649999999999999</v>
      </c>
      <c r="P200" s="55">
        <f>'Long-form'!T200</f>
        <v>1</v>
      </c>
      <c r="Q200" s="55">
        <f>'Long-form'!AM200</f>
        <v>-17.350000000000001</v>
      </c>
      <c r="R200" s="55" t="str">
        <f>'Long-form'!AN200</f>
        <v>YSD</v>
      </c>
      <c r="S200" s="55">
        <f>'Long-form'!AP200</f>
        <v>1.0811170149433409</v>
      </c>
      <c r="T200" s="55">
        <f>'Long-form'!AQ200</f>
        <v>1.0811170149433409</v>
      </c>
      <c r="U200" t="str">
        <f>'Long-form'!BC200</f>
        <v>-1</v>
      </c>
      <c r="V200" t="str">
        <f>'Long-form'!BD200</f>
        <v>5 = Sedimentary (e.g., deltaic, estuarine, wetland, lacustrine, marine facies)</v>
      </c>
      <c r="W200" t="str">
        <f>'Long-form'!BE200</f>
        <v>Estuarine or prodelta deposit</v>
      </c>
      <c r="X200" t="str">
        <f>'Long-form'!BF200</f>
        <v>Lithology and stratigraphic corrolation</v>
      </c>
      <c r="Y200" t="str">
        <f>'Long-form'!BH200</f>
        <v>&lt;MTL</v>
      </c>
      <c r="Z200" s="55">
        <f>'Long-form'!BT200</f>
        <v>-17.321507438000001</v>
      </c>
      <c r="AA200" s="55">
        <f>'Long-form'!BU200</f>
        <v>1.0822726089114516</v>
      </c>
      <c r="AB200" s="55">
        <f>'Long-form'!BV200</f>
        <v>1.0822726089114516</v>
      </c>
      <c r="AC200" s="55" t="str">
        <f>'Long-form'!BW200</f>
        <v>nd</v>
      </c>
      <c r="AD200" s="55" t="str">
        <f>'Long-form'!BX200</f>
        <v>nd</v>
      </c>
      <c r="AE200" s="55" t="str">
        <f>'Long-form'!BY200</f>
        <v>nd</v>
      </c>
      <c r="AF200" t="str">
        <f>'Long-form'!BZ200</f>
        <v>nd</v>
      </c>
      <c r="AG200">
        <f>'Long-form'!CB200</f>
        <v>0</v>
      </c>
      <c r="AH200">
        <f>'Long-form'!CD200</f>
        <v>0</v>
      </c>
      <c r="AI200" t="e">
        <f>'Long-form'!#REF!</f>
        <v>#REF!</v>
      </c>
    </row>
    <row r="201" spans="1:35">
      <c r="A201" t="str">
        <f>'Long-form'!A201</f>
        <v>STU22011</v>
      </c>
      <c r="B201" t="str">
        <f>'Long-form'!B201</f>
        <v>Lin et al. 2023</v>
      </c>
      <c r="C201" t="str">
        <f>'Long-form'!C201</f>
        <v>9a</v>
      </c>
      <c r="D201" t="str">
        <f>'Long-form'!D201</f>
        <v>W_PRD</v>
      </c>
      <c r="E201" s="55">
        <f>'Long-form'!E201</f>
        <v>22.483152357409701</v>
      </c>
      <c r="F201" s="55">
        <f>'Long-form'!F201</f>
        <v>113.233522645843</v>
      </c>
      <c r="G201" t="str">
        <f>'Long-form'!G201</f>
        <v xml:space="preserve">3 = Optically stimulated luminescence </v>
      </c>
      <c r="H201" s="56" t="str">
        <f>'Long-form'!H201</f>
        <v>n.a.</v>
      </c>
      <c r="I201" s="56" t="str">
        <f>'Long-form'!I201</f>
        <v>n.a.</v>
      </c>
      <c r="J201" s="56">
        <f>'Long-form'!J201</f>
        <v>7400</v>
      </c>
      <c r="K201" s="56">
        <f>'Long-form'!K201</f>
        <v>400</v>
      </c>
      <c r="L201" s="56">
        <f>'Long-form'!L201</f>
        <v>400</v>
      </c>
      <c r="M201" s="56" t="str">
        <f>'Long-form'!Q201</f>
        <v>regressive</v>
      </c>
      <c r="N201" s="55">
        <f>'Long-form'!R201</f>
        <v>20.75</v>
      </c>
      <c r="O201" s="55">
        <f>'Long-form'!S201</f>
        <v>9.25</v>
      </c>
      <c r="P201" s="55">
        <f>'Long-form'!T201</f>
        <v>1</v>
      </c>
      <c r="Q201" s="55">
        <f>'Long-form'!AM201</f>
        <v>-19.75</v>
      </c>
      <c r="R201" s="55" t="str">
        <f>'Long-form'!AN201</f>
        <v>YSD</v>
      </c>
      <c r="S201" s="55">
        <f>'Long-form'!AP201</f>
        <v>1.0983396560263132</v>
      </c>
      <c r="T201" s="55">
        <f>'Long-form'!AQ201</f>
        <v>1.0983396560263132</v>
      </c>
      <c r="U201" t="str">
        <f>'Long-form'!BC201</f>
        <v>-1</v>
      </c>
      <c r="V201" t="str">
        <f>'Long-form'!BD201</f>
        <v>5 = Sedimentary (e.g., deltaic, estuarine, wetland, lacustrine, marine facies)</v>
      </c>
      <c r="W201" t="str">
        <f>'Long-form'!BE201</f>
        <v>Estuarine or prodelta deposit</v>
      </c>
      <c r="X201" t="str">
        <f>'Long-form'!BF201</f>
        <v>Lithology and stratigraphic corrolation</v>
      </c>
      <c r="Y201" t="str">
        <f>'Long-form'!BH201</f>
        <v>&lt;MTL</v>
      </c>
      <c r="Z201" s="55">
        <f>'Long-form'!BT201</f>
        <v>-19.721507438</v>
      </c>
      <c r="AA201" s="55">
        <f>'Long-form'!BU201</f>
        <v>1.099477148466488</v>
      </c>
      <c r="AB201" s="55">
        <f>'Long-form'!BV201</f>
        <v>1.099477148466488</v>
      </c>
      <c r="AC201" s="55" t="str">
        <f>'Long-form'!BW201</f>
        <v>nd</v>
      </c>
      <c r="AD201" s="55" t="str">
        <f>'Long-form'!BX201</f>
        <v>nd</v>
      </c>
      <c r="AE201" s="55" t="str">
        <f>'Long-form'!BY201</f>
        <v>nd</v>
      </c>
      <c r="AF201" t="str">
        <f>'Long-form'!BZ201</f>
        <v>nd</v>
      </c>
      <c r="AG201">
        <f>'Long-form'!CB201</f>
        <v>0</v>
      </c>
      <c r="AH201">
        <f>'Long-form'!CD201</f>
        <v>0</v>
      </c>
      <c r="AI201" t="e">
        <f>'Long-form'!#REF!</f>
        <v>#REF!</v>
      </c>
    </row>
    <row r="202" spans="1:35">
      <c r="A202" t="str">
        <f>'Long-form'!A202</f>
        <v>STU22012</v>
      </c>
      <c r="B202" t="str">
        <f>'Long-form'!B202</f>
        <v>Lin et al. 2023</v>
      </c>
      <c r="C202" t="str">
        <f>'Long-form'!C202</f>
        <v>9a</v>
      </c>
      <c r="D202" t="str">
        <f>'Long-form'!D202</f>
        <v>W_PRD</v>
      </c>
      <c r="E202" s="55">
        <f>'Long-form'!E202</f>
        <v>22.483152357409701</v>
      </c>
      <c r="F202" s="55">
        <f>'Long-form'!F202</f>
        <v>113.233522645843</v>
      </c>
      <c r="G202" t="str">
        <f>'Long-form'!G202</f>
        <v xml:space="preserve">3 = Optically stimulated luminescence </v>
      </c>
      <c r="H202" s="56" t="str">
        <f>'Long-form'!H202</f>
        <v>n.a.</v>
      </c>
      <c r="I202" s="56" t="str">
        <f>'Long-form'!I202</f>
        <v>n.a.</v>
      </c>
      <c r="J202" s="56">
        <f>'Long-form'!J202</f>
        <v>7700</v>
      </c>
      <c r="K202" s="56">
        <f>'Long-form'!K202</f>
        <v>400</v>
      </c>
      <c r="L202" s="56">
        <f>'Long-form'!L202</f>
        <v>400</v>
      </c>
      <c r="M202" s="56" t="str">
        <f>'Long-form'!Q202</f>
        <v>regressive</v>
      </c>
      <c r="N202" s="55">
        <f>'Long-form'!R202</f>
        <v>23.15</v>
      </c>
      <c r="O202" s="55">
        <f>'Long-form'!S202</f>
        <v>6.8500000000000014</v>
      </c>
      <c r="P202" s="55">
        <f>'Long-form'!T202</f>
        <v>1</v>
      </c>
      <c r="Q202" s="55">
        <f>'Long-form'!AM202</f>
        <v>-22.15</v>
      </c>
      <c r="R202" s="55" t="str">
        <f>'Long-form'!AN202</f>
        <v>YSD</v>
      </c>
      <c r="S202" s="55">
        <f>'Long-form'!AP202</f>
        <v>1.1173602820934705</v>
      </c>
      <c r="T202" s="55">
        <f>'Long-form'!AQ202</f>
        <v>1.1173602820934705</v>
      </c>
      <c r="U202" t="str">
        <f>'Long-form'!BC202</f>
        <v>-1</v>
      </c>
      <c r="V202" t="str">
        <f>'Long-form'!BD202</f>
        <v>5 = Sedimentary (e.g., deltaic, estuarine, wetland, lacustrine, marine facies)</v>
      </c>
      <c r="W202" t="str">
        <f>'Long-form'!BE202</f>
        <v>Estuarine or prodelta deposit</v>
      </c>
      <c r="X202" t="str">
        <f>'Long-form'!BF202</f>
        <v>Lithology and stratigraphic corrolation</v>
      </c>
      <c r="Y202" t="str">
        <f>'Long-form'!BH202</f>
        <v>&lt;MTL</v>
      </c>
      <c r="Z202" s="55">
        <f>'Long-form'!BT202</f>
        <v>-22.121507437999998</v>
      </c>
      <c r="AA202" s="55">
        <f>'Long-form'!BU202</f>
        <v>1.1184784307263149</v>
      </c>
      <c r="AB202" s="55">
        <f>'Long-form'!BV202</f>
        <v>1.1184784307263149</v>
      </c>
      <c r="AC202" s="55" t="str">
        <f>'Long-form'!BW202</f>
        <v>nd</v>
      </c>
      <c r="AD202" s="55" t="str">
        <f>'Long-form'!BX202</f>
        <v>nd</v>
      </c>
      <c r="AE202" s="55" t="str">
        <f>'Long-form'!BY202</f>
        <v>nd</v>
      </c>
      <c r="AF202" t="str">
        <f>'Long-form'!BZ202</f>
        <v>nd</v>
      </c>
      <c r="AG202">
        <f>'Long-form'!CB202</f>
        <v>0</v>
      </c>
      <c r="AH202">
        <f>'Long-form'!CD202</f>
        <v>0</v>
      </c>
      <c r="AI202" t="e">
        <f>'Long-form'!#REF!</f>
        <v>#REF!</v>
      </c>
    </row>
    <row r="203" spans="1:35">
      <c r="A203" t="str">
        <f>'Long-form'!A203</f>
        <v>STU22013</v>
      </c>
      <c r="B203" t="str">
        <f>'Long-form'!B203</f>
        <v>Lin et al. 2023</v>
      </c>
      <c r="C203" t="str">
        <f>'Long-form'!C203</f>
        <v>9a</v>
      </c>
      <c r="D203" t="str">
        <f>'Long-form'!D203</f>
        <v>W_PRD</v>
      </c>
      <c r="E203" s="55">
        <f>'Long-form'!E203</f>
        <v>22.483152357409701</v>
      </c>
      <c r="F203" s="55">
        <f>'Long-form'!F203</f>
        <v>113.233522645843</v>
      </c>
      <c r="G203" t="str">
        <f>'Long-form'!G203</f>
        <v xml:space="preserve">3 = Optically stimulated luminescence </v>
      </c>
      <c r="H203" s="56" t="str">
        <f>'Long-form'!H203</f>
        <v>n.a.</v>
      </c>
      <c r="I203" s="56" t="str">
        <f>'Long-form'!I203</f>
        <v>n.a.</v>
      </c>
      <c r="J203" s="56">
        <f>'Long-form'!J203</f>
        <v>6200</v>
      </c>
      <c r="K203" s="56">
        <f>'Long-form'!K203</f>
        <v>300</v>
      </c>
      <c r="L203" s="56">
        <f>'Long-form'!L203</f>
        <v>300</v>
      </c>
      <c r="M203" s="56" t="str">
        <f>'Long-form'!Q203</f>
        <v>regressive</v>
      </c>
      <c r="N203" s="55">
        <f>'Long-form'!R203</f>
        <v>24.75</v>
      </c>
      <c r="O203" s="55">
        <f>'Long-form'!S203</f>
        <v>5.25</v>
      </c>
      <c r="P203" s="55">
        <f>'Long-form'!T203</f>
        <v>1</v>
      </c>
      <c r="Q203" s="55">
        <f>'Long-form'!AM203</f>
        <v>-23.75</v>
      </c>
      <c r="R203" s="55" t="str">
        <f>'Long-form'!AN203</f>
        <v>YSD</v>
      </c>
      <c r="S203" s="55">
        <f>'Long-form'!AP203</f>
        <v>1.1309951370364066</v>
      </c>
      <c r="T203" s="55">
        <f>'Long-form'!AQ203</f>
        <v>1.1309951370364066</v>
      </c>
      <c r="U203" t="str">
        <f>'Long-form'!BC203</f>
        <v>-1</v>
      </c>
      <c r="V203" t="str">
        <f>'Long-form'!BD203</f>
        <v>5 = Sedimentary (e.g., deltaic, estuarine, wetland, lacustrine, marine facies)</v>
      </c>
      <c r="W203" t="str">
        <f>'Long-form'!BE203</f>
        <v>Estuarine or prodelta deposit</v>
      </c>
      <c r="X203" t="str">
        <f>'Long-form'!BF203</f>
        <v>Lithology and stratigraphic corrolation</v>
      </c>
      <c r="Y203" t="str">
        <f>'Long-form'!BH203</f>
        <v>&lt;MTL</v>
      </c>
      <c r="Z203" s="55">
        <f>'Long-form'!BT203</f>
        <v>-23.721507438</v>
      </c>
      <c r="AA203" s="55">
        <f>'Long-form'!BU203</f>
        <v>1.1320998189205755</v>
      </c>
      <c r="AB203" s="55">
        <f>'Long-form'!BV203</f>
        <v>1.1320998189205755</v>
      </c>
      <c r="AC203" s="55" t="str">
        <f>'Long-form'!BW203</f>
        <v>nd</v>
      </c>
      <c r="AD203" s="55" t="str">
        <f>'Long-form'!BX203</f>
        <v>nd</v>
      </c>
      <c r="AE203" s="55" t="str">
        <f>'Long-form'!BY203</f>
        <v>nd</v>
      </c>
      <c r="AF203" t="str">
        <f>'Long-form'!BZ203</f>
        <v>nd</v>
      </c>
      <c r="AG203">
        <f>'Long-form'!CB203</f>
        <v>0</v>
      </c>
      <c r="AH203">
        <f>'Long-form'!CD203</f>
        <v>0</v>
      </c>
      <c r="AI203" t="e">
        <f>'Long-form'!#REF!</f>
        <v>#REF!</v>
      </c>
    </row>
    <row r="204" spans="1:35">
      <c r="A204" t="str">
        <f>'Long-form'!A204</f>
        <v>STU22014</v>
      </c>
      <c r="B204" t="str">
        <f>'Long-form'!B204</f>
        <v>Lin et al. 2023</v>
      </c>
      <c r="C204" t="str">
        <f>'Long-form'!C204</f>
        <v>9a</v>
      </c>
      <c r="D204" t="str">
        <f>'Long-form'!D204</f>
        <v>W_PRD</v>
      </c>
      <c r="E204" s="55">
        <f>'Long-form'!E204</f>
        <v>22.483152357409701</v>
      </c>
      <c r="F204" s="55">
        <f>'Long-form'!F204</f>
        <v>113.233522645843</v>
      </c>
      <c r="G204" t="str">
        <f>'Long-form'!G204</f>
        <v xml:space="preserve">3 = Optically stimulated luminescence </v>
      </c>
      <c r="H204" s="56" t="str">
        <f>'Long-form'!H204</f>
        <v>n.a.</v>
      </c>
      <c r="I204" s="56" t="str">
        <f>'Long-form'!I204</f>
        <v>n.a.</v>
      </c>
      <c r="J204" s="56">
        <f>'Long-form'!J204</f>
        <v>8000</v>
      </c>
      <c r="K204" s="56">
        <f>'Long-form'!K204</f>
        <v>400</v>
      </c>
      <c r="L204" s="56">
        <f>'Long-form'!L204</f>
        <v>400</v>
      </c>
      <c r="M204" s="56" t="str">
        <f>'Long-form'!Q204</f>
        <v>regressive</v>
      </c>
      <c r="N204" s="55">
        <f>'Long-form'!R204</f>
        <v>25.55</v>
      </c>
      <c r="O204" s="55">
        <f>'Long-form'!S204</f>
        <v>4.4499999999999993</v>
      </c>
      <c r="P204" s="55">
        <f>'Long-form'!T204</f>
        <v>1</v>
      </c>
      <c r="Q204" s="55">
        <f>'Long-form'!AM204</f>
        <v>-24.55</v>
      </c>
      <c r="R204" s="55" t="str">
        <f>'Long-form'!AN204</f>
        <v>YSD</v>
      </c>
      <c r="S204" s="55">
        <f>'Long-form'!AP204</f>
        <v>1.138088748736231</v>
      </c>
      <c r="T204" s="55">
        <f>'Long-form'!AQ204</f>
        <v>1.138088748736231</v>
      </c>
      <c r="U204" t="str">
        <f>'Long-form'!BC204</f>
        <v>-1</v>
      </c>
      <c r="V204" t="str">
        <f>'Long-form'!BD204</f>
        <v>5 = Sedimentary (e.g., deltaic, estuarine, wetland, lacustrine, marine facies)</v>
      </c>
      <c r="W204" t="str">
        <f>'Long-form'!BE204</f>
        <v>Estuarine or prodelta deposit</v>
      </c>
      <c r="X204" t="str">
        <f>'Long-form'!BF204</f>
        <v>Lithology and stratigraphic corrolation</v>
      </c>
      <c r="Y204" t="str">
        <f>'Long-form'!BH204</f>
        <v>&lt;MTL</v>
      </c>
      <c r="Z204" s="55">
        <f>'Long-form'!BT204</f>
        <v>-24.521507438</v>
      </c>
      <c r="AA204" s="55">
        <f>'Long-form'!BU204</f>
        <v>1.1391865518869155</v>
      </c>
      <c r="AB204" s="55">
        <f>'Long-form'!BV204</f>
        <v>1.1391865518869155</v>
      </c>
      <c r="AC204" s="55" t="str">
        <f>'Long-form'!BW204</f>
        <v>nd</v>
      </c>
      <c r="AD204" s="55" t="str">
        <f>'Long-form'!BX204</f>
        <v>nd</v>
      </c>
      <c r="AE204" s="55" t="str">
        <f>'Long-form'!BY204</f>
        <v>nd</v>
      </c>
      <c r="AF204" t="str">
        <f>'Long-form'!BZ204</f>
        <v>nd</v>
      </c>
      <c r="AG204">
        <f>'Long-form'!CB204</f>
        <v>0</v>
      </c>
      <c r="AH204">
        <f>'Long-form'!CD204</f>
        <v>0</v>
      </c>
      <c r="AI204" t="e">
        <f>'Long-form'!#REF!</f>
        <v>#REF!</v>
      </c>
    </row>
    <row r="205" spans="1:35">
      <c r="A205" t="str">
        <f>'Long-form'!A205</f>
        <v>STU22015</v>
      </c>
      <c r="B205" t="str">
        <f>'Long-form'!B205</f>
        <v>Lin et al. 2023</v>
      </c>
      <c r="C205" t="str">
        <f>'Long-form'!C205</f>
        <v>9a</v>
      </c>
      <c r="D205" t="str">
        <f>'Long-form'!D205</f>
        <v>W_PRD</v>
      </c>
      <c r="E205" s="55">
        <f>'Long-form'!E205</f>
        <v>22.483152357409701</v>
      </c>
      <c r="F205" s="55">
        <f>'Long-form'!F205</f>
        <v>113.233522645843</v>
      </c>
      <c r="G205" t="str">
        <f>'Long-form'!G205</f>
        <v xml:space="preserve">3 = Optically stimulated luminescence </v>
      </c>
      <c r="H205" s="56" t="str">
        <f>'Long-form'!H205</f>
        <v>n.a.</v>
      </c>
      <c r="I205" s="56" t="str">
        <f>'Long-form'!I205</f>
        <v>n.a.</v>
      </c>
      <c r="J205" s="56">
        <f>'Long-form'!J205</f>
        <v>7900</v>
      </c>
      <c r="K205" s="56">
        <f>'Long-form'!K205</f>
        <v>400</v>
      </c>
      <c r="L205" s="56">
        <f>'Long-form'!L205</f>
        <v>400</v>
      </c>
      <c r="M205" s="56" t="str">
        <f>'Long-form'!Q205</f>
        <v>regressive</v>
      </c>
      <c r="N205" s="55">
        <f>'Long-form'!R205</f>
        <v>26.35</v>
      </c>
      <c r="O205" s="55">
        <f>'Long-form'!S205</f>
        <v>3.6499999999999986</v>
      </c>
      <c r="P205" s="55">
        <f>'Long-form'!T205</f>
        <v>1</v>
      </c>
      <c r="Q205" s="55">
        <f>'Long-form'!AM205</f>
        <v>-25.35</v>
      </c>
      <c r="R205" s="55" t="str">
        <f>'Long-form'!AN205</f>
        <v>YSD</v>
      </c>
      <c r="S205" s="55">
        <f>'Long-form'!AP205</f>
        <v>1.1453619515244953</v>
      </c>
      <c r="T205" s="55">
        <f>'Long-form'!AQ205</f>
        <v>1.1453619515244953</v>
      </c>
      <c r="U205" t="str">
        <f>'Long-form'!BC205</f>
        <v>-1</v>
      </c>
      <c r="V205" t="str">
        <f>'Long-form'!BD205</f>
        <v>5 = Sedimentary (e.g., deltaic, estuarine, wetland, lacustrine, marine facies)</v>
      </c>
      <c r="W205" t="str">
        <f>'Long-form'!BE205</f>
        <v>Estuarine or prodelta deposit</v>
      </c>
      <c r="X205" t="str">
        <f>'Long-form'!BF205</f>
        <v>Lithology and stratigraphic corrolation</v>
      </c>
      <c r="Y205" t="str">
        <f>'Long-form'!BH205</f>
        <v>&lt;MTL</v>
      </c>
      <c r="Z205" s="55">
        <f>'Long-form'!BT205</f>
        <v>-25.321507438000001</v>
      </c>
      <c r="AA205" s="55">
        <f>'Long-form'!BU205</f>
        <v>1.1464527901313688</v>
      </c>
      <c r="AB205" s="55">
        <f>'Long-form'!BV205</f>
        <v>1.1464527901313688</v>
      </c>
      <c r="AC205" s="55" t="str">
        <f>'Long-form'!BW205</f>
        <v>nd</v>
      </c>
      <c r="AD205" s="55" t="str">
        <f>'Long-form'!BX205</f>
        <v>nd</v>
      </c>
      <c r="AE205" s="55" t="str">
        <f>'Long-form'!BY205</f>
        <v>nd</v>
      </c>
      <c r="AF205" t="str">
        <f>'Long-form'!BZ205</f>
        <v>nd</v>
      </c>
      <c r="AG205">
        <f>'Long-form'!CB205</f>
        <v>0</v>
      </c>
      <c r="AH205">
        <f>'Long-form'!CD205</f>
        <v>0</v>
      </c>
      <c r="AI205" t="e">
        <f>'Long-form'!#REF!</f>
        <v>#REF!</v>
      </c>
    </row>
    <row r="206" spans="1:35">
      <c r="A206" t="str">
        <f>'Long-form'!A206</f>
        <v>PRD05001</v>
      </c>
      <c r="B206" t="str">
        <f>'Long-form'!B206</f>
        <v>Liu et al. 2013</v>
      </c>
      <c r="C206" t="str">
        <f>'Long-form'!C206</f>
        <v>9a</v>
      </c>
      <c r="D206" t="str">
        <f>'Long-form'!D206</f>
        <v>W_PRD</v>
      </c>
      <c r="E206" s="55">
        <f>'Long-form'!E206</f>
        <v>22.523333000000001</v>
      </c>
      <c r="F206" s="55">
        <f>'Long-form'!F206</f>
        <v>113.18388899999999</v>
      </c>
      <c r="G206" t="str">
        <f>'Long-form'!G206</f>
        <v>1 = Radiocarbon</v>
      </c>
      <c r="H206" s="56">
        <f>'Long-form'!H206</f>
        <v>1915</v>
      </c>
      <c r="I206" s="56">
        <f>'Long-form'!I206</f>
        <v>200</v>
      </c>
      <c r="J206" s="56">
        <f>'Long-form'!J206</f>
        <v>1852</v>
      </c>
      <c r="K206" s="56">
        <f>'Long-form'!K206</f>
        <v>470</v>
      </c>
      <c r="L206" s="56">
        <f>'Long-form'!L206</f>
        <v>440</v>
      </c>
      <c r="M206" s="56" t="str">
        <f>'Long-form'!Q206</f>
        <v>regressive</v>
      </c>
      <c r="N206" s="55">
        <f>'Long-form'!R206</f>
        <v>4.5</v>
      </c>
      <c r="O206" s="55">
        <f>'Long-form'!S206</f>
        <v>30.5</v>
      </c>
      <c r="P206" s="55">
        <f>'Long-form'!T206</f>
        <v>1</v>
      </c>
      <c r="Q206" s="55">
        <f>'Long-form'!AM206</f>
        <v>-3.38</v>
      </c>
      <c r="R206" s="55" t="str">
        <f>'Long-form'!AN206</f>
        <v>YSD</v>
      </c>
      <c r="S206" s="55">
        <f>'Long-form'!AP206</f>
        <v>0.72029507842272533</v>
      </c>
      <c r="T206" s="55">
        <f>'Long-form'!AQ206</f>
        <v>0.72029507842272533</v>
      </c>
      <c r="U206" t="str">
        <f>'Long-form'!BC206</f>
        <v xml:space="preserve">1 </v>
      </c>
      <c r="V206" t="str">
        <f>'Long-form'!BD206</f>
        <v>5 = Sedimentary (e.g., deltaic, estuarine, wetland, lacustrine, marine facies)</v>
      </c>
      <c r="W206" t="str">
        <f>'Long-form'!BE206</f>
        <v>Alluvial plain deposit</v>
      </c>
      <c r="X206" t="str">
        <f>'Long-form'!BF206</f>
        <v>Interbedded silty sand</v>
      </c>
      <c r="Y206" t="str">
        <f>'Long-form'!BH206</f>
        <v>&gt;MTL</v>
      </c>
      <c r="Z206" s="55">
        <f>'Long-form'!BT206</f>
        <v>-3.3514787357300597</v>
      </c>
      <c r="AA206" s="55">
        <f>'Long-form'!BU206</f>
        <v>0.72202839279352449</v>
      </c>
      <c r="AB206" s="55">
        <f>'Long-form'!BV206</f>
        <v>0.72202839279352449</v>
      </c>
      <c r="AC206" s="55" t="str">
        <f>'Long-form'!BW206</f>
        <v>nd</v>
      </c>
      <c r="AD206" s="55" t="str">
        <f>'Long-form'!BX206</f>
        <v>nd</v>
      </c>
      <c r="AE206" s="55" t="str">
        <f>'Long-form'!BY206</f>
        <v>nd</v>
      </c>
      <c r="AF206" t="str">
        <f>'Long-form'!BZ206</f>
        <v>nd</v>
      </c>
      <c r="AG206">
        <f>'Long-form'!CB206</f>
        <v>1</v>
      </c>
      <c r="AH206">
        <f>'Long-form'!CD206</f>
        <v>0</v>
      </c>
      <c r="AI206" t="e">
        <f>'Long-form'!#REF!</f>
        <v>#REF!</v>
      </c>
    </row>
    <row r="207" spans="1:35">
      <c r="A207" t="str">
        <f>'Long-form'!A207</f>
        <v>PRD05002</v>
      </c>
      <c r="B207" t="str">
        <f>'Long-form'!B207</f>
        <v>Liu et al. 2013</v>
      </c>
      <c r="C207" t="str">
        <f>'Long-form'!C207</f>
        <v>9a</v>
      </c>
      <c r="D207" t="str">
        <f>'Long-form'!D207</f>
        <v>W_PRD</v>
      </c>
      <c r="E207" s="55">
        <f>'Long-form'!E207</f>
        <v>22.523333000000001</v>
      </c>
      <c r="F207" s="55">
        <f>'Long-form'!F207</f>
        <v>113.18388899999999</v>
      </c>
      <c r="G207" t="str">
        <f>'Long-form'!G207</f>
        <v>1 = Radiocarbon</v>
      </c>
      <c r="H207" s="56">
        <f>'Long-form'!H207</f>
        <v>2065</v>
      </c>
      <c r="I207" s="56">
        <f>'Long-form'!I207</f>
        <v>180</v>
      </c>
      <c r="J207" s="56">
        <f>'Long-form'!J207</f>
        <v>2030</v>
      </c>
      <c r="K207" s="56">
        <f>'Long-form'!K207</f>
        <v>457</v>
      </c>
      <c r="L207" s="56">
        <f>'Long-form'!L207</f>
        <v>481</v>
      </c>
      <c r="M207" s="56" t="str">
        <f>'Long-form'!Q207</f>
        <v>regressive</v>
      </c>
      <c r="N207" s="55">
        <f>'Long-form'!R207</f>
        <v>5.5</v>
      </c>
      <c r="O207" s="55">
        <f>'Long-form'!S207</f>
        <v>29.5</v>
      </c>
      <c r="P207" s="55">
        <f>'Long-form'!T207</f>
        <v>1</v>
      </c>
      <c r="Q207" s="55">
        <f>'Long-form'!AM207</f>
        <v>-4.38</v>
      </c>
      <c r="R207" s="55" t="str">
        <f>'Long-form'!AN207</f>
        <v>YSD</v>
      </c>
      <c r="S207" s="55">
        <f>'Long-form'!AP207</f>
        <v>0.72306638699361481</v>
      </c>
      <c r="T207" s="55">
        <f>'Long-form'!AQ207</f>
        <v>0.72306638699361481</v>
      </c>
      <c r="U207" t="str">
        <f>'Long-form'!BC207</f>
        <v xml:space="preserve">1 </v>
      </c>
      <c r="V207" t="str">
        <f>'Long-form'!BD207</f>
        <v>5 = Sedimentary (e.g., deltaic, estuarine, wetland, lacustrine, marine facies)</v>
      </c>
      <c r="W207" t="str">
        <f>'Long-form'!BE207</f>
        <v>Alluvial plain deposit</v>
      </c>
      <c r="X207" t="str">
        <f>'Long-form'!BF207</f>
        <v>Interbedded silty sand</v>
      </c>
      <c r="Y207" t="str">
        <f>'Long-form'!BH207</f>
        <v>&gt;MTL</v>
      </c>
      <c r="Z207" s="55">
        <f>'Long-form'!BT207</f>
        <v>-4.3514787357300593</v>
      </c>
      <c r="AA207" s="55">
        <f>'Long-form'!BU207</f>
        <v>0.72479307391834258</v>
      </c>
      <c r="AB207" s="55">
        <f>'Long-form'!BV207</f>
        <v>0.72479307391834258</v>
      </c>
      <c r="AC207" s="55" t="str">
        <f>'Long-form'!BW207</f>
        <v>nd</v>
      </c>
      <c r="AD207" s="55" t="str">
        <f>'Long-form'!BX207</f>
        <v>nd</v>
      </c>
      <c r="AE207" s="55" t="str">
        <f>'Long-form'!BY207</f>
        <v>nd</v>
      </c>
      <c r="AF207" t="str">
        <f>'Long-form'!BZ207</f>
        <v>nd</v>
      </c>
      <c r="AG207">
        <f>'Long-form'!CB207</f>
        <v>1</v>
      </c>
      <c r="AH207">
        <f>'Long-form'!CD207</f>
        <v>0</v>
      </c>
      <c r="AI207" t="e">
        <f>'Long-form'!#REF!</f>
        <v>#REF!</v>
      </c>
    </row>
    <row r="208" spans="1:35">
      <c r="A208" t="str">
        <f>'Long-form'!A208</f>
        <v>PRD05003</v>
      </c>
      <c r="B208" t="str">
        <f>'Long-form'!B208</f>
        <v>Liu et al. 2013</v>
      </c>
      <c r="C208" t="str">
        <f>'Long-form'!C208</f>
        <v>9a</v>
      </c>
      <c r="D208" t="str">
        <f>'Long-form'!D208</f>
        <v>W_PRD</v>
      </c>
      <c r="E208" s="55">
        <f>'Long-form'!E208</f>
        <v>22.523333000000001</v>
      </c>
      <c r="F208" s="55">
        <f>'Long-form'!F208</f>
        <v>113.18388899999999</v>
      </c>
      <c r="G208" t="str">
        <f>'Long-form'!G208</f>
        <v>1 = Radiocarbon</v>
      </c>
      <c r="H208" s="56">
        <f>'Long-form'!H208</f>
        <v>2355</v>
      </c>
      <c r="I208" s="56">
        <f>'Long-form'!I208</f>
        <v>150</v>
      </c>
      <c r="J208" s="56">
        <f>'Long-form'!J208</f>
        <v>2412</v>
      </c>
      <c r="K208" s="56">
        <f>'Long-form'!K208</f>
        <v>338</v>
      </c>
      <c r="L208" s="56">
        <f>'Long-form'!L208</f>
        <v>407</v>
      </c>
      <c r="M208" s="56" t="str">
        <f>'Long-form'!Q208</f>
        <v>regressive</v>
      </c>
      <c r="N208" s="55">
        <f>'Long-form'!R208</f>
        <v>6.5</v>
      </c>
      <c r="O208" s="55">
        <f>'Long-form'!S208</f>
        <v>28.5</v>
      </c>
      <c r="P208" s="55">
        <f>'Long-form'!T208</f>
        <v>1</v>
      </c>
      <c r="Q208" s="55">
        <f>'Long-form'!AM208</f>
        <v>-5.38</v>
      </c>
      <c r="R208" s="55" t="str">
        <f>'Long-form'!AN208</f>
        <v>YSD</v>
      </c>
      <c r="S208" s="55">
        <f>'Long-form'!AP208</f>
        <v>0.72637800076819503</v>
      </c>
      <c r="T208" s="55">
        <f>'Long-form'!AQ208</f>
        <v>0.72637800076819503</v>
      </c>
      <c r="U208" t="str">
        <f>'Long-form'!BC208</f>
        <v xml:space="preserve">1 </v>
      </c>
      <c r="V208" t="str">
        <f>'Long-form'!BD208</f>
        <v>5 = Sedimentary (e.g., deltaic, estuarine, wetland, lacustrine, marine facies)</v>
      </c>
      <c r="W208" t="str">
        <f>'Long-form'!BE208</f>
        <v>Alluvial plain deposit</v>
      </c>
      <c r="X208" t="str">
        <f>'Long-form'!BF208</f>
        <v>Interbedded silty sand</v>
      </c>
      <c r="Y208" t="str">
        <f>'Long-form'!BH208</f>
        <v>&gt;MTL</v>
      </c>
      <c r="Z208" s="55">
        <f>'Long-form'!BT208</f>
        <v>-5.3514787357300593</v>
      </c>
      <c r="AA208" s="55">
        <f>'Long-form'!BU208</f>
        <v>0.72809683421918536</v>
      </c>
      <c r="AB208" s="55">
        <f>'Long-form'!BV208</f>
        <v>0.72809683421918536</v>
      </c>
      <c r="AC208" s="55" t="str">
        <f>'Long-form'!BW208</f>
        <v>nd</v>
      </c>
      <c r="AD208" s="55" t="str">
        <f>'Long-form'!BX208</f>
        <v>nd</v>
      </c>
      <c r="AE208" s="55" t="str">
        <f>'Long-form'!BY208</f>
        <v>nd</v>
      </c>
      <c r="AF208" t="str">
        <f>'Long-form'!BZ208</f>
        <v>nd</v>
      </c>
      <c r="AG208">
        <f>'Long-form'!CB208</f>
        <v>1</v>
      </c>
      <c r="AH208">
        <f>'Long-form'!CD208</f>
        <v>0</v>
      </c>
    </row>
    <row r="209" spans="1:34">
      <c r="A209" t="str">
        <f>'Long-form'!A209</f>
        <v>PRD05004</v>
      </c>
      <c r="B209" t="str">
        <f>'Long-form'!B209</f>
        <v>Liu et al. 2013</v>
      </c>
      <c r="C209" t="str">
        <f>'Long-form'!C209</f>
        <v>9a</v>
      </c>
      <c r="D209" t="str">
        <f>'Long-form'!D209</f>
        <v>W_PRD</v>
      </c>
      <c r="E209" s="55">
        <f>'Long-form'!E209</f>
        <v>22.523333000000001</v>
      </c>
      <c r="F209" s="55">
        <f>'Long-form'!F209</f>
        <v>113.18388899999999</v>
      </c>
      <c r="G209" t="str">
        <f>'Long-form'!G209</f>
        <v>1 = Radiocarbon</v>
      </c>
      <c r="H209" s="56">
        <f>'Long-form'!H209</f>
        <v>2955</v>
      </c>
      <c r="I209" s="56">
        <f>'Long-form'!I209</f>
        <v>160</v>
      </c>
      <c r="J209" s="56">
        <f>'Long-form'!J209</f>
        <v>3116</v>
      </c>
      <c r="K209" s="56">
        <f>'Long-form'!K209</f>
        <v>335</v>
      </c>
      <c r="L209" s="56">
        <f>'Long-form'!L209</f>
        <v>352</v>
      </c>
      <c r="M209" s="56" t="str">
        <f>'Long-form'!Q209</f>
        <v>regressive</v>
      </c>
      <c r="N209" s="55">
        <f>'Long-form'!R209</f>
        <v>10.5</v>
      </c>
      <c r="O209" s="55">
        <f>'Long-form'!S209</f>
        <v>24.5</v>
      </c>
      <c r="P209" s="55">
        <f>'Long-form'!T209</f>
        <v>1</v>
      </c>
      <c r="Q209" s="55">
        <f>'Long-form'!AM209</f>
        <v>-9.379999999999999</v>
      </c>
      <c r="R209" s="55" t="str">
        <f>'Long-form'!AN209</f>
        <v>YSD</v>
      </c>
      <c r="S209" s="55">
        <f>'Long-form'!AP209</f>
        <v>0.74486575971781643</v>
      </c>
      <c r="T209" s="55">
        <f>'Long-form'!AQ209</f>
        <v>0.74486575971781643</v>
      </c>
      <c r="U209" t="str">
        <f>'Long-form'!BC209</f>
        <v xml:space="preserve">1 </v>
      </c>
      <c r="V209" t="str">
        <f>'Long-form'!BD209</f>
        <v>5 = Sedimentary (e.g., deltaic, estuarine, wetland, lacustrine, marine facies)</v>
      </c>
      <c r="W209" t="str">
        <f>'Long-form'!BE209</f>
        <v>Alluvial plain deposit</v>
      </c>
      <c r="X209" t="str">
        <f>'Long-form'!BF209</f>
        <v>Interbedded silty sand</v>
      </c>
      <c r="Y209" t="str">
        <f>'Long-form'!BH209</f>
        <v>&gt;MTL</v>
      </c>
      <c r="Z209" s="55">
        <f>'Long-form'!BT209</f>
        <v>-9.3514787357300584</v>
      </c>
      <c r="AA209" s="55">
        <f>'Long-form'!BU209</f>
        <v>0.74654202828775817</v>
      </c>
      <c r="AB209" s="55">
        <f>'Long-form'!BV209</f>
        <v>0.74654202828775817</v>
      </c>
      <c r="AC209" s="55" t="str">
        <f>'Long-form'!BW209</f>
        <v>nd</v>
      </c>
      <c r="AD209" s="55" t="str">
        <f>'Long-form'!BX209</f>
        <v>nd</v>
      </c>
      <c r="AE209" s="55" t="str">
        <f>'Long-form'!BY209</f>
        <v>nd</v>
      </c>
      <c r="AF209" t="str">
        <f>'Long-form'!BZ209</f>
        <v>nd</v>
      </c>
      <c r="AG209">
        <f>'Long-form'!CB209</f>
        <v>1</v>
      </c>
      <c r="AH209">
        <f>'Long-form'!CD209</f>
        <v>0</v>
      </c>
    </row>
    <row r="210" spans="1:34">
      <c r="A210" t="str">
        <f>'Long-form'!A210</f>
        <v>PRD05005</v>
      </c>
      <c r="B210" t="str">
        <f>'Long-form'!B210</f>
        <v>Liu et al. 2013</v>
      </c>
      <c r="C210" t="str">
        <f>'Long-form'!C210</f>
        <v>9a</v>
      </c>
      <c r="D210" t="str">
        <f>'Long-form'!D210</f>
        <v>W_PRD</v>
      </c>
      <c r="E210" s="55">
        <f>'Long-form'!E210</f>
        <v>22.523333000000001</v>
      </c>
      <c r="F210" s="55">
        <f>'Long-form'!F210</f>
        <v>113.18388899999999</v>
      </c>
      <c r="G210" t="str">
        <f>'Long-form'!G210</f>
        <v>1 = Radiocarbon</v>
      </c>
      <c r="H210" s="56">
        <f>'Long-form'!H210</f>
        <v>3681</v>
      </c>
      <c r="I210" s="56">
        <f>'Long-form'!I210</f>
        <v>94</v>
      </c>
      <c r="J210" s="56">
        <f>'Long-form'!J210</f>
        <v>4022</v>
      </c>
      <c r="K210" s="56">
        <f>'Long-form'!K210</f>
        <v>324</v>
      </c>
      <c r="L210" s="56">
        <f>'Long-form'!L210</f>
        <v>299</v>
      </c>
      <c r="M210" s="56" t="str">
        <f>'Long-form'!Q210</f>
        <v>regressive</v>
      </c>
      <c r="N210" s="55">
        <f>'Long-form'!R210</f>
        <v>11.5</v>
      </c>
      <c r="O210" s="55">
        <f>'Long-form'!S210</f>
        <v>23.5</v>
      </c>
      <c r="P210" s="55">
        <f>'Long-form'!T210</f>
        <v>1</v>
      </c>
      <c r="Q210" s="55">
        <f>'Long-form'!AM210</f>
        <v>-10.379999999999999</v>
      </c>
      <c r="R210" s="55" t="str">
        <f>'Long-form'!AN210</f>
        <v>YSD</v>
      </c>
      <c r="S210" s="55">
        <f>'Long-form'!AP210</f>
        <v>0.75074962537453194</v>
      </c>
      <c r="T210" s="55">
        <f>'Long-form'!AQ210</f>
        <v>0.75074962537453194</v>
      </c>
      <c r="U210" t="str">
        <f>'Long-form'!BC210</f>
        <v xml:space="preserve">-1 </v>
      </c>
      <c r="V210" t="str">
        <f>'Long-form'!BD210</f>
        <v>5 = Sedimentary (e.g., deltaic, estuarine, wetland, lacustrine, marine facies)</v>
      </c>
      <c r="W210" t="str">
        <f>'Long-form'!BE210</f>
        <v>Tidal channel deposit</v>
      </c>
      <c r="X210" t="str">
        <f>'Long-form'!BF210</f>
        <v>Sandy substrate with foraminifera (A becarii) and ostracod</v>
      </c>
      <c r="Y210" t="str">
        <f>'Long-form'!BH210</f>
        <v>&lt;HAT</v>
      </c>
      <c r="Z210" s="55">
        <f>'Long-form'!BT210</f>
        <v>-11.864510342478559</v>
      </c>
      <c r="AA210" s="55">
        <f>'Long-form'!BU210</f>
        <v>0.77202655394746622</v>
      </c>
      <c r="AB210" s="55">
        <f>'Long-form'!BV210</f>
        <v>0.77202655394746622</v>
      </c>
      <c r="AC210" s="55" t="str">
        <f>'Long-form'!BW210</f>
        <v>nd</v>
      </c>
      <c r="AD210" s="55" t="str">
        <f>'Long-form'!BX210</f>
        <v>nd</v>
      </c>
      <c r="AE210" s="55" t="str">
        <f>'Long-form'!BY210</f>
        <v>nd</v>
      </c>
      <c r="AF210" t="str">
        <f>'Long-form'!BZ210</f>
        <v>nd</v>
      </c>
      <c r="AG210">
        <f>'Long-form'!CB210</f>
        <v>0</v>
      </c>
      <c r="AH210">
        <f>'Long-form'!CD210</f>
        <v>0</v>
      </c>
    </row>
    <row r="211" spans="1:34">
      <c r="A211" t="str">
        <f>'Long-form'!A211</f>
        <v>PRD05006</v>
      </c>
      <c r="B211" t="str">
        <f>'Long-form'!B211</f>
        <v>Liu et al. 2013</v>
      </c>
      <c r="C211" t="str">
        <f>'Long-form'!C211</f>
        <v>9a</v>
      </c>
      <c r="D211" t="str">
        <f>'Long-form'!D211</f>
        <v>W_PRD</v>
      </c>
      <c r="E211" s="55">
        <f>'Long-form'!E211</f>
        <v>22.523333000000001</v>
      </c>
      <c r="F211" s="55">
        <f>'Long-form'!F211</f>
        <v>113.18388899999999</v>
      </c>
      <c r="G211" t="str">
        <f>'Long-form'!G211</f>
        <v>1 = Radiocarbon</v>
      </c>
      <c r="H211" s="56">
        <f>'Long-form'!H211</f>
        <v>5185</v>
      </c>
      <c r="I211" s="56">
        <f>'Long-form'!I211</f>
        <v>115</v>
      </c>
      <c r="J211" s="56">
        <f>'Long-form'!J211</f>
        <v>5953</v>
      </c>
      <c r="K211" s="56">
        <f>'Long-form'!K211</f>
        <v>315</v>
      </c>
      <c r="L211" s="56">
        <f>'Long-form'!L211</f>
        <v>293</v>
      </c>
      <c r="M211" s="56" t="str">
        <f>'Long-form'!Q211</f>
        <v>regressive</v>
      </c>
      <c r="N211" s="55">
        <f>'Long-form'!R211</f>
        <v>12.5</v>
      </c>
      <c r="O211" s="55">
        <f>'Long-form'!S211</f>
        <v>22.5</v>
      </c>
      <c r="P211" s="55">
        <f>'Long-form'!T211</f>
        <v>1</v>
      </c>
      <c r="Q211" s="55">
        <f>'Long-form'!AM211</f>
        <v>-11.379999999999999</v>
      </c>
      <c r="R211" s="55" t="str">
        <f>'Long-form'!AN211</f>
        <v>YSD</v>
      </c>
      <c r="S211" s="55">
        <f>'Long-form'!AP211</f>
        <v>0.75711623942430395</v>
      </c>
      <c r="T211" s="55">
        <f>'Long-form'!AQ211</f>
        <v>0.75711623942430395</v>
      </c>
      <c r="U211" t="str">
        <f>'Long-form'!BC211</f>
        <v xml:space="preserve">-1 </v>
      </c>
      <c r="V211" t="str">
        <f>'Long-form'!BD211</f>
        <v>5 = Sedimentary (e.g., deltaic, estuarine, wetland, lacustrine, marine facies)</v>
      </c>
      <c r="W211" t="str">
        <f>'Long-form'!BE211</f>
        <v>Tidal channel deposit</v>
      </c>
      <c r="X211" t="str">
        <f>'Long-form'!BF211</f>
        <v>Sandy substrate with foraminifera (A becarii) and ostracod</v>
      </c>
      <c r="Y211" t="str">
        <f>'Long-form'!BH211</f>
        <v>&lt;HAT</v>
      </c>
      <c r="Z211" s="55">
        <f>'Long-form'!BT211</f>
        <v>-12.864510342478559</v>
      </c>
      <c r="AA211" s="55">
        <f>'Long-form'!BU211</f>
        <v>0.77821912081366906</v>
      </c>
      <c r="AB211" s="55">
        <f>'Long-form'!BV211</f>
        <v>0.77821912081366906</v>
      </c>
      <c r="AC211" s="55" t="str">
        <f>'Long-form'!BW211</f>
        <v>nd</v>
      </c>
      <c r="AD211" s="55" t="str">
        <f>'Long-form'!BX211</f>
        <v>nd</v>
      </c>
      <c r="AE211" s="55" t="str">
        <f>'Long-form'!BY211</f>
        <v>nd</v>
      </c>
      <c r="AF211" t="str">
        <f>'Long-form'!BZ211</f>
        <v>nd</v>
      </c>
      <c r="AG211">
        <f>'Long-form'!CB211</f>
        <v>0</v>
      </c>
      <c r="AH211">
        <f>'Long-form'!CD211</f>
        <v>0</v>
      </c>
    </row>
    <row r="212" spans="1:34">
      <c r="A212" t="str">
        <f>'Long-form'!A212</f>
        <v>PRD05007</v>
      </c>
      <c r="B212" t="str">
        <f>'Long-form'!B212</f>
        <v>Liu et al. 2013</v>
      </c>
      <c r="C212" t="str">
        <f>'Long-form'!C212</f>
        <v>9a</v>
      </c>
      <c r="D212" t="str">
        <f>'Long-form'!D212</f>
        <v>W_PRD</v>
      </c>
      <c r="E212" s="55">
        <f>'Long-form'!E212</f>
        <v>22.523333000000001</v>
      </c>
      <c r="F212" s="55">
        <f>'Long-form'!F212</f>
        <v>113.18388899999999</v>
      </c>
      <c r="G212" t="str">
        <f>'Long-form'!G212</f>
        <v>1 = Radiocarbon</v>
      </c>
      <c r="H212" s="56">
        <f>'Long-form'!H212</f>
        <v>5530</v>
      </c>
      <c r="I212" s="56">
        <f>'Long-form'!I212</f>
        <v>180</v>
      </c>
      <c r="J212" s="56">
        <f>'Long-form'!J212</f>
        <v>6322</v>
      </c>
      <c r="K212" s="56">
        <f>'Long-form'!K212</f>
        <v>407</v>
      </c>
      <c r="L212" s="56">
        <f>'Long-form'!L212</f>
        <v>399</v>
      </c>
      <c r="M212" s="56" t="str">
        <f>'Long-form'!Q212</f>
        <v>regressive</v>
      </c>
      <c r="N212" s="55">
        <f>'Long-form'!R212</f>
        <v>13</v>
      </c>
      <c r="O212" s="55">
        <f>'Long-form'!S212</f>
        <v>22</v>
      </c>
      <c r="P212" s="55">
        <f>'Long-form'!T212</f>
        <v>1</v>
      </c>
      <c r="Q212" s="55">
        <f>'Long-form'!AM212</f>
        <v>-11.879999999999999</v>
      </c>
      <c r="R212" s="55" t="str">
        <f>'Long-form'!AN212</f>
        <v>YSD</v>
      </c>
      <c r="S212" s="55">
        <f>'Long-form'!AP212</f>
        <v>0.76047682410445616</v>
      </c>
      <c r="T212" s="55">
        <f>'Long-form'!AQ212</f>
        <v>0.76047682410445616</v>
      </c>
      <c r="U212" t="str">
        <f>'Long-form'!BC212</f>
        <v xml:space="preserve">-1 </v>
      </c>
      <c r="V212" t="str">
        <f>'Long-form'!BD212</f>
        <v>5 = Sedimentary (e.g., deltaic, estuarine, wetland, lacustrine, marine facies)</v>
      </c>
      <c r="W212" t="str">
        <f>'Long-form'!BE212</f>
        <v>Tidal channel deposit</v>
      </c>
      <c r="X212" t="str">
        <f>'Long-form'!BF212</f>
        <v>Sandy substrate with foraminifera (A becarii) and ostracod</v>
      </c>
      <c r="Y212" t="str">
        <f>'Long-form'!BH212</f>
        <v>&lt;HAT</v>
      </c>
      <c r="Z212" s="55">
        <f>'Long-form'!BT212</f>
        <v>-13.364510342478559</v>
      </c>
      <c r="AA212" s="55">
        <f>'Long-form'!BU212</f>
        <v>0.7814889634537393</v>
      </c>
      <c r="AB212" s="55">
        <f>'Long-form'!BV212</f>
        <v>0.7814889634537393</v>
      </c>
      <c r="AC212" s="55" t="str">
        <f>'Long-form'!BW212</f>
        <v>nd</v>
      </c>
      <c r="AD212" s="55" t="str">
        <f>'Long-form'!BX212</f>
        <v>nd</v>
      </c>
      <c r="AE212" s="55" t="str">
        <f>'Long-form'!BY212</f>
        <v>nd</v>
      </c>
      <c r="AF212" t="str">
        <f>'Long-form'!BZ212</f>
        <v>nd</v>
      </c>
      <c r="AG212">
        <f>'Long-form'!CB212</f>
        <v>0</v>
      </c>
      <c r="AH212">
        <f>'Long-form'!CD212</f>
        <v>0</v>
      </c>
    </row>
    <row r="213" spans="1:34">
      <c r="A213" t="str">
        <f>'Long-form'!A213</f>
        <v>PRD05008</v>
      </c>
      <c r="B213" t="str">
        <f>'Long-form'!B213</f>
        <v>Liu et al. 2013</v>
      </c>
      <c r="C213" t="str">
        <f>'Long-form'!C213</f>
        <v>9a</v>
      </c>
      <c r="D213" t="str">
        <f>'Long-form'!D213</f>
        <v>W_PRD</v>
      </c>
      <c r="E213" s="55">
        <f>'Long-form'!E213</f>
        <v>22.523333000000001</v>
      </c>
      <c r="F213" s="55">
        <f>'Long-form'!F213</f>
        <v>113.18388899999999</v>
      </c>
      <c r="G213" t="str">
        <f>'Long-form'!G213</f>
        <v>1 = Radiocarbon</v>
      </c>
      <c r="H213" s="56">
        <f>'Long-form'!H213</f>
        <v>6380</v>
      </c>
      <c r="I213" s="56">
        <f>'Long-form'!I213</f>
        <v>135</v>
      </c>
      <c r="J213" s="56">
        <f>'Long-form'!J213</f>
        <v>7286</v>
      </c>
      <c r="K213" s="56">
        <f>'Long-form'!K213</f>
        <v>279</v>
      </c>
      <c r="L213" s="56">
        <f>'Long-form'!L213</f>
        <v>307</v>
      </c>
      <c r="M213" s="56" t="str">
        <f>'Long-form'!Q213</f>
        <v>regressive</v>
      </c>
      <c r="N213" s="55">
        <f>'Long-form'!R213</f>
        <v>13.5</v>
      </c>
      <c r="O213" s="55">
        <f>'Long-form'!S213</f>
        <v>21.5</v>
      </c>
      <c r="P213" s="55">
        <f>'Long-form'!T213</f>
        <v>1</v>
      </c>
      <c r="Q213" s="55">
        <f>'Long-form'!AM213</f>
        <v>-12.379999999999999</v>
      </c>
      <c r="R213" s="55" t="str">
        <f>'Long-form'!AN213</f>
        <v>YSD</v>
      </c>
      <c r="S213" s="55">
        <f>'Long-form'!AP213</f>
        <v>0.76395353261831311</v>
      </c>
      <c r="T213" s="55">
        <f>'Long-form'!AQ213</f>
        <v>0.76395353261831311</v>
      </c>
      <c r="U213" t="str">
        <f>'Long-form'!BC213</f>
        <v xml:space="preserve">-1 </v>
      </c>
      <c r="V213" t="str">
        <f>'Long-form'!BD213</f>
        <v>5 = Sedimentary (e.g., deltaic, estuarine, wetland, lacustrine, marine facies)</v>
      </c>
      <c r="W213" t="str">
        <f>'Long-form'!BE213</f>
        <v>Tidal channel deposit</v>
      </c>
      <c r="X213" t="str">
        <f>'Long-form'!BF213</f>
        <v>Sandy substrate with foraminifera (A becarii) and ostracod</v>
      </c>
      <c r="Y213" t="str">
        <f>'Long-form'!BH213</f>
        <v>&lt;HAT</v>
      </c>
      <c r="Z213" s="55">
        <f>'Long-form'!BT213</f>
        <v>-13.864510342478559</v>
      </c>
      <c r="AA213" s="55">
        <f>'Long-form'!BU213</f>
        <v>0.78487260112708734</v>
      </c>
      <c r="AB213" s="55">
        <f>'Long-form'!BV213</f>
        <v>0.78487260112708734</v>
      </c>
      <c r="AC213" s="55" t="str">
        <f>'Long-form'!BW213</f>
        <v>nd</v>
      </c>
      <c r="AD213" s="55" t="str">
        <f>'Long-form'!BX213</f>
        <v>nd</v>
      </c>
      <c r="AE213" s="55" t="str">
        <f>'Long-form'!BY213</f>
        <v>nd</v>
      </c>
      <c r="AF213" t="str">
        <f>'Long-form'!BZ213</f>
        <v>nd</v>
      </c>
      <c r="AG213">
        <f>'Long-form'!CB213</f>
        <v>0</v>
      </c>
      <c r="AH213">
        <f>'Long-form'!CD213</f>
        <v>0</v>
      </c>
    </row>
    <row r="214" spans="1:34">
      <c r="A214" t="str">
        <f>'Long-form'!A214</f>
        <v>PRD05009</v>
      </c>
      <c r="B214" t="str">
        <f>'Long-form'!B214</f>
        <v>Liu et al. 2013</v>
      </c>
      <c r="C214" t="str">
        <f>'Long-form'!C214</f>
        <v>9a</v>
      </c>
      <c r="D214" t="str">
        <f>'Long-form'!D214</f>
        <v>W_PRD</v>
      </c>
      <c r="E214" s="55">
        <f>'Long-form'!E214</f>
        <v>22.523333000000001</v>
      </c>
      <c r="F214" s="55">
        <f>'Long-form'!F214</f>
        <v>113.18388899999999</v>
      </c>
      <c r="G214" t="str">
        <f>'Long-form'!G214</f>
        <v>1 = Radiocarbon</v>
      </c>
      <c r="H214" s="56">
        <f>'Long-form'!H214</f>
        <v>6450</v>
      </c>
      <c r="I214" s="56">
        <f>'Long-form'!I214</f>
        <v>180</v>
      </c>
      <c r="J214" s="56">
        <f>'Long-form'!J214</f>
        <v>7339</v>
      </c>
      <c r="K214" s="56">
        <f>'Long-form'!K214</f>
        <v>325</v>
      </c>
      <c r="L214" s="56">
        <f>'Long-form'!L214</f>
        <v>390</v>
      </c>
      <c r="M214" s="56" t="str">
        <f>'Long-form'!Q214</f>
        <v>regressive</v>
      </c>
      <c r="N214" s="55">
        <f>'Long-form'!R214</f>
        <v>15</v>
      </c>
      <c r="O214" s="55">
        <f>'Long-form'!S214</f>
        <v>20</v>
      </c>
      <c r="P214" s="55">
        <f>'Long-form'!T214</f>
        <v>1</v>
      </c>
      <c r="Q214" s="55">
        <f>'Long-form'!AM214</f>
        <v>-13.879999999999999</v>
      </c>
      <c r="R214" s="55" t="str">
        <f>'Long-form'!AN214</f>
        <v>YSD</v>
      </c>
      <c r="S214" s="55">
        <f>'Long-form'!AP214</f>
        <v>0.77506451344388094</v>
      </c>
      <c r="T214" s="55">
        <f>'Long-form'!AQ214</f>
        <v>0.77506451344388094</v>
      </c>
      <c r="U214" t="str">
        <f>'Long-form'!BC214</f>
        <v>-1</v>
      </c>
      <c r="V214" t="str">
        <f>'Long-form'!BD214</f>
        <v>5 = Sedimentary (e.g., deltaic, estuarine, wetland, lacustrine, marine facies)</v>
      </c>
      <c r="W214" t="str">
        <f>'Long-form'!BE214</f>
        <v>Estuarine deposit</v>
      </c>
      <c r="X214" t="str">
        <f>'Long-form'!BF214</f>
        <v>Foraminifera and ostracod asssemblage</v>
      </c>
      <c r="Y214" t="str">
        <f>'Long-form'!BH214</f>
        <v>&lt;MTL</v>
      </c>
      <c r="Z214" s="55">
        <f>'Long-form'!BT214</f>
        <v>-13.851478735730058</v>
      </c>
      <c r="AA214" s="55">
        <f>'Long-form'!BU214</f>
        <v>0.77667560795997703</v>
      </c>
      <c r="AB214" s="55">
        <f>'Long-form'!BV214</f>
        <v>0.77667560795997703</v>
      </c>
      <c r="AC214" s="55" t="str">
        <f>'Long-form'!BW214</f>
        <v>nd</v>
      </c>
      <c r="AD214" s="55" t="str">
        <f>'Long-form'!BX214</f>
        <v>nd</v>
      </c>
      <c r="AE214" s="55" t="str">
        <f>'Long-form'!BY214</f>
        <v>nd</v>
      </c>
      <c r="AF214" t="str">
        <f>'Long-form'!BZ214</f>
        <v>nd</v>
      </c>
      <c r="AG214">
        <f>'Long-form'!CB214</f>
        <v>0</v>
      </c>
      <c r="AH214">
        <f>'Long-form'!CD214</f>
        <v>0</v>
      </c>
    </row>
    <row r="215" spans="1:34">
      <c r="A215" t="str">
        <f>'Long-form'!A215</f>
        <v>PRD05010</v>
      </c>
      <c r="B215" t="str">
        <f>'Long-form'!B215</f>
        <v>Liu et al. 2013</v>
      </c>
      <c r="C215" t="str">
        <f>'Long-form'!C215</f>
        <v>9a</v>
      </c>
      <c r="D215" t="str">
        <f>'Long-form'!D215</f>
        <v>W_PRD</v>
      </c>
      <c r="E215" s="55">
        <f>'Long-form'!E215</f>
        <v>22.523333000000001</v>
      </c>
      <c r="F215" s="55">
        <f>'Long-form'!F215</f>
        <v>113.18388899999999</v>
      </c>
      <c r="G215" t="str">
        <f>'Long-form'!G215</f>
        <v>1 = Radiocarbon</v>
      </c>
      <c r="H215" s="56">
        <f>'Long-form'!H215</f>
        <v>7000</v>
      </c>
      <c r="I215" s="56">
        <f>'Long-form'!I215</f>
        <v>155</v>
      </c>
      <c r="J215" s="56">
        <f>'Long-form'!J215</f>
        <v>7828</v>
      </c>
      <c r="K215" s="56">
        <f>'Long-form'!K215</f>
        <v>339</v>
      </c>
      <c r="L215" s="56">
        <f>'Long-form'!L215</f>
        <v>255</v>
      </c>
      <c r="M215" s="56" t="str">
        <f>'Long-form'!Q215</f>
        <v>regressive</v>
      </c>
      <c r="N215" s="55">
        <f>'Long-form'!R215</f>
        <v>16</v>
      </c>
      <c r="O215" s="55">
        <f>'Long-form'!S215</f>
        <v>19</v>
      </c>
      <c r="P215" s="55">
        <f>'Long-form'!T215</f>
        <v>1</v>
      </c>
      <c r="Q215" s="55">
        <f>'Long-form'!AM215</f>
        <v>-14.879999999999999</v>
      </c>
      <c r="R215" s="55" t="str">
        <f>'Long-form'!AN215</f>
        <v>YSD</v>
      </c>
      <c r="S215" s="55">
        <f>'Long-form'!AP215</f>
        <v>0.78302298816829119</v>
      </c>
      <c r="T215" s="55">
        <f>'Long-form'!AQ215</f>
        <v>0.78302298816829119</v>
      </c>
      <c r="U215" t="str">
        <f>'Long-form'!BC215</f>
        <v>-1</v>
      </c>
      <c r="V215" t="str">
        <f>'Long-form'!BD215</f>
        <v>5 = Sedimentary (e.g., deltaic, estuarine, wetland, lacustrine, marine facies)</v>
      </c>
      <c r="W215" t="str">
        <f>'Long-form'!BE215</f>
        <v>Estuarine deposit</v>
      </c>
      <c r="X215" t="str">
        <f>'Long-form'!BF215</f>
        <v>Foraminifera and ostracod asssemblage</v>
      </c>
      <c r="Y215" t="str">
        <f>'Long-form'!BH215</f>
        <v>&lt;MTL</v>
      </c>
      <c r="Z215" s="55">
        <f>'Long-form'!BT215</f>
        <v>-14.851478735730058</v>
      </c>
      <c r="AA215" s="55">
        <f>'Long-form'!BU215</f>
        <v>0.78461774132376072</v>
      </c>
      <c r="AB215" s="55">
        <f>'Long-form'!BV215</f>
        <v>0.78461774132376072</v>
      </c>
      <c r="AC215" s="55" t="str">
        <f>'Long-form'!BW215</f>
        <v>nd</v>
      </c>
      <c r="AD215" s="55" t="str">
        <f>'Long-form'!BX215</f>
        <v>nd</v>
      </c>
      <c r="AE215" s="55" t="str">
        <f>'Long-form'!BY215</f>
        <v>nd</v>
      </c>
      <c r="AF215" t="str">
        <f>'Long-form'!BZ215</f>
        <v>nd</v>
      </c>
      <c r="AG215">
        <f>'Long-form'!CB215</f>
        <v>0</v>
      </c>
      <c r="AH215">
        <f>'Long-form'!CD215</f>
        <v>0</v>
      </c>
    </row>
    <row r="216" spans="1:34">
      <c r="A216" t="str">
        <f>'Long-form'!A216</f>
        <v>PRD05011</v>
      </c>
      <c r="B216" t="str">
        <f>'Long-form'!B216</f>
        <v>Liu et al. 2013</v>
      </c>
      <c r="C216" t="str">
        <f>'Long-form'!C216</f>
        <v>9a</v>
      </c>
      <c r="D216" t="str">
        <f>'Long-form'!D216</f>
        <v>W_PRD</v>
      </c>
      <c r="E216" s="55">
        <f>'Long-form'!E216</f>
        <v>22.523333000000001</v>
      </c>
      <c r="F216" s="55">
        <f>'Long-form'!F216</f>
        <v>113.18388899999999</v>
      </c>
      <c r="G216" t="str">
        <f>'Long-form'!G216</f>
        <v>1 = Radiocarbon</v>
      </c>
      <c r="H216" s="56">
        <f>'Long-form'!H216</f>
        <v>7570</v>
      </c>
      <c r="I216" s="56">
        <f>'Long-form'!I216</f>
        <v>180</v>
      </c>
      <c r="J216" s="56">
        <f>'Long-form'!J216</f>
        <v>8372</v>
      </c>
      <c r="K216" s="56">
        <f>'Long-form'!K216</f>
        <v>597</v>
      </c>
      <c r="L216" s="56">
        <f>'Long-form'!L216</f>
        <v>393</v>
      </c>
      <c r="M216" s="56" t="str">
        <f>'Long-form'!Q216</f>
        <v>regressive</v>
      </c>
      <c r="N216" s="55">
        <f>'Long-form'!R216</f>
        <v>18</v>
      </c>
      <c r="O216" s="55">
        <f>'Long-form'!S216</f>
        <v>17</v>
      </c>
      <c r="P216" s="55">
        <f>'Long-form'!T216</f>
        <v>1</v>
      </c>
      <c r="Q216" s="55">
        <f>'Long-form'!AM216</f>
        <v>-16.88</v>
      </c>
      <c r="R216" s="55" t="str">
        <f>'Long-form'!AN216</f>
        <v>YSD</v>
      </c>
      <c r="S216" s="55">
        <f>'Long-form'!AP216</f>
        <v>0.80020309921919197</v>
      </c>
      <c r="T216" s="55">
        <f>'Long-form'!AQ216</f>
        <v>0.80020309921919197</v>
      </c>
      <c r="U216" t="str">
        <f>'Long-form'!BC216</f>
        <v>-1</v>
      </c>
      <c r="V216" t="str">
        <f>'Long-form'!BD216</f>
        <v>5 = Sedimentary (e.g., deltaic, estuarine, wetland, lacustrine, marine facies)</v>
      </c>
      <c r="W216" t="str">
        <f>'Long-form'!BE216</f>
        <v>Estuarine deposit</v>
      </c>
      <c r="X216" t="str">
        <f>'Long-form'!BF216</f>
        <v>Foraminifera and ostracod asssemblage</v>
      </c>
      <c r="Y216" t="str">
        <f>'Long-form'!BH216</f>
        <v>&lt;MTL</v>
      </c>
      <c r="Z216" s="55">
        <f>'Long-form'!BT216</f>
        <v>-16.851478735730058</v>
      </c>
      <c r="AA216" s="55">
        <f>'Long-form'!BU216</f>
        <v>0.80176368089356598</v>
      </c>
      <c r="AB216" s="55">
        <f>'Long-form'!BV216</f>
        <v>0.80176368089356598</v>
      </c>
      <c r="AC216" s="55" t="str">
        <f>'Long-form'!BW216</f>
        <v>nd</v>
      </c>
      <c r="AD216" s="55" t="str">
        <f>'Long-form'!BX216</f>
        <v>nd</v>
      </c>
      <c r="AE216" s="55" t="str">
        <f>'Long-form'!BY216</f>
        <v>nd</v>
      </c>
      <c r="AF216" t="str">
        <f>'Long-form'!BZ216</f>
        <v>nd</v>
      </c>
      <c r="AG216">
        <f>'Long-form'!CB216</f>
        <v>0</v>
      </c>
      <c r="AH216">
        <f>'Long-form'!CD216</f>
        <v>0</v>
      </c>
    </row>
    <row r="217" spans="1:34">
      <c r="A217" t="str">
        <f>'Long-form'!A217</f>
        <v>PRD05012</v>
      </c>
      <c r="B217" t="str">
        <f>'Long-form'!B217</f>
        <v>Liu et al. 2013</v>
      </c>
      <c r="C217" t="str">
        <f>'Long-form'!C217</f>
        <v>9a</v>
      </c>
      <c r="D217" t="str">
        <f>'Long-form'!D217</f>
        <v>W_PRD</v>
      </c>
      <c r="E217" s="55">
        <f>'Long-form'!E217</f>
        <v>22.523333000000001</v>
      </c>
      <c r="F217" s="55">
        <f>'Long-form'!F217</f>
        <v>113.18388899999999</v>
      </c>
      <c r="G217" t="str">
        <f>'Long-form'!G217</f>
        <v>1 = Radiocarbon</v>
      </c>
      <c r="H217" s="56">
        <f>'Long-form'!H217</f>
        <v>8640</v>
      </c>
      <c r="I217" s="56">
        <f>'Long-form'!I217</f>
        <v>240</v>
      </c>
      <c r="J217" s="56">
        <f>'Long-form'!J217</f>
        <v>9702</v>
      </c>
      <c r="K217" s="56">
        <f>'Long-form'!K217</f>
        <v>539</v>
      </c>
      <c r="L217" s="56">
        <f>'Long-form'!L217</f>
        <v>670</v>
      </c>
      <c r="M217" s="56" t="str">
        <f>'Long-form'!Q217</f>
        <v>regressive</v>
      </c>
      <c r="N217" s="55">
        <f>'Long-form'!R217</f>
        <v>20</v>
      </c>
      <c r="O217" s="55">
        <f>'Long-form'!S217</f>
        <v>15</v>
      </c>
      <c r="P217" s="55">
        <f>'Long-form'!T217</f>
        <v>1</v>
      </c>
      <c r="Q217" s="55">
        <f>'Long-form'!AM217</f>
        <v>-18.88</v>
      </c>
      <c r="R217" s="55" t="str">
        <f>'Long-form'!AN217</f>
        <v>YSD</v>
      </c>
      <c r="S217" s="55">
        <f>'Long-form'!AP217</f>
        <v>0.81897802168312184</v>
      </c>
      <c r="T217" s="55">
        <f>'Long-form'!AQ217</f>
        <v>0.81897802168312184</v>
      </c>
      <c r="U217" t="str">
        <f>'Long-form'!BC217</f>
        <v>-1</v>
      </c>
      <c r="V217" t="str">
        <f>'Long-form'!BD217</f>
        <v>5 = Sedimentary (e.g., deltaic, estuarine, wetland, lacustrine, marine facies)</v>
      </c>
      <c r="W217" t="str">
        <f>'Long-form'!BE217</f>
        <v>Estuarine deposit</v>
      </c>
      <c r="X217" t="str">
        <f>'Long-form'!BF217</f>
        <v>Foraminifera and ostracod asssemblage</v>
      </c>
      <c r="Y217" t="str">
        <f>'Long-form'!BH217</f>
        <v>&lt;MTL</v>
      </c>
      <c r="Z217" s="55">
        <f>'Long-form'!BT217</f>
        <v>-18.851478735730058</v>
      </c>
      <c r="AA217" s="55">
        <f>'Long-form'!BU217</f>
        <v>0.82050289457137193</v>
      </c>
      <c r="AB217" s="55">
        <f>'Long-form'!BV217</f>
        <v>0.82050289457137193</v>
      </c>
      <c r="AC217" s="55" t="str">
        <f>'Long-form'!BW217</f>
        <v>nd</v>
      </c>
      <c r="AD217" s="55" t="str">
        <f>'Long-form'!BX217</f>
        <v>nd</v>
      </c>
      <c r="AE217" s="55" t="str">
        <f>'Long-form'!BY217</f>
        <v>nd</v>
      </c>
      <c r="AF217" t="str">
        <f>'Long-form'!BZ217</f>
        <v>nd</v>
      </c>
      <c r="AG217">
        <f>'Long-form'!CB217</f>
        <v>1</v>
      </c>
      <c r="AH217">
        <f>'Long-form'!CD217</f>
        <v>0</v>
      </c>
    </row>
    <row r="218" spans="1:34">
      <c r="A218" t="str">
        <f>'Long-form'!A218</f>
        <v>PRD05013</v>
      </c>
      <c r="B218" t="str">
        <f>'Long-form'!B218</f>
        <v>Liu et al. 2013</v>
      </c>
      <c r="C218" t="str">
        <f>'Long-form'!C218</f>
        <v>9a</v>
      </c>
      <c r="D218" t="str">
        <f>'Long-form'!D218</f>
        <v>W_PRD</v>
      </c>
      <c r="E218" s="55">
        <f>'Long-form'!E218</f>
        <v>22.523333000000001</v>
      </c>
      <c r="F218" s="55">
        <f>'Long-form'!F218</f>
        <v>113.18388899999999</v>
      </c>
      <c r="G218" t="str">
        <f>'Long-form'!G218</f>
        <v>1 = Radiocarbon</v>
      </c>
      <c r="H218" s="56">
        <f>'Long-form'!H218</f>
        <v>6640</v>
      </c>
      <c r="I218" s="56">
        <f>'Long-form'!I218</f>
        <v>270</v>
      </c>
      <c r="J218" s="56">
        <f>'Long-form'!J218</f>
        <v>7507</v>
      </c>
      <c r="K218" s="56">
        <f>'Long-form'!K218</f>
        <v>506</v>
      </c>
      <c r="L218" s="56">
        <f>'Long-form'!L218</f>
        <v>564</v>
      </c>
      <c r="M218" s="56" t="str">
        <f>'Long-form'!Q218</f>
        <v>transgressive</v>
      </c>
      <c r="N218" s="55">
        <f>'Long-form'!R218</f>
        <v>23</v>
      </c>
      <c r="O218" s="55">
        <f>'Long-form'!S218</f>
        <v>12</v>
      </c>
      <c r="P218" s="55">
        <f>'Long-form'!T218</f>
        <v>1</v>
      </c>
      <c r="Q218" s="55">
        <f>'Long-form'!AM218</f>
        <v>-21.88</v>
      </c>
      <c r="R218" s="55" t="str">
        <f>'Long-form'!AN218</f>
        <v>YSD</v>
      </c>
      <c r="S218" s="55">
        <f>'Long-form'!AP218</f>
        <v>0.84989705258931214</v>
      </c>
      <c r="T218" s="55">
        <f>'Long-form'!AQ218</f>
        <v>0.84989705258931214</v>
      </c>
      <c r="U218" t="str">
        <f>'Long-form'!BC218</f>
        <v>-1</v>
      </c>
      <c r="V218" t="str">
        <f>'Long-form'!BD218</f>
        <v>5 = Sedimentary (e.g., deltaic, estuarine, wetland, lacustrine, marine facies)</v>
      </c>
      <c r="W218" t="str">
        <f>'Long-form'!BE218</f>
        <v>Estuarine deposit</v>
      </c>
      <c r="X218" t="str">
        <f>'Long-form'!BF218</f>
        <v>Foraminifera and ostracod asssemblage</v>
      </c>
      <c r="Y218" t="str">
        <f>'Long-form'!BH218</f>
        <v>&lt;MTL</v>
      </c>
      <c r="Z218" s="55">
        <f>'Long-form'!BT218</f>
        <v>-21.851478735730058</v>
      </c>
      <c r="AA218" s="55">
        <f>'Long-form'!BU218</f>
        <v>0.85136654855590843</v>
      </c>
      <c r="AB218" s="55">
        <f>'Long-form'!BV218</f>
        <v>0.85136654855590843</v>
      </c>
      <c r="AC218" s="55" t="str">
        <f>'Long-form'!BW218</f>
        <v>nd</v>
      </c>
      <c r="AD218" s="55" t="str">
        <f>'Long-form'!BX218</f>
        <v>nd</v>
      </c>
      <c r="AE218" s="55" t="str">
        <f>'Long-form'!BY218</f>
        <v>nd</v>
      </c>
      <c r="AF218" t="str">
        <f>'Long-form'!BZ218</f>
        <v>nd</v>
      </c>
      <c r="AG218">
        <f>'Long-form'!CB218</f>
        <v>1</v>
      </c>
      <c r="AH218">
        <f>'Long-form'!CD218</f>
        <v>0</v>
      </c>
    </row>
    <row r="219" spans="1:34">
      <c r="A219" t="str">
        <f>'Long-form'!A219</f>
        <v>PRD05014</v>
      </c>
      <c r="B219" t="str">
        <f>'Long-form'!B219</f>
        <v>Liu et al. 2013</v>
      </c>
      <c r="C219" t="str">
        <f>'Long-form'!C219</f>
        <v>9a</v>
      </c>
      <c r="D219" t="str">
        <f>'Long-form'!D219</f>
        <v>W_PRD</v>
      </c>
      <c r="E219" s="55">
        <f>'Long-form'!E219</f>
        <v>22.523333000000001</v>
      </c>
      <c r="F219" s="55">
        <f>'Long-form'!F219</f>
        <v>113.18388899999999</v>
      </c>
      <c r="G219" t="str">
        <f>'Long-form'!G219</f>
        <v>1 = Radiocarbon</v>
      </c>
      <c r="H219" s="56">
        <f>'Long-form'!H219</f>
        <v>7925</v>
      </c>
      <c r="I219" s="56">
        <f>'Long-form'!I219</f>
        <v>195</v>
      </c>
      <c r="J219" s="56">
        <f>'Long-form'!J219</f>
        <v>8795</v>
      </c>
      <c r="K219" s="56">
        <f>'Long-form'!K219</f>
        <v>602</v>
      </c>
      <c r="L219" s="56">
        <f>'Long-form'!L219</f>
        <v>421</v>
      </c>
      <c r="M219" s="56" t="str">
        <f>'Long-form'!Q219</f>
        <v>transgressive</v>
      </c>
      <c r="N219" s="55">
        <f>'Long-form'!R219</f>
        <v>24.5</v>
      </c>
      <c r="O219" s="55">
        <f>'Long-form'!S219</f>
        <v>10.5</v>
      </c>
      <c r="P219" s="55">
        <f>'Long-form'!T219</f>
        <v>1</v>
      </c>
      <c r="Q219" s="55">
        <f>'Long-form'!AM219</f>
        <v>-23.38</v>
      </c>
      <c r="R219" s="55" t="str">
        <f>'Long-form'!AN219</f>
        <v>YSD</v>
      </c>
      <c r="S219" s="55">
        <f>'Long-form'!AP219</f>
        <v>0.86650158684217071</v>
      </c>
      <c r="T219" s="55">
        <f>'Long-form'!AQ219</f>
        <v>0.86650158684217071</v>
      </c>
      <c r="U219" t="str">
        <f>'Long-form'!BC219</f>
        <v>-1</v>
      </c>
      <c r="V219" t="str">
        <f>'Long-form'!BD219</f>
        <v>5 = Sedimentary (e.g., deltaic, estuarine, wetland, lacustrine, marine facies)</v>
      </c>
      <c r="W219" t="str">
        <f>'Long-form'!BE219</f>
        <v>Estuarine deposit</v>
      </c>
      <c r="X219" t="str">
        <f>'Long-form'!BF219</f>
        <v>Foraminifera and ostracod asssemblage</v>
      </c>
      <c r="Y219" t="str">
        <f>'Long-form'!BH219</f>
        <v>&lt;MTL</v>
      </c>
      <c r="Z219" s="55">
        <f>'Long-form'!BT219</f>
        <v>-23.351478735730058</v>
      </c>
      <c r="AA219" s="55">
        <f>'Long-form'!BU219</f>
        <v>0.86794297047674729</v>
      </c>
      <c r="AB219" s="55">
        <f>'Long-form'!BV219</f>
        <v>0.86794297047674729</v>
      </c>
      <c r="AC219" s="55" t="str">
        <f>'Long-form'!BW219</f>
        <v>nd</v>
      </c>
      <c r="AD219" s="55" t="str">
        <f>'Long-form'!BX219</f>
        <v>nd</v>
      </c>
      <c r="AE219" s="55" t="str">
        <f>'Long-form'!BY219</f>
        <v>nd</v>
      </c>
      <c r="AF219" t="str">
        <f>'Long-form'!BZ219</f>
        <v>nd</v>
      </c>
      <c r="AG219">
        <f>'Long-form'!CB219</f>
        <v>0</v>
      </c>
      <c r="AH219">
        <f>'Long-form'!CD219</f>
        <v>0</v>
      </c>
    </row>
    <row r="220" spans="1:34">
      <c r="A220" t="str">
        <f>'Long-form'!A220</f>
        <v>PRD05015</v>
      </c>
      <c r="B220" t="str">
        <f>'Long-form'!B220</f>
        <v>Liu et al. 2013</v>
      </c>
      <c r="C220" t="str">
        <f>'Long-form'!C220</f>
        <v>9a</v>
      </c>
      <c r="D220" t="str">
        <f>'Long-form'!D220</f>
        <v>W_PRD</v>
      </c>
      <c r="E220" s="55">
        <f>'Long-form'!E220</f>
        <v>22.523333000000001</v>
      </c>
      <c r="F220" s="55">
        <f>'Long-form'!F220</f>
        <v>113.18388899999999</v>
      </c>
      <c r="G220" t="str">
        <f>'Long-form'!G220</f>
        <v>1 = Radiocarbon</v>
      </c>
      <c r="H220" s="56">
        <f>'Long-form'!H220</f>
        <v>13380</v>
      </c>
      <c r="I220" s="56">
        <f>'Long-form'!I220</f>
        <v>220</v>
      </c>
      <c r="J220" s="56">
        <f>'Long-form'!J220</f>
        <v>16110</v>
      </c>
      <c r="K220" s="56">
        <f>'Long-form'!K220</f>
        <v>717</v>
      </c>
      <c r="L220" s="56">
        <f>'Long-form'!L220</f>
        <v>640</v>
      </c>
      <c r="M220" s="56" t="str">
        <f>'Long-form'!Q220</f>
        <v>transgressive</v>
      </c>
      <c r="N220" s="55">
        <f>'Long-form'!R220</f>
        <v>26.5</v>
      </c>
      <c r="O220" s="55">
        <f>'Long-form'!S220</f>
        <v>8.5</v>
      </c>
      <c r="P220" s="55">
        <f>'Long-form'!T220</f>
        <v>1</v>
      </c>
      <c r="Q220" s="55">
        <f>'Long-form'!AM220</f>
        <v>-25.38</v>
      </c>
      <c r="R220" s="55" t="str">
        <f>'Long-form'!AN220</f>
        <v>YSD</v>
      </c>
      <c r="S220" s="55">
        <f>'Long-form'!AP220</f>
        <v>0.88973310604922418</v>
      </c>
      <c r="T220" s="55">
        <f>'Long-form'!AQ220</f>
        <v>0.88973310604922418</v>
      </c>
      <c r="U220" t="str">
        <f>'Long-form'!BC220</f>
        <v>1</v>
      </c>
      <c r="V220" t="str">
        <f>'Long-form'!BD220</f>
        <v>5 = Sedimentary (e.g., deltaic, estuarine, wetland, lacustrine, marine facies)</v>
      </c>
      <c r="W220" t="str">
        <f>'Long-form'!BE220</f>
        <v>Brackish to freshwater swamp deposit, stratigraphic relationship</v>
      </c>
      <c r="X220" t="str">
        <f>'Long-form'!BF220</f>
        <v>Abundant plant materia with no microfossilsl</v>
      </c>
      <c r="Y220" t="str">
        <f>'Long-form'!BH220</f>
        <v>&gt;MTL</v>
      </c>
      <c r="Z220" s="55">
        <f>'Long-form'!BT220</f>
        <v>-25.351478735730058</v>
      </c>
      <c r="AA220" s="55">
        <f>'Long-form'!BU220</f>
        <v>0.89113691428421926</v>
      </c>
      <c r="AB220" s="55">
        <f>'Long-form'!BV220</f>
        <v>0.89113691428421926</v>
      </c>
      <c r="AC220" s="55" t="str">
        <f>'Long-form'!BW220</f>
        <v>nd</v>
      </c>
      <c r="AD220" s="55" t="str">
        <f>'Long-form'!BX220</f>
        <v>nd</v>
      </c>
      <c r="AE220" s="55" t="str">
        <f>'Long-form'!BY220</f>
        <v>nd</v>
      </c>
      <c r="AF220" t="str">
        <f>'Long-form'!BZ220</f>
        <v>nd</v>
      </c>
      <c r="AG220">
        <f>'Long-form'!CB220</f>
        <v>0</v>
      </c>
      <c r="AH220">
        <f>'Long-form'!CD220</f>
        <v>0</v>
      </c>
    </row>
    <row r="221" spans="1:34">
      <c r="A221" t="str">
        <f>'Long-form'!A221</f>
        <v>Zhan9603-1</v>
      </c>
      <c r="B221" t="str">
        <f>'Long-form'!B221</f>
        <v>Zhan et al. 1996</v>
      </c>
      <c r="C221" t="str">
        <f>'Long-form'!C221</f>
        <v>9a</v>
      </c>
      <c r="D221" t="str">
        <f>'Long-form'!D221</f>
        <v>W_PRD</v>
      </c>
      <c r="E221" s="55">
        <f>'Long-form'!E221</f>
        <v>22.096959999999999</v>
      </c>
      <c r="F221" s="55">
        <f>'Long-form'!F221</f>
        <v>113.532219</v>
      </c>
      <c r="G221" t="str">
        <f>'Long-form'!G221</f>
        <v>1 = Radiocarbon</v>
      </c>
      <c r="H221" s="56">
        <f>'Long-form'!H221</f>
        <v>2490.6818647162495</v>
      </c>
      <c r="I221" s="56">
        <f>'Long-form'!I221</f>
        <v>102.09332595228739</v>
      </c>
      <c r="J221" s="56">
        <f>'Long-form'!J221</f>
        <v>1989</v>
      </c>
      <c r="K221" s="56">
        <f>'Long-form'!K221</f>
        <v>337</v>
      </c>
      <c r="L221" s="56">
        <f>'Long-form'!L221</f>
        <v>320</v>
      </c>
      <c r="M221" s="56" t="str">
        <f>'Long-form'!Q221</f>
        <v>regressive</v>
      </c>
      <c r="N221" s="55" t="str">
        <f>'Long-form'!R221</f>
        <v>nd</v>
      </c>
      <c r="O221" s="55" t="str">
        <f>'Long-form'!S221</f>
        <v>nd</v>
      </c>
      <c r="P221" s="55">
        <f>'Long-form'!T221</f>
        <v>1</v>
      </c>
      <c r="Q221" s="55">
        <f>'Long-form'!AM221</f>
        <v>1.74</v>
      </c>
      <c r="R221" s="55" t="str">
        <f>'Long-form'!AN221</f>
        <v>YSD</v>
      </c>
      <c r="S221" s="55">
        <f>'Long-form'!AP221</f>
        <v>0.51002450921499842</v>
      </c>
      <c r="T221" s="55">
        <f>'Long-form'!AQ221</f>
        <v>0.51002450921499842</v>
      </c>
      <c r="U221" t="str">
        <f>'Long-form'!BC221</f>
        <v xml:space="preserve">1 </v>
      </c>
      <c r="V221" t="str">
        <f>'Long-form'!BD221</f>
        <v>6 = Sedimentary (e.g., deltaic, estuarine, wetland, lacustrine, marine facies)</v>
      </c>
      <c r="W221" t="str">
        <f>'Long-form'!BE221</f>
        <v>Beach ridge</v>
      </c>
      <c r="X221" t="str">
        <f>'Long-form'!BF221</f>
        <v>Author interpretation only</v>
      </c>
      <c r="Y221" t="str">
        <f>'Long-form'!BH221</f>
        <v>&gt;MLLW</v>
      </c>
      <c r="Z221" s="55">
        <f>'Long-form'!BT221</f>
        <v>2.7554501975971197</v>
      </c>
      <c r="AA221" s="55">
        <f>'Long-form'!BU221</f>
        <v>0.64817050226001494</v>
      </c>
      <c r="AB221" s="55">
        <f>'Long-form'!BV221</f>
        <v>0.64817050226001494</v>
      </c>
      <c r="AC221" s="55" t="str">
        <f>'Long-form'!BW221</f>
        <v>nd</v>
      </c>
      <c r="AD221" s="55" t="str">
        <f>'Long-form'!BX221</f>
        <v>nd</v>
      </c>
      <c r="AE221" s="55" t="str">
        <f>'Long-form'!BY221</f>
        <v>nd</v>
      </c>
      <c r="AF221" t="str">
        <f>'Long-form'!BZ221</f>
        <v>nd</v>
      </c>
      <c r="AG221">
        <f>'Long-form'!CB221</f>
        <v>0</v>
      </c>
      <c r="AH221">
        <f>'Long-form'!CD221</f>
        <v>0</v>
      </c>
    </row>
    <row r="222" spans="1:34">
      <c r="A222" t="str">
        <f>'Long-form'!A222</f>
        <v>KWG-42</v>
      </c>
      <c r="B222" t="str">
        <f>'Long-form'!B222</f>
        <v>Huang et al. 1982</v>
      </c>
      <c r="C222" t="str">
        <f>'Long-form'!C222</f>
        <v>9a</v>
      </c>
      <c r="D222" t="str">
        <f>'Long-form'!D222</f>
        <v>W_PRD</v>
      </c>
      <c r="E222" s="55">
        <f>'Long-form'!E222</f>
        <v>22.3</v>
      </c>
      <c r="F222" s="55">
        <f>'Long-form'!F222</f>
        <v>113.23333333333333</v>
      </c>
      <c r="G222" t="str">
        <f>'Long-form'!G222</f>
        <v>1 = Radiocarbon</v>
      </c>
      <c r="H222" s="56">
        <f>'Long-form'!H222</f>
        <v>6378.8105623511892</v>
      </c>
      <c r="I222" s="56">
        <f>'Long-form'!I222</f>
        <v>206.06923373106474</v>
      </c>
      <c r="J222" s="56">
        <f>'Long-form'!J222</f>
        <v>7260</v>
      </c>
      <c r="K222" s="56">
        <f>'Long-form'!K222</f>
        <v>395</v>
      </c>
      <c r="L222" s="56">
        <f>'Long-form'!L222</f>
        <v>469</v>
      </c>
      <c r="M222" s="56" t="str">
        <f>'Long-form'!Q222</f>
        <v>transgressive</v>
      </c>
      <c r="N222" s="55">
        <f>'Long-form'!R222</f>
        <v>16</v>
      </c>
      <c r="O222" s="55">
        <f>'Long-form'!S222</f>
        <v>4</v>
      </c>
      <c r="P222" s="55">
        <f>'Long-form'!T222</f>
        <v>1</v>
      </c>
      <c r="Q222" s="55">
        <f>'Long-form'!AM222</f>
        <v>-14.9</v>
      </c>
      <c r="R222" s="55" t="str">
        <f>'Long-form'!AN222</f>
        <v>YSD</v>
      </c>
      <c r="S222" s="55">
        <f>'Long-form'!AP222</f>
        <v>0.62249497989943658</v>
      </c>
      <c r="T222" s="55">
        <f>'Long-form'!AQ222</f>
        <v>0.62249497989943658</v>
      </c>
      <c r="U222" t="str">
        <f>'Long-form'!BC222</f>
        <v>-1</v>
      </c>
      <c r="V222" t="str">
        <f>'Long-form'!BD222</f>
        <v>5 = Sedimentary (e.g., deltaic, estuarine, wetland, lacustrine, marine facies)</v>
      </c>
      <c r="W222" t="str">
        <f>'Long-form'!BE222</f>
        <v>Subtidal deposit</v>
      </c>
      <c r="X222" t="str">
        <f>'Long-form'!BF222</f>
        <v>sediment texture</v>
      </c>
      <c r="Y222" t="str">
        <f>'Long-form'!BH222</f>
        <v>&lt;MTL</v>
      </c>
      <c r="Z222" s="55">
        <f>'Long-form'!BT222</f>
        <v>-14.871077444000001</v>
      </c>
      <c r="AA222" s="55">
        <f>'Long-form'!BU222</f>
        <v>0.62449979983983983</v>
      </c>
      <c r="AB222" s="55">
        <f>'Long-form'!BV222</f>
        <v>0.62449979983983983</v>
      </c>
      <c r="AC222" s="55" t="str">
        <f>'Long-form'!BW222</f>
        <v>nd</v>
      </c>
      <c r="AD222" s="55" t="str">
        <f>'Long-form'!BX222</f>
        <v>nd</v>
      </c>
      <c r="AE222" s="55" t="str">
        <f>'Long-form'!BY222</f>
        <v>nd</v>
      </c>
      <c r="AF222" t="str">
        <f>'Long-form'!BZ222</f>
        <v>nd</v>
      </c>
      <c r="AG222">
        <f>'Long-form'!CB222</f>
        <v>0</v>
      </c>
      <c r="AH222">
        <f>'Long-form'!CD222</f>
        <v>0</v>
      </c>
    </row>
    <row r="223" spans="1:34">
      <c r="A223" t="str">
        <f>'Long-form'!A223</f>
        <v>Beta-291321</v>
      </c>
      <c r="B223" t="str">
        <f>'Long-form'!B223</f>
        <v>Zong et al 2013</v>
      </c>
      <c r="C223" t="str">
        <f>'Long-form'!C223</f>
        <v>9a</v>
      </c>
      <c r="D223" t="str">
        <f>'Long-form'!D223</f>
        <v>N_PRD</v>
      </c>
      <c r="E223" s="55">
        <f>'Long-form'!E223</f>
        <v>23.087499999999999</v>
      </c>
      <c r="F223" s="55">
        <f>'Long-form'!F223</f>
        <v>112.9342</v>
      </c>
      <c r="G223" t="str">
        <f>'Long-form'!G223</f>
        <v>1 = Radiocarbon</v>
      </c>
      <c r="H223" s="56">
        <f>'Long-form'!H223</f>
        <v>2250</v>
      </c>
      <c r="I223" s="56">
        <f>'Long-form'!I223</f>
        <v>40</v>
      </c>
      <c r="J223" s="56">
        <f>'Long-form'!J223</f>
        <v>2230</v>
      </c>
      <c r="K223" s="56">
        <f>'Long-form'!K223</f>
        <v>114</v>
      </c>
      <c r="L223" s="56">
        <f>'Long-form'!L223</f>
        <v>81</v>
      </c>
      <c r="M223" s="56" t="str">
        <f>'Long-form'!Q223</f>
        <v>transgressive</v>
      </c>
      <c r="N223" s="55">
        <f>'Long-form'!R223</f>
        <v>3.99</v>
      </c>
      <c r="O223" s="55" t="str">
        <f>'Long-form'!S223</f>
        <v>nd</v>
      </c>
      <c r="P223" s="55">
        <f>'Long-form'!T223</f>
        <v>1</v>
      </c>
      <c r="Q223" s="55">
        <f>'Long-form'!AM223</f>
        <v>0.41000000000000014</v>
      </c>
      <c r="R223" s="55" t="str">
        <f>'Long-form'!AN223</f>
        <v>YSD</v>
      </c>
      <c r="S223" s="55">
        <f>'Long-form'!AP223</f>
        <v>0.5381384951850221</v>
      </c>
      <c r="T223" s="55">
        <f>'Long-form'!AQ223</f>
        <v>0.5381384951850221</v>
      </c>
      <c r="U223" t="str">
        <f>'Long-form'!BC223</f>
        <v xml:space="preserve">-1 </v>
      </c>
      <c r="V223" t="str">
        <f>'Long-form'!BD223</f>
        <v>5 = Sedimentary (e.g., deltaic, estuarine, wetland, lacustrine, marine facies)</v>
      </c>
      <c r="W223" t="str">
        <f>'Long-form'!BE223</f>
        <v>Tidally influenced swamp deposit</v>
      </c>
      <c r="X223" t="str">
        <f>'Long-form'!BF223</f>
        <v>Freshwater with a small amount of brackish water diatoms</v>
      </c>
      <c r="Y223" t="str">
        <f>'Long-form'!BH223</f>
        <v>&lt;HAT</v>
      </c>
      <c r="Z223" s="55">
        <f>'Long-form'!BT223</f>
        <v>-1.2778568599999998</v>
      </c>
      <c r="AA223" s="55">
        <f>'Long-form'!BU223</f>
        <v>0.567444305637126</v>
      </c>
      <c r="AB223" s="55">
        <f>'Long-form'!BV223</f>
        <v>0.567444305637126</v>
      </c>
      <c r="AC223" s="55" t="str">
        <f>'Long-form'!BW223</f>
        <v>nd</v>
      </c>
      <c r="AD223" s="55" t="str">
        <f>'Long-form'!BX223</f>
        <v>nd</v>
      </c>
      <c r="AE223" s="55" t="str">
        <f>'Long-form'!BY223</f>
        <v>nd</v>
      </c>
      <c r="AF223" t="str">
        <f>'Long-form'!BZ223</f>
        <v>nd</v>
      </c>
      <c r="AG223">
        <f>'Long-form'!CB223</f>
        <v>0</v>
      </c>
      <c r="AH223">
        <f>'Long-form'!CD223</f>
        <v>0</v>
      </c>
    </row>
    <row r="224" spans="1:34">
      <c r="A224" t="str">
        <f>'Long-form'!A224</f>
        <v>Beta-291322</v>
      </c>
      <c r="B224" t="str">
        <f>'Long-form'!B224</f>
        <v>Zong et al 2013</v>
      </c>
      <c r="C224" t="str">
        <f>'Long-form'!C224</f>
        <v>9a</v>
      </c>
      <c r="D224" t="str">
        <f>'Long-form'!D224</f>
        <v>N_PRD</v>
      </c>
      <c r="E224" s="55">
        <f>'Long-form'!E224</f>
        <v>23.087499999999999</v>
      </c>
      <c r="F224" s="55">
        <f>'Long-form'!F224</f>
        <v>112.9342</v>
      </c>
      <c r="G224" t="str">
        <f>'Long-form'!G224</f>
        <v>1 = Radiocarbon</v>
      </c>
      <c r="H224" s="56">
        <f>'Long-form'!H224</f>
        <v>2160</v>
      </c>
      <c r="I224" s="56">
        <f>'Long-form'!I224</f>
        <v>40</v>
      </c>
      <c r="J224" s="56">
        <f>'Long-form'!J224</f>
        <v>2150</v>
      </c>
      <c r="K224" s="56">
        <f>'Long-form'!K224</f>
        <v>158</v>
      </c>
      <c r="L224" s="56">
        <f>'Long-form'!L224</f>
        <v>147</v>
      </c>
      <c r="M224" s="56" t="str">
        <f>'Long-form'!Q224</f>
        <v>transgressive</v>
      </c>
      <c r="N224" s="55">
        <f>'Long-form'!R224</f>
        <v>4.6100000000000003</v>
      </c>
      <c r="O224" s="55" t="str">
        <f>'Long-form'!S224</f>
        <v>nd</v>
      </c>
      <c r="P224" s="55">
        <f>'Long-form'!T224</f>
        <v>1</v>
      </c>
      <c r="Q224" s="55">
        <f>'Long-form'!AM224</f>
        <v>-0.20999999999999996</v>
      </c>
      <c r="R224" s="55" t="str">
        <f>'Long-form'!AN224</f>
        <v>YSD</v>
      </c>
      <c r="S224" s="55">
        <f>'Long-form'!AP224</f>
        <v>0.54011650595033667</v>
      </c>
      <c r="T224" s="55">
        <f>'Long-form'!AQ224</f>
        <v>0.54011650595033667</v>
      </c>
      <c r="U224" t="str">
        <f>'Long-form'!BC224</f>
        <v xml:space="preserve">-1 </v>
      </c>
      <c r="V224" t="str">
        <f>'Long-form'!BD224</f>
        <v>5 = Sedimentary (e.g., deltaic, estuarine, wetland, lacustrine, marine facies)</v>
      </c>
      <c r="W224" t="str">
        <f>'Long-form'!BE224</f>
        <v>Tidally influenced swamp deposit</v>
      </c>
      <c r="X224" t="str">
        <f>'Long-form'!BF224</f>
        <v>Freshwater with a small amount of brackish water diatoms</v>
      </c>
      <c r="Y224" t="str">
        <f>'Long-form'!BH224</f>
        <v>&lt;HAT</v>
      </c>
      <c r="Z224" s="55">
        <f>'Long-form'!BT224</f>
        <v>-1.8978568599999999</v>
      </c>
      <c r="AA224" s="55">
        <f>'Long-form'!BU224</f>
        <v>0.5693205072716071</v>
      </c>
      <c r="AB224" s="55">
        <f>'Long-form'!BV224</f>
        <v>0.5693205072716071</v>
      </c>
      <c r="AC224" s="55" t="str">
        <f>'Long-form'!BW224</f>
        <v>nd</v>
      </c>
      <c r="AD224" s="55" t="str">
        <f>'Long-form'!BX224</f>
        <v>nd</v>
      </c>
      <c r="AE224" s="55" t="str">
        <f>'Long-form'!BY224</f>
        <v>nd</v>
      </c>
      <c r="AF224" t="str">
        <f>'Long-form'!BZ224</f>
        <v>nd</v>
      </c>
      <c r="AG224">
        <f>'Long-form'!CB224</f>
        <v>0</v>
      </c>
      <c r="AH224">
        <f>'Long-form'!CD224</f>
        <v>0</v>
      </c>
    </row>
    <row r="225" spans="1:34">
      <c r="A225" t="str">
        <f>'Long-form'!A225</f>
        <v>Beta-291323</v>
      </c>
      <c r="B225" t="str">
        <f>'Long-form'!B225</f>
        <v>Zong et al 2013</v>
      </c>
      <c r="C225" t="str">
        <f>'Long-form'!C225</f>
        <v>9a</v>
      </c>
      <c r="D225" t="str">
        <f>'Long-form'!D225</f>
        <v>N_PRD</v>
      </c>
      <c r="E225" s="55">
        <f>'Long-form'!E225</f>
        <v>23.087499999999999</v>
      </c>
      <c r="F225" s="55">
        <f>'Long-form'!F225</f>
        <v>112.9342</v>
      </c>
      <c r="G225" t="str">
        <f>'Long-form'!G225</f>
        <v>1 = Radiocarbon</v>
      </c>
      <c r="H225" s="56">
        <f>'Long-form'!H225</f>
        <v>2560</v>
      </c>
      <c r="I225" s="56">
        <f>'Long-form'!I225</f>
        <v>30</v>
      </c>
      <c r="J225" s="56">
        <f>'Long-form'!J225</f>
        <v>2715</v>
      </c>
      <c r="K225" s="56">
        <f>'Long-form'!K225</f>
        <v>38</v>
      </c>
      <c r="L225" s="56">
        <f>'Long-form'!L225</f>
        <v>200</v>
      </c>
      <c r="M225" s="56" t="str">
        <f>'Long-form'!Q225</f>
        <v>transgressive</v>
      </c>
      <c r="N225" s="55">
        <f>'Long-form'!R225</f>
        <v>6.92</v>
      </c>
      <c r="O225" s="55" t="str">
        <f>'Long-form'!S225</f>
        <v>nd</v>
      </c>
      <c r="P225" s="55">
        <f>'Long-form'!T225</f>
        <v>1</v>
      </c>
      <c r="Q225" s="55">
        <f>'Long-form'!AM225</f>
        <v>-2.5199999999999996</v>
      </c>
      <c r="R225" s="55" t="str">
        <f>'Long-form'!AN225</f>
        <v>YSD</v>
      </c>
      <c r="S225" s="55">
        <f>'Long-form'!AP225</f>
        <v>0.54989049819032154</v>
      </c>
      <c r="T225" s="55">
        <f>'Long-form'!AQ225</f>
        <v>0.54989049819032154</v>
      </c>
      <c r="U225" t="str">
        <f>'Long-form'!BC225</f>
        <v xml:space="preserve">-1 </v>
      </c>
      <c r="V225" t="str">
        <f>'Long-form'!BD225</f>
        <v>5 = Sedimentary (e.g., deltaic, estuarine, wetland, lacustrine, marine facies)</v>
      </c>
      <c r="W225" t="str">
        <f>'Long-form'!BE225</f>
        <v>Tidally influenced swamp deposit</v>
      </c>
      <c r="X225" t="str">
        <f>'Long-form'!BF225</f>
        <v>Freshwater with a small amount of brackish water diatoms</v>
      </c>
      <c r="Y225" t="str">
        <f>'Long-form'!BH225</f>
        <v>&lt;HAT</v>
      </c>
      <c r="Z225" s="55">
        <f>'Long-form'!BT225</f>
        <v>-4.2078568599999997</v>
      </c>
      <c r="AA225" s="55">
        <f>'Long-form'!BU225</f>
        <v>0.57860138264611849</v>
      </c>
      <c r="AB225" s="55">
        <f>'Long-form'!BV225</f>
        <v>0.57860138264611849</v>
      </c>
      <c r="AC225" s="55" t="str">
        <f>'Long-form'!BW225</f>
        <v>nd</v>
      </c>
      <c r="AD225" s="55" t="str">
        <f>'Long-form'!BX225</f>
        <v>nd</v>
      </c>
      <c r="AE225" s="55" t="str">
        <f>'Long-form'!BY225</f>
        <v>nd</v>
      </c>
      <c r="AF225" t="str">
        <f>'Long-form'!BZ225</f>
        <v>nd</v>
      </c>
      <c r="AG225">
        <f>'Long-form'!CB225</f>
        <v>0</v>
      </c>
      <c r="AH225">
        <f>'Long-form'!CD225</f>
        <v>0</v>
      </c>
    </row>
    <row r="226" spans="1:34">
      <c r="A226" t="str">
        <f>'Long-form'!A226</f>
        <v>GC-482</v>
      </c>
      <c r="B226" t="str">
        <f>'Long-form'!B226</f>
        <v>Huang et al. 1982; Zong 2004</v>
      </c>
      <c r="C226" t="str">
        <f>'Long-form'!C226</f>
        <v>9a</v>
      </c>
      <c r="D226" t="str">
        <f>'Long-form'!D226</f>
        <v>W_PRD</v>
      </c>
      <c r="E226" s="55">
        <f>'Long-form'!E226</f>
        <v>22.7</v>
      </c>
      <c r="F226" s="55">
        <f>'Long-form'!F226</f>
        <v>113.2</v>
      </c>
      <c r="G226" t="str">
        <f>'Long-form'!G226</f>
        <v>1 = Radiocarbon</v>
      </c>
      <c r="H226" s="56">
        <f>'Long-form'!H226</f>
        <v>3090.6818647162481</v>
      </c>
      <c r="I226" s="56">
        <f>'Long-form'!I226</f>
        <v>157.55331543322089</v>
      </c>
      <c r="J226" s="56">
        <f>'Long-form'!J226</f>
        <v>2728</v>
      </c>
      <c r="K226" s="56">
        <f>'Long-form'!K226</f>
        <v>458</v>
      </c>
      <c r="L226" s="56">
        <f>'Long-form'!L226</f>
        <v>434</v>
      </c>
      <c r="M226" s="56" t="str">
        <f>'Long-form'!Q226</f>
        <v>regressive</v>
      </c>
      <c r="N226" s="55">
        <f>'Long-form'!R226</f>
        <v>3.2</v>
      </c>
      <c r="O226" s="55">
        <f>'Long-form'!S226</f>
        <v>15</v>
      </c>
      <c r="P226" s="55">
        <f>'Long-form'!T226</f>
        <v>1</v>
      </c>
      <c r="Q226" s="55">
        <f>'Long-form'!AM226</f>
        <v>-2</v>
      </c>
      <c r="R226" s="55" t="str">
        <f>'Long-form'!AN226</f>
        <v>YSD</v>
      </c>
      <c r="S226" s="55">
        <f>'Long-form'!AP226</f>
        <v>0.53776946733707376</v>
      </c>
      <c r="T226" s="55">
        <f>'Long-form'!AQ226</f>
        <v>0.53776946733707376</v>
      </c>
      <c r="U226" t="str">
        <f>'Long-form'!BC226</f>
        <v>-1</v>
      </c>
      <c r="V226" t="str">
        <f>'Long-form'!BD226</f>
        <v>5 = Sedimentary (e.g., deltaic, estuarine, wetland, lacustrine, marine facies)</v>
      </c>
      <c r="W226" t="str">
        <f>'Long-form'!BE226</f>
        <v>Subtidal deposit</v>
      </c>
      <c r="X226" t="str">
        <f>'Long-form'!BF226</f>
        <v>sediment texture, mollusc fossil</v>
      </c>
      <c r="Y226" t="str">
        <f>'Long-form'!BH226</f>
        <v>&lt;MTL</v>
      </c>
      <c r="Z226" s="55">
        <f>'Long-form'!BT226</f>
        <v>-1.998673972</v>
      </c>
      <c r="AA226" s="55">
        <f>'Long-form'!BU226</f>
        <v>0.54008888157413504</v>
      </c>
      <c r="AB226" s="55">
        <f>'Long-form'!BV226</f>
        <v>0.54008888157413504</v>
      </c>
      <c r="AC226" s="55" t="str">
        <f>'Long-form'!BW226</f>
        <v>nd</v>
      </c>
      <c r="AD226" s="55" t="str">
        <f>'Long-form'!BX226</f>
        <v>nd</v>
      </c>
      <c r="AE226" s="55" t="str">
        <f>'Long-form'!BY226</f>
        <v>nd</v>
      </c>
      <c r="AF226" t="str">
        <f>'Long-form'!BZ226</f>
        <v>nd</v>
      </c>
      <c r="AG226">
        <f>'Long-form'!CB226</f>
        <v>0</v>
      </c>
      <c r="AH226">
        <f>'Long-form'!CD226</f>
        <v>0</v>
      </c>
    </row>
    <row r="227" spans="1:34">
      <c r="A227" t="str">
        <f>'Long-form'!A227</f>
        <v>KWG-52</v>
      </c>
      <c r="B227" t="str">
        <f>'Long-form'!B227</f>
        <v>Huang et al. 1986</v>
      </c>
      <c r="C227" t="str">
        <f>'Long-form'!C227</f>
        <v>9a</v>
      </c>
      <c r="D227" t="str">
        <f>'Long-form'!D227</f>
        <v>W_PRD</v>
      </c>
      <c r="E227" s="55">
        <f>'Long-form'!E227</f>
        <v>22.373190000000001</v>
      </c>
      <c r="F227" s="55">
        <f>'Long-form'!F227</f>
        <v>113.19887</v>
      </c>
      <c r="G227" t="str">
        <f>'Long-form'!G227</f>
        <v>1 = Radiocarbon</v>
      </c>
      <c r="H227" s="56">
        <f>'Long-form'!H227</f>
        <v>12010.681864716249</v>
      </c>
      <c r="I227" s="56">
        <f>'Long-form'!I227</f>
        <v>395.88261796143564</v>
      </c>
      <c r="J227" s="56">
        <f>'Long-form'!J227</f>
        <v>13411</v>
      </c>
      <c r="K227" s="56">
        <f>'Long-form'!K227</f>
        <v>1133</v>
      </c>
      <c r="L227" s="56">
        <f>'Long-form'!L227</f>
        <v>870</v>
      </c>
      <c r="M227" s="56" t="str">
        <f>'Long-form'!Q227</f>
        <v>regressive</v>
      </c>
      <c r="N227" s="55">
        <f>'Long-form'!R227</f>
        <v>23.2</v>
      </c>
      <c r="O227" s="55" t="str">
        <f>'Long-form'!S227</f>
        <v>nd</v>
      </c>
      <c r="P227" s="55">
        <f>'Long-form'!T227</f>
        <v>1</v>
      </c>
      <c r="Q227" s="55">
        <f>'Long-form'!AM227</f>
        <v>-12.8</v>
      </c>
      <c r="R227" s="55" t="str">
        <f>'Long-form'!AN227</f>
        <v>YSD</v>
      </c>
      <c r="S227" s="55">
        <f>'Long-form'!AP227</f>
        <v>0.70738674005101332</v>
      </c>
      <c r="T227" s="55">
        <f>'Long-form'!AQ227</f>
        <v>0.70738674005101332</v>
      </c>
      <c r="U227" t="str">
        <f>'Long-form'!BC227</f>
        <v>-1</v>
      </c>
      <c r="V227" t="str">
        <f>'Long-form'!BD227</f>
        <v>5 = Sedimentary (e.g., deltaic, estuarine, wetland, lacustrine, marine facies)</v>
      </c>
      <c r="W227" t="str">
        <f>'Long-form'!BE227</f>
        <v>Subtidal deposit</v>
      </c>
      <c r="X227" t="str">
        <f>'Long-form'!BF227</f>
        <v>Oyster shell muddy sediment (author interpretation only)</v>
      </c>
      <c r="Y227" t="str">
        <f>'Long-form'!BH227</f>
        <v>&lt;MTL</v>
      </c>
      <c r="Z227" s="55">
        <f>'Long-form'!BT227</f>
        <v>-12.771263921000001</v>
      </c>
      <c r="AA227" s="55">
        <f>'Long-form'!BU227</f>
        <v>0.70915160579385261</v>
      </c>
      <c r="AB227" s="55">
        <f>'Long-form'!BV227</f>
        <v>0.70915160579385261</v>
      </c>
      <c r="AC227" s="55" t="str">
        <f>'Long-form'!BW227</f>
        <v>nd</v>
      </c>
      <c r="AD227" s="55" t="str">
        <f>'Long-form'!BX227</f>
        <v>nd</v>
      </c>
      <c r="AE227" s="55" t="str">
        <f>'Long-form'!BY227</f>
        <v>nd</v>
      </c>
      <c r="AF227" t="str">
        <f>'Long-form'!BZ227</f>
        <v>nd</v>
      </c>
      <c r="AG227">
        <f>'Long-form'!CB227</f>
        <v>1</v>
      </c>
      <c r="AH227">
        <f>'Long-form'!CD227</f>
        <v>0</v>
      </c>
    </row>
    <row r="228" spans="1:34">
      <c r="A228" t="str">
        <f>'Long-form'!A228</f>
        <v>KWG-901</v>
      </c>
      <c r="B228" t="str">
        <f>'Long-form'!B228</f>
        <v>Li et al 1991</v>
      </c>
      <c r="C228" t="str">
        <f>'Long-form'!C228</f>
        <v>9a</v>
      </c>
      <c r="D228" t="str">
        <f>'Long-form'!D228</f>
        <v>W_PRD</v>
      </c>
      <c r="E228" s="55">
        <f>'Long-form'!E228</f>
        <v>22.788587</v>
      </c>
      <c r="F228" s="55">
        <f>'Long-form'!F228</f>
        <v>113.14984800000001</v>
      </c>
      <c r="G228" t="str">
        <f>'Long-form'!G228</f>
        <v>1 = Radiocarbon</v>
      </c>
      <c r="H228" s="56">
        <f>'Long-form'!H228</f>
        <v>8770.681864716249</v>
      </c>
      <c r="I228" s="56">
        <f>'Long-form'!I228</f>
        <v>148.06433467921977</v>
      </c>
      <c r="J228" s="56">
        <f>'Long-form'!J228</f>
        <v>9258</v>
      </c>
      <c r="K228" s="56">
        <f>'Long-form'!K228</f>
        <v>416</v>
      </c>
      <c r="L228" s="56">
        <f>'Long-form'!L228</f>
        <v>465</v>
      </c>
      <c r="M228" s="56" t="str">
        <f>'Long-form'!Q228</f>
        <v>regressive</v>
      </c>
      <c r="N228" s="55">
        <f>'Long-form'!R228</f>
        <v>17</v>
      </c>
      <c r="O228" s="55">
        <f>'Long-form'!S228</f>
        <v>1.2</v>
      </c>
      <c r="P228" s="55">
        <f>'Long-form'!T228</f>
        <v>0</v>
      </c>
      <c r="Q228" s="55">
        <f>'Long-form'!AM228</f>
        <v>-16.3</v>
      </c>
      <c r="R228" s="55" t="str">
        <f>'Long-form'!AN228</f>
        <v>YSD</v>
      </c>
      <c r="S228" s="55">
        <f>'Long-form'!AP228</f>
        <v>0.63300868872393845</v>
      </c>
      <c r="T228" s="55">
        <f>'Long-form'!AQ228</f>
        <v>0.63300868872393845</v>
      </c>
      <c r="U228" t="str">
        <f>'Long-form'!BC228</f>
        <v xml:space="preserve">1 </v>
      </c>
      <c r="V228" t="str">
        <f>'Long-form'!BD228</f>
        <v>5 = Sedimentary (e.g., deltaic, estuarine, wetland, lacustrine, marine facies)</v>
      </c>
      <c r="W228" t="str">
        <f>'Long-form'!BE228</f>
        <v>Fluvial deposit</v>
      </c>
      <c r="X228" t="str">
        <f>'Long-form'!BF228</f>
        <v>Fresh water shell and sand</v>
      </c>
      <c r="Y228" t="str">
        <f>'Long-form'!BH228</f>
        <v>&gt;MTL</v>
      </c>
      <c r="Z228" s="55">
        <f>'Long-form'!BT228</f>
        <v>-16.298373028</v>
      </c>
      <c r="AA228" s="55">
        <f>'Long-form'!BU228</f>
        <v>0.63498031465550175</v>
      </c>
      <c r="AB228" s="55">
        <f>'Long-form'!BV228</f>
        <v>0.63498031465550175</v>
      </c>
      <c r="AC228" s="55" t="str">
        <f>'Long-form'!BW228</f>
        <v>nd</v>
      </c>
      <c r="AD228" s="55" t="str">
        <f>'Long-form'!BX228</f>
        <v>nd</v>
      </c>
      <c r="AE228" s="55" t="str">
        <f>'Long-form'!BY228</f>
        <v>nd</v>
      </c>
      <c r="AF228" t="str">
        <f>'Long-form'!BZ228</f>
        <v>nd</v>
      </c>
      <c r="AG228">
        <f>'Long-form'!CB228</f>
        <v>0</v>
      </c>
      <c r="AH228">
        <f>'Long-form'!CD228</f>
        <v>0</v>
      </c>
    </row>
    <row r="229" spans="1:34">
      <c r="A229" t="str">
        <f>'Long-form'!A229</f>
        <v>KWG-87</v>
      </c>
      <c r="B229" t="str">
        <f>'Long-form'!B229</f>
        <v>Huang et al. 1982; Li et al. 1982</v>
      </c>
      <c r="C229" t="str">
        <f>'Long-form'!C229</f>
        <v>9a</v>
      </c>
      <c r="D229" t="str">
        <f>'Long-form'!D229</f>
        <v>W_PRD</v>
      </c>
      <c r="E229" s="55">
        <f>'Long-form'!E229</f>
        <v>22.648444000000001</v>
      </c>
      <c r="F229" s="55">
        <f>'Long-form'!F229</f>
        <v>113.142225</v>
      </c>
      <c r="G229" t="str">
        <f>'Long-form'!G229</f>
        <v>1 = Radiocarbon</v>
      </c>
      <c r="H229" s="56">
        <f>'Long-form'!H229</f>
        <v>5180.681864716249</v>
      </c>
      <c r="I229" s="56">
        <f>'Long-form'!I229</f>
        <v>148.06433467921977</v>
      </c>
      <c r="J229" s="56">
        <f>'Long-form'!J229</f>
        <v>5344</v>
      </c>
      <c r="K229" s="56">
        <f>'Long-form'!K229</f>
        <v>379</v>
      </c>
      <c r="L229" s="56">
        <f>'Long-form'!L229</f>
        <v>445</v>
      </c>
      <c r="M229" s="56" t="str">
        <f>'Long-form'!Q229</f>
        <v>na</v>
      </c>
      <c r="N229" s="55" t="str">
        <f>'Long-form'!R229</f>
        <v>na</v>
      </c>
      <c r="O229" s="55" t="str">
        <f>'Long-form'!S229</f>
        <v>na</v>
      </c>
      <c r="P229" s="55">
        <f>'Long-form'!T229</f>
        <v>1</v>
      </c>
      <c r="Q229" s="55">
        <f>'Long-form'!AM229</f>
        <v>-1.4</v>
      </c>
      <c r="R229" s="55" t="str">
        <f>'Long-form'!AN229</f>
        <v>YSD</v>
      </c>
      <c r="S229" s="55">
        <f>'Long-form'!AP229</f>
        <v>0.57017541160593732</v>
      </c>
      <c r="T229" s="55">
        <f>'Long-form'!AQ229</f>
        <v>0.57017541160593732</v>
      </c>
      <c r="U229" t="str">
        <f>'Long-form'!BC229</f>
        <v>-1</v>
      </c>
      <c r="V229" t="str">
        <f>'Long-form'!BD229</f>
        <v>5 = Sedimentary (e.g., deltaic, estuarine, wetland, lacustrine, marine facies)</v>
      </c>
      <c r="W229" t="str">
        <f>'Long-form'!BE229</f>
        <v>Subtidal deposit</v>
      </c>
      <c r="X229" t="str">
        <f>'Long-form'!BF229</f>
        <v>sediment texture, mollusc fossil</v>
      </c>
      <c r="Y229" t="str">
        <f>'Long-form'!BH229</f>
        <v>&lt;MTL</v>
      </c>
      <c r="Z229" s="55">
        <f>'Long-form'!BT229</f>
        <v>-1.3986513519999999</v>
      </c>
      <c r="AA229" s="55">
        <f>'Long-form'!BU229</f>
        <v>0.5723635208501674</v>
      </c>
      <c r="AB229" s="55">
        <f>'Long-form'!BV229</f>
        <v>0.5723635208501674</v>
      </c>
      <c r="AC229" s="55" t="str">
        <f>'Long-form'!BW229</f>
        <v>nd</v>
      </c>
      <c r="AD229" s="55" t="str">
        <f>'Long-form'!BX229</f>
        <v>nd</v>
      </c>
      <c r="AE229" s="55" t="str">
        <f>'Long-form'!BY229</f>
        <v>nd</v>
      </c>
      <c r="AF229" t="str">
        <f>'Long-form'!BZ229</f>
        <v>nd</v>
      </c>
      <c r="AG229">
        <f>'Long-form'!CB229</f>
        <v>0</v>
      </c>
      <c r="AH229">
        <f>'Long-form'!CD229</f>
        <v>0</v>
      </c>
    </row>
    <row r="230" spans="1:34">
      <c r="A230" t="str">
        <f>'Long-form'!A230</f>
        <v>KWG-31</v>
      </c>
      <c r="B230" t="str">
        <f>'Long-form'!B230</f>
        <v>Huang et al. 1982; Zong 2004</v>
      </c>
      <c r="C230" t="str">
        <f>'Long-form'!C230</f>
        <v>9a</v>
      </c>
      <c r="D230" t="str">
        <f>'Long-form'!D230</f>
        <v>W_PRD</v>
      </c>
      <c r="E230" s="55">
        <f>'Long-form'!E230</f>
        <v>22.5</v>
      </c>
      <c r="F230" s="55">
        <f>'Long-form'!F230</f>
        <v>113</v>
      </c>
      <c r="G230" t="str">
        <f>'Long-form'!G230</f>
        <v>1 = Radiocarbon</v>
      </c>
      <c r="H230" s="56">
        <f>'Long-form'!H230</f>
        <v>2378.8105623511892</v>
      </c>
      <c r="I230" s="56">
        <f>'Long-form'!I230</f>
        <v>156.27874840809289</v>
      </c>
      <c r="J230" s="56">
        <f>'Long-form'!J230</f>
        <v>2441</v>
      </c>
      <c r="K230" s="56">
        <f>'Long-form'!K230</f>
        <v>320</v>
      </c>
      <c r="L230" s="56">
        <f>'Long-form'!L230</f>
        <v>437</v>
      </c>
      <c r="M230" s="56" t="str">
        <f>'Long-form'!Q230</f>
        <v>regressive</v>
      </c>
      <c r="N230" s="55">
        <f>'Long-form'!R230</f>
        <v>4.5</v>
      </c>
      <c r="O230" s="55">
        <f>'Long-form'!S230</f>
        <v>13.2</v>
      </c>
      <c r="P230" s="55">
        <f>'Long-form'!T230</f>
        <v>1</v>
      </c>
      <c r="Q230" s="55">
        <f>'Long-form'!AM230</f>
        <v>-3.4</v>
      </c>
      <c r="R230" s="55" t="str">
        <f>'Long-form'!AN230</f>
        <v>YSD</v>
      </c>
      <c r="S230" s="55">
        <f>'Long-form'!AP230</f>
        <v>0.54147945482723536</v>
      </c>
      <c r="T230" s="55">
        <f>'Long-form'!AQ230</f>
        <v>0.54147945482723536</v>
      </c>
      <c r="U230" t="str">
        <f>'Long-form'!BC230</f>
        <v>-1</v>
      </c>
      <c r="V230" t="str">
        <f>'Long-form'!BD230</f>
        <v>5 = Sedimentary (e.g., deltaic, estuarine, wetland, lacustrine, marine facies)</v>
      </c>
      <c r="W230" t="str">
        <f>'Long-form'!BE230</f>
        <v>Subtidal deposit</v>
      </c>
      <c r="X230" t="str">
        <f>'Long-form'!BF230</f>
        <v>sediment texture and pollen assemblage</v>
      </c>
      <c r="Y230" t="str">
        <f>'Long-form'!BH230</f>
        <v>&lt;MTL</v>
      </c>
      <c r="Z230" s="55">
        <f>'Long-form'!BT230</f>
        <v>-3.371309611</v>
      </c>
      <c r="AA230" s="55">
        <f>'Long-form'!BU230</f>
        <v>0.54378304497290098</v>
      </c>
      <c r="AB230" s="55">
        <f>'Long-form'!BV230</f>
        <v>0.54378304497290098</v>
      </c>
      <c r="AC230" s="55" t="str">
        <f>'Long-form'!BW230</f>
        <v>nd</v>
      </c>
      <c r="AD230" s="55" t="str">
        <f>'Long-form'!BX230</f>
        <v>nd</v>
      </c>
      <c r="AE230" s="55" t="str">
        <f>'Long-form'!BY230</f>
        <v>nd</v>
      </c>
      <c r="AF230" t="str">
        <f>'Long-form'!BZ230</f>
        <v>nd</v>
      </c>
      <c r="AG230">
        <f>'Long-form'!CB230</f>
        <v>0</v>
      </c>
      <c r="AH230">
        <f>'Long-form'!CD230</f>
        <v>0</v>
      </c>
    </row>
    <row r="231" spans="1:34">
      <c r="A231" t="str">
        <f>'Long-form'!A231</f>
        <v>KWG-85</v>
      </c>
      <c r="B231" t="str">
        <f>'Long-form'!B231</f>
        <v>Huang et al. 1982; Zong 2004</v>
      </c>
      <c r="C231" t="str">
        <f>'Long-form'!C231</f>
        <v>9a</v>
      </c>
      <c r="D231" t="str">
        <f>'Long-form'!D231</f>
        <v>W_PRD</v>
      </c>
      <c r="E231" s="55">
        <f>'Long-form'!E231</f>
        <v>22.5</v>
      </c>
      <c r="F231" s="55">
        <f>'Long-form'!F231</f>
        <v>113</v>
      </c>
      <c r="G231" t="str">
        <f>'Long-form'!G231</f>
        <v>1 = Radiocarbon</v>
      </c>
      <c r="H231" s="56">
        <f>'Long-form'!H231</f>
        <v>2900.6818647162499</v>
      </c>
      <c r="I231" s="56">
        <f>'Long-form'!I231</f>
        <v>102.09332595228739</v>
      </c>
      <c r="J231" s="56">
        <f>'Long-form'!J231</f>
        <v>2502</v>
      </c>
      <c r="K231" s="56">
        <f>'Long-form'!K231</f>
        <v>299</v>
      </c>
      <c r="L231" s="56">
        <f>'Long-form'!L231</f>
        <v>350</v>
      </c>
      <c r="M231" s="56" t="str">
        <f>'Long-form'!Q231</f>
        <v>regressive</v>
      </c>
      <c r="N231" s="55">
        <f>'Long-form'!R231</f>
        <v>2.5</v>
      </c>
      <c r="O231" s="55">
        <f>'Long-form'!S231</f>
        <v>1.5</v>
      </c>
      <c r="P231" s="55">
        <f>'Long-form'!T231</f>
        <v>1</v>
      </c>
      <c r="Q231" s="55">
        <f>'Long-form'!AM231</f>
        <v>-1.5</v>
      </c>
      <c r="R231" s="55" t="str">
        <f>'Long-form'!AN231</f>
        <v>YSD</v>
      </c>
      <c r="S231" s="55">
        <f>'Long-form'!AP231</f>
        <v>0.53628350711167694</v>
      </c>
      <c r="T231" s="55">
        <f>'Long-form'!AQ231</f>
        <v>0.53628350711167694</v>
      </c>
      <c r="U231" t="str">
        <f>'Long-form'!BC231</f>
        <v>-1</v>
      </c>
      <c r="V231" t="str">
        <f>'Long-form'!BD231</f>
        <v>5 = Sedimentary (e.g., deltaic, estuarine, wetland, lacustrine, marine facies)</v>
      </c>
      <c r="W231" t="str">
        <f>'Long-form'!BE231</f>
        <v>Subtidal deposit</v>
      </c>
      <c r="X231" t="str">
        <f>'Long-form'!BF231</f>
        <v>sediment texture, mollusc fossil</v>
      </c>
      <c r="Y231" t="str">
        <f>'Long-form'!BH231</f>
        <v>&lt;MTL</v>
      </c>
      <c r="Z231" s="55">
        <f>'Long-form'!BT231</f>
        <v>-1.4713096109999999</v>
      </c>
      <c r="AA231" s="55">
        <f>'Long-form'!BU231</f>
        <v>0.53860932037980924</v>
      </c>
      <c r="AB231" s="55">
        <f>'Long-form'!BV231</f>
        <v>0.53860932037980924</v>
      </c>
      <c r="AC231" s="55" t="str">
        <f>'Long-form'!BW231</f>
        <v>nd</v>
      </c>
      <c r="AD231" s="55" t="str">
        <f>'Long-form'!BX231</f>
        <v>nd</v>
      </c>
      <c r="AE231" s="55" t="str">
        <f>'Long-form'!BY231</f>
        <v>nd</v>
      </c>
      <c r="AF231" t="str">
        <f>'Long-form'!BZ231</f>
        <v>nd</v>
      </c>
      <c r="AG231">
        <f>'Long-form'!CB231</f>
        <v>0</v>
      </c>
      <c r="AH231">
        <f>'Long-form'!CD231</f>
        <v>0</v>
      </c>
    </row>
    <row r="232" spans="1:34">
      <c r="A232" t="str">
        <f>'Long-form'!A232</f>
        <v>KWG-88</v>
      </c>
      <c r="B232" t="str">
        <f>'Long-form'!B232</f>
        <v>Li et al. 1982; Li et al. 1991; Zong 2004</v>
      </c>
      <c r="C232" t="str">
        <f>'Long-form'!C232</f>
        <v>9a</v>
      </c>
      <c r="D232" t="str">
        <f>'Long-form'!D232</f>
        <v>W_PRD</v>
      </c>
      <c r="E232" s="55">
        <f>'Long-form'!E232</f>
        <v>22.5</v>
      </c>
      <c r="F232" s="55">
        <f>'Long-form'!F232</f>
        <v>113</v>
      </c>
      <c r="G232" t="str">
        <f>'Long-form'!G232</f>
        <v>1 = Radiocarbon</v>
      </c>
      <c r="H232" s="56">
        <f>'Long-form'!H232</f>
        <v>3701.2776368064251</v>
      </c>
      <c r="I232" s="56">
        <f>'Long-form'!I232</f>
        <v>110.42156441637657</v>
      </c>
      <c r="J232" s="56">
        <f>'Long-form'!J232</f>
        <v>4050</v>
      </c>
      <c r="K232" s="56">
        <f>'Long-form'!K232</f>
        <v>356</v>
      </c>
      <c r="L232" s="56">
        <f>'Long-form'!L232</f>
        <v>324</v>
      </c>
      <c r="M232" s="56" t="str">
        <f>'Long-form'!Q232</f>
        <v>regressive</v>
      </c>
      <c r="N232" s="55" t="str">
        <f>'Long-form'!R232</f>
        <v>nd</v>
      </c>
      <c r="O232" s="55" t="str">
        <f>'Long-form'!S232</f>
        <v>nd</v>
      </c>
      <c r="P232" s="55">
        <f>'Long-form'!T232</f>
        <v>1</v>
      </c>
      <c r="Q232" s="55">
        <f>'Long-form'!AM232</f>
        <v>0.1</v>
      </c>
      <c r="R232" s="55" t="str">
        <f>'Long-form'!AN232</f>
        <v>YSD</v>
      </c>
      <c r="S232" s="55">
        <f>'Long-form'!AP232</f>
        <v>0.57017541160593732</v>
      </c>
      <c r="T232" s="55">
        <f>'Long-form'!AQ232</f>
        <v>0.57017541160593732</v>
      </c>
      <c r="U232" t="str">
        <f>'Long-form'!BC232</f>
        <v>0</v>
      </c>
      <c r="V232" t="str">
        <f>'Long-form'!BD232</f>
        <v>5 = Sedimentary (e.g., deltaic, estuarine, wetland, lacustrine, marine facies)</v>
      </c>
      <c r="W232" t="str">
        <f>'Long-form'!BE232</f>
        <v>Saltmarsh deposit</v>
      </c>
      <c r="X232" t="str">
        <f>'Long-form'!BF232</f>
        <v>author interpretation only</v>
      </c>
      <c r="Y232" t="str">
        <f>'Long-form'!BH232</f>
        <v>HAT-MTL</v>
      </c>
      <c r="Z232" s="55">
        <f>'Long-form'!BT232</f>
        <v>-0.73270139950000002</v>
      </c>
      <c r="AA232" s="55">
        <f>'Long-form'!BU232</f>
        <v>1.1040417009651382</v>
      </c>
      <c r="AB232" s="55">
        <f>'Long-form'!BV232</f>
        <v>1.1040417009651382</v>
      </c>
      <c r="AC232" s="55" t="str">
        <f>'Long-form'!BW232</f>
        <v>nd</v>
      </c>
      <c r="AD232" s="55" t="str">
        <f>'Long-form'!BX232</f>
        <v>nd</v>
      </c>
      <c r="AE232" s="55" t="str">
        <f>'Long-form'!BY232</f>
        <v>nd</v>
      </c>
      <c r="AF232" t="str">
        <f>'Long-form'!BZ232</f>
        <v>nd</v>
      </c>
      <c r="AG232">
        <f>'Long-form'!CB232</f>
        <v>0</v>
      </c>
      <c r="AH232">
        <f>'Long-form'!CD232</f>
        <v>0</v>
      </c>
    </row>
    <row r="233" spans="1:34">
      <c r="A233" t="str">
        <f>'Long-form'!A233</f>
        <v>TSDH</v>
      </c>
      <c r="B233" t="str">
        <f>'Long-form'!B233</f>
        <v>Huang et al. 1986</v>
      </c>
      <c r="C233" t="str">
        <f>'Long-form'!C233</f>
        <v>9b</v>
      </c>
      <c r="D233" t="str">
        <f>'Long-form'!D233</f>
        <v>W_PRD</v>
      </c>
      <c r="E233" s="55">
        <f>'Long-form'!E233</f>
        <v>22.079379871586902</v>
      </c>
      <c r="F233" s="55">
        <f>'Long-form'!F233</f>
        <v>112.963495068119</v>
      </c>
      <c r="G233" t="str">
        <f>'Long-form'!G233</f>
        <v>1 = Radiocarbon</v>
      </c>
      <c r="H233" s="56">
        <f>'Long-form'!H233</f>
        <v>8483.5135952695546</v>
      </c>
      <c r="I233" s="56">
        <f>'Long-form'!I233</f>
        <v>189.81507120418547</v>
      </c>
      <c r="J233" s="56">
        <f>'Long-form'!J233</f>
        <v>9469</v>
      </c>
      <c r="K233" s="56">
        <f>'Long-form'!K233</f>
        <v>651</v>
      </c>
      <c r="L233" s="56">
        <f>'Long-form'!L233</f>
        <v>462</v>
      </c>
      <c r="M233" s="56" t="str">
        <f>'Long-form'!Q233</f>
        <v>regressive</v>
      </c>
      <c r="N233" s="55" t="str">
        <f>'Long-form'!R233</f>
        <v>nd</v>
      </c>
      <c r="O233" s="55" t="str">
        <f>'Long-form'!S233</f>
        <v>nd</v>
      </c>
      <c r="P233" s="55">
        <f>'Long-form'!T233</f>
        <v>1</v>
      </c>
      <c r="Q233" s="55">
        <f>'Long-form'!AM233</f>
        <v>-12.5</v>
      </c>
      <c r="R233" s="55" t="str">
        <f>'Long-form'!AN233</f>
        <v>YSD</v>
      </c>
      <c r="S233" s="55">
        <f>'Long-form'!AP233</f>
        <v>0.56833088953531286</v>
      </c>
      <c r="T233" s="55">
        <f>'Long-form'!AQ233</f>
        <v>0.56833088953531286</v>
      </c>
      <c r="U233" t="str">
        <f>'Long-form'!BC233</f>
        <v>-1</v>
      </c>
      <c r="V233" t="str">
        <f>'Long-form'!BD233</f>
        <v>5 = Sedimentary (e.g., deltaic, estuarine, wetland, lacustrine, marine facies)</v>
      </c>
      <c r="W233" t="str">
        <f>'Long-form'!BE233</f>
        <v>Marine deposit</v>
      </c>
      <c r="X233" t="str">
        <f>'Long-form'!BF233</f>
        <v>Rotten wood and shell-bearing muddy sediment (author interpretation only)</v>
      </c>
      <c r="Y233" t="str">
        <f>'Long-form'!BH233</f>
        <v>&lt;MTL</v>
      </c>
      <c r="Z233" s="55">
        <f>'Long-form'!BT233</f>
        <v>-12.4625</v>
      </c>
      <c r="AA233" s="55">
        <f>'Long-form'!BU233</f>
        <v>0.57052607302383651</v>
      </c>
      <c r="AB233" s="55">
        <f>'Long-form'!BV233</f>
        <v>0.57052607302383651</v>
      </c>
      <c r="AC233" s="55" t="str">
        <f>'Long-form'!BW233</f>
        <v>nd</v>
      </c>
      <c r="AD233" s="55" t="str">
        <f>'Long-form'!BX233</f>
        <v>nd</v>
      </c>
      <c r="AE233" s="55" t="str">
        <f>'Long-form'!BY233</f>
        <v>nd</v>
      </c>
      <c r="AF233" t="str">
        <f>'Long-form'!BZ233</f>
        <v>nd</v>
      </c>
      <c r="AG233">
        <f>'Long-form'!CB233</f>
        <v>0</v>
      </c>
      <c r="AH233">
        <f>'Long-form'!CD233</f>
        <v>0</v>
      </c>
    </row>
    <row r="234" spans="1:34">
      <c r="A234" t="str">
        <f>'Long-form'!A234</f>
        <v>KWG-104</v>
      </c>
      <c r="B234" t="str">
        <f>'Long-form'!B234</f>
        <v>Li et al. 1991; Zong 2004</v>
      </c>
      <c r="C234" t="str">
        <f>'Long-form'!C234</f>
        <v>9a</v>
      </c>
      <c r="D234" t="str">
        <f>'Long-form'!D234</f>
        <v>N_PRD</v>
      </c>
      <c r="E234" s="55">
        <f>'Long-form'!E234</f>
        <v>23.116666666666699</v>
      </c>
      <c r="F234" s="55">
        <f>'Long-form'!F234</f>
        <v>113.26666666666701</v>
      </c>
      <c r="G234" t="str">
        <f>'Long-form'!G234</f>
        <v>1 = Radiocarbon</v>
      </c>
      <c r="H234" s="56">
        <f>'Long-form'!H234</f>
        <v>2710.6818647162486</v>
      </c>
      <c r="I234" s="56">
        <f>'Long-form'!I234</f>
        <v>97.714109544118543</v>
      </c>
      <c r="J234" s="56">
        <f>'Long-form'!J234</f>
        <v>2261</v>
      </c>
      <c r="K234" s="56">
        <f>'Long-form'!K234</f>
        <v>366</v>
      </c>
      <c r="L234" s="56">
        <f>'Long-form'!L234</f>
        <v>331</v>
      </c>
      <c r="M234" s="56" t="str">
        <f>'Long-form'!Q234</f>
        <v>regressive</v>
      </c>
      <c r="N234" s="55">
        <f>'Long-form'!R234</f>
        <v>5</v>
      </c>
      <c r="O234" s="55">
        <f>'Long-form'!S234</f>
        <v>3.5</v>
      </c>
      <c r="P234" s="55">
        <f>'Long-form'!T234</f>
        <v>1</v>
      </c>
      <c r="Q234" s="55">
        <f>'Long-form'!AM234</f>
        <v>-5</v>
      </c>
      <c r="R234" s="55" t="str">
        <f>'Long-form'!AN234</f>
        <v>YSD</v>
      </c>
      <c r="S234" s="55">
        <f>'Long-form'!AP234</f>
        <v>0.54129474410897438</v>
      </c>
      <c r="T234" s="55">
        <f>'Long-form'!AQ234</f>
        <v>0.54129474410897438</v>
      </c>
      <c r="U234" t="str">
        <f>'Long-form'!BC234</f>
        <v xml:space="preserve">-1 </v>
      </c>
      <c r="V234" t="str">
        <f>'Long-form'!BD234</f>
        <v>5 = Sedimentary (e.g., deltaic, estuarine, wetland, lacustrine, marine facies)</v>
      </c>
      <c r="W234" t="str">
        <f>'Long-form'!BE234</f>
        <v>Tidal flat deposit</v>
      </c>
      <c r="X234" t="str">
        <f>'Long-form'!BF234</f>
        <v>sediment texture, mollusc fossil</v>
      </c>
      <c r="Y234" t="str">
        <f>'Long-form'!BH234</f>
        <v>&lt;HAT</v>
      </c>
      <c r="Z234" s="55">
        <f>'Long-form'!BT234</f>
        <v>-6.4885693350000002</v>
      </c>
      <c r="AA234" s="55">
        <f>'Long-form'!BU234</f>
        <v>0.57043842787806642</v>
      </c>
      <c r="AB234" s="55">
        <f>'Long-form'!BV234</f>
        <v>0.57043842787806642</v>
      </c>
      <c r="AC234" s="55" t="str">
        <f>'Long-form'!BW234</f>
        <v>nd</v>
      </c>
      <c r="AD234" s="55" t="str">
        <f>'Long-form'!BX234</f>
        <v>nd</v>
      </c>
      <c r="AE234" s="55" t="str">
        <f>'Long-form'!BY234</f>
        <v>nd</v>
      </c>
      <c r="AF234" t="str">
        <f>'Long-form'!BZ234</f>
        <v>nd</v>
      </c>
      <c r="AG234">
        <f>'Long-form'!CB234</f>
        <v>0</v>
      </c>
      <c r="AH234">
        <f>'Long-form'!CD234</f>
        <v>0</v>
      </c>
    </row>
    <row r="235" spans="1:34">
      <c r="A235" t="str">
        <f>'Long-form'!A235</f>
        <v>KWG-109</v>
      </c>
      <c r="B235" t="str">
        <f>'Long-form'!B235</f>
        <v>Li et al 1991; zong 2004</v>
      </c>
      <c r="C235" t="str">
        <f>'Long-form'!C235</f>
        <v>9a</v>
      </c>
      <c r="D235" t="str">
        <f>'Long-form'!D235</f>
        <v>N_PRD</v>
      </c>
      <c r="E235" s="55">
        <f>'Long-form'!E235</f>
        <v>23.116666666666667</v>
      </c>
      <c r="F235" s="55">
        <f>'Long-form'!F235</f>
        <v>113.26666666666667</v>
      </c>
      <c r="G235" t="str">
        <f>'Long-form'!G235</f>
        <v>1 = Radiocarbon</v>
      </c>
      <c r="H235" s="56">
        <f>'Long-form'!H235</f>
        <v>2510.6818647162486</v>
      </c>
      <c r="I235" s="56">
        <f>'Long-form'!I235</f>
        <v>102.09332595228739</v>
      </c>
      <c r="J235" s="56">
        <f>'Long-form'!J235</f>
        <v>2013</v>
      </c>
      <c r="K235" s="56">
        <f>'Long-form'!K235</f>
        <v>326</v>
      </c>
      <c r="L235" s="56">
        <f>'Long-form'!L235</f>
        <v>326</v>
      </c>
      <c r="M235" s="56" t="str">
        <f>'Long-form'!Q235</f>
        <v>regressive</v>
      </c>
      <c r="N235" s="55">
        <f>'Long-form'!R235</f>
        <v>2.6</v>
      </c>
      <c r="O235" s="55">
        <f>'Long-form'!S235</f>
        <v>18</v>
      </c>
      <c r="P235" s="55">
        <f>'Long-form'!T235</f>
        <v>1</v>
      </c>
      <c r="Q235" s="55">
        <f>'Long-form'!AM235</f>
        <v>0.08</v>
      </c>
      <c r="R235" s="55" t="str">
        <f>'Long-form'!AN235</f>
        <v>YSD</v>
      </c>
      <c r="S235" s="55">
        <f>'Long-form'!AP235</f>
        <v>0.53451286233354578</v>
      </c>
      <c r="T235" s="55">
        <f>'Long-form'!AQ235</f>
        <v>0.53451286233354578</v>
      </c>
      <c r="U235" t="str">
        <f>'Long-form'!BC235</f>
        <v xml:space="preserve">-1 </v>
      </c>
      <c r="V235" t="str">
        <f>'Long-form'!BD235</f>
        <v>5 = Sedimentary (e.g., deltaic, estuarine, wetland, lacustrine, marine facies)</v>
      </c>
      <c r="W235" t="str">
        <f>'Long-form'!BE235</f>
        <v>Tidal flat deposit</v>
      </c>
      <c r="X235" t="str">
        <f>'Long-form'!BF235</f>
        <v>author interpretation only</v>
      </c>
      <c r="Y235" t="str">
        <f>'Long-form'!BH235</f>
        <v>&lt;HAT</v>
      </c>
      <c r="Z235" s="55">
        <f>'Long-form'!BT235</f>
        <v>-1.6047798879999999</v>
      </c>
      <c r="AA235" s="55">
        <f>'Long-form'!BU235</f>
        <v>0.56400709215399059</v>
      </c>
      <c r="AB235" s="55">
        <f>'Long-form'!BV235</f>
        <v>0.56400709215399059</v>
      </c>
      <c r="AC235" s="55" t="str">
        <f>'Long-form'!BW235</f>
        <v>nd</v>
      </c>
      <c r="AD235" s="55" t="str">
        <f>'Long-form'!BX235</f>
        <v>nd</v>
      </c>
      <c r="AE235" s="55" t="str">
        <f>'Long-form'!BY235</f>
        <v>nd</v>
      </c>
      <c r="AF235" t="str">
        <f>'Long-form'!BZ235</f>
        <v>nd</v>
      </c>
      <c r="AG235">
        <f>'Long-form'!CB235</f>
        <v>0</v>
      </c>
      <c r="AH235" t="str">
        <f>'Long-form'!CD235</f>
        <v xml:space="preserve">Xiong 2018interpreted as tidal flat sediment; Li 1982;1991 described as mud </v>
      </c>
    </row>
    <row r="236" spans="1:34">
      <c r="A236" t="str">
        <f>'Long-form'!A236</f>
        <v>GZ3927</v>
      </c>
      <c r="B236" t="str">
        <f>'Long-form'!B236</f>
        <v>Zong et al 2013</v>
      </c>
      <c r="C236" t="str">
        <f>'Long-form'!C236</f>
        <v>9a</v>
      </c>
      <c r="D236" t="str">
        <f>'Long-form'!D236</f>
        <v>N_PRD</v>
      </c>
      <c r="E236" s="55">
        <f>'Long-form'!E236</f>
        <v>23.100999999999999</v>
      </c>
      <c r="F236" s="55">
        <f>'Long-form'!F236</f>
        <v>113.2339722</v>
      </c>
      <c r="G236" t="str">
        <f>'Long-form'!G236</f>
        <v>1 = Radiocarbon</v>
      </c>
      <c r="H236" s="56">
        <f>'Long-form'!H236</f>
        <v>2455</v>
      </c>
      <c r="I236" s="56">
        <f>'Long-form'!I236</f>
        <v>103.84603988597736</v>
      </c>
      <c r="J236" s="56">
        <f>'Long-form'!J236</f>
        <v>2534</v>
      </c>
      <c r="K236" s="56">
        <f>'Long-form'!K236</f>
        <v>223</v>
      </c>
      <c r="L236" s="56">
        <f>'Long-form'!L236</f>
        <v>221</v>
      </c>
      <c r="M236" s="56" t="str">
        <f>'Long-form'!Q236</f>
        <v>transgressive</v>
      </c>
      <c r="N236" s="55">
        <f>'Long-form'!R236</f>
        <v>5</v>
      </c>
      <c r="O236" s="55" t="str">
        <f>'Long-form'!S236</f>
        <v>nd</v>
      </c>
      <c r="P236" s="55">
        <f>'Long-form'!T236</f>
        <v>1</v>
      </c>
      <c r="Q236" s="55">
        <f>'Long-form'!AM236</f>
        <v>-1.5</v>
      </c>
      <c r="R236" s="55" t="str">
        <f>'Long-form'!AN236</f>
        <v>YSD</v>
      </c>
      <c r="S236" s="55">
        <f>'Long-form'!AP236</f>
        <v>0.5415025392368904</v>
      </c>
      <c r="T236" s="55">
        <f>'Long-form'!AQ236</f>
        <v>0.5415025392368904</v>
      </c>
      <c r="U236" t="str">
        <f>'Long-form'!BC236</f>
        <v xml:space="preserve">-1 </v>
      </c>
      <c r="V236" t="str">
        <f>'Long-form'!BD236</f>
        <v>5 = Sedimentary (e.g., deltaic, estuarine, wetland, lacustrine, marine facies)</v>
      </c>
      <c r="W236" t="str">
        <f>'Long-form'!BE236</f>
        <v>Tidal channel deposit</v>
      </c>
      <c r="X236" t="str">
        <f>'Long-form'!BF236</f>
        <v xml:space="preserve">Muddy substrate; Planktonic diatom assemblage containing both marine-brackish and freshwater taxa </v>
      </c>
      <c r="Y236" t="str">
        <f>'Long-form'!BH236</f>
        <v>&lt;HAT</v>
      </c>
      <c r="Z236" s="55">
        <f>'Long-form'!BT236</f>
        <v>-3.8426917660000002</v>
      </c>
      <c r="AA236" s="55">
        <f>'Long-form'!BU236</f>
        <v>0.57063561052566636</v>
      </c>
      <c r="AB236" s="55">
        <f>'Long-form'!BV236</f>
        <v>0.57063561052566636</v>
      </c>
      <c r="AC236" s="55" t="str">
        <f>'Long-form'!BW236</f>
        <v>nd</v>
      </c>
      <c r="AD236" s="55" t="str">
        <f>'Long-form'!BX236</f>
        <v>nd</v>
      </c>
      <c r="AE236" s="55" t="str">
        <f>'Long-form'!BY236</f>
        <v>nd</v>
      </c>
      <c r="AF236" t="str">
        <f>'Long-form'!BZ236</f>
        <v>nd</v>
      </c>
      <c r="AG236">
        <f>'Long-form'!CB236</f>
        <v>0</v>
      </c>
      <c r="AH236">
        <f>'Long-form'!CD236</f>
        <v>0</v>
      </c>
    </row>
    <row r="237" spans="1:34">
      <c r="A237" t="str">
        <f>'Long-form'!A237</f>
        <v>GZ3928</v>
      </c>
      <c r="B237" t="str">
        <f>'Long-form'!B237</f>
        <v>Zong et al 2013</v>
      </c>
      <c r="C237" t="str">
        <f>'Long-form'!C237</f>
        <v>9a</v>
      </c>
      <c r="D237" t="str">
        <f>'Long-form'!D237</f>
        <v>N_PRD</v>
      </c>
      <c r="E237" s="55">
        <f>'Long-form'!E237</f>
        <v>23.100999999999999</v>
      </c>
      <c r="F237" s="55">
        <f>'Long-form'!F237</f>
        <v>113.2339722</v>
      </c>
      <c r="G237" t="str">
        <f>'Long-form'!G237</f>
        <v>1 = Radiocarbon</v>
      </c>
      <c r="H237" s="56">
        <f>'Long-form'!H237</f>
        <v>2528</v>
      </c>
      <c r="I237" s="56">
        <f>'Long-form'!I237</f>
        <v>104.12012293500234</v>
      </c>
      <c r="J237" s="56">
        <f>'Long-form'!J237</f>
        <v>2583</v>
      </c>
      <c r="K237" s="56">
        <f>'Long-form'!K237</f>
        <v>258</v>
      </c>
      <c r="L237" s="56">
        <f>'Long-form'!L237</f>
        <v>236</v>
      </c>
      <c r="M237" s="56" t="str">
        <f>'Long-form'!Q237</f>
        <v>transgressive</v>
      </c>
      <c r="N237" s="55">
        <f>'Long-form'!R237</f>
        <v>7.8</v>
      </c>
      <c r="O237" s="55" t="str">
        <f>'Long-form'!S237</f>
        <v>nd</v>
      </c>
      <c r="P237" s="55">
        <f>'Long-form'!T237</f>
        <v>1</v>
      </c>
      <c r="Q237" s="55">
        <f>'Long-form'!AM237</f>
        <v>-4.3</v>
      </c>
      <c r="R237" s="55" t="str">
        <f>'Long-form'!AN237</f>
        <v>YSD</v>
      </c>
      <c r="S237" s="55">
        <f>'Long-form'!AP237</f>
        <v>0.55458182444072224</v>
      </c>
      <c r="T237" s="55">
        <f>'Long-form'!AQ237</f>
        <v>0.55458182444072224</v>
      </c>
      <c r="U237" t="str">
        <f>'Long-form'!BC237</f>
        <v>-1</v>
      </c>
      <c r="V237" t="str">
        <f>'Long-form'!BD237</f>
        <v>5 = Sedimentary (e.g., deltaic, estuarine, wetland, lacustrine, marine facies)</v>
      </c>
      <c r="W237" t="str">
        <f>'Long-form'!BE237</f>
        <v>Subtidal deposit</v>
      </c>
      <c r="X237" t="str">
        <f>'Long-form'!BF237</f>
        <v>Muddy substrate; Marine-brackish planktonic diatom assemblage</v>
      </c>
      <c r="Y237" t="str">
        <f>'Long-form'!BH237</f>
        <v>&lt;MTL</v>
      </c>
      <c r="Z237" s="55">
        <f>'Long-form'!BT237</f>
        <v>-4.2946357079999995</v>
      </c>
      <c r="AA237" s="55">
        <f>'Long-form'!BU237</f>
        <v>0.55683121320558182</v>
      </c>
      <c r="AB237" s="55">
        <f>'Long-form'!BV237</f>
        <v>0.55683121320558182</v>
      </c>
      <c r="AC237" s="55" t="str">
        <f>'Long-form'!BW237</f>
        <v>nd</v>
      </c>
      <c r="AD237" s="55" t="str">
        <f>'Long-form'!BX237</f>
        <v>nd</v>
      </c>
      <c r="AE237" s="55" t="str">
        <f>'Long-form'!BY237</f>
        <v>nd</v>
      </c>
      <c r="AF237" t="str">
        <f>'Long-form'!BZ237</f>
        <v>nd</v>
      </c>
      <c r="AG237">
        <f>'Long-form'!CB237</f>
        <v>0</v>
      </c>
      <c r="AH237">
        <f>'Long-form'!CD237</f>
        <v>0</v>
      </c>
    </row>
    <row r="238" spans="1:34">
      <c r="A238" t="str">
        <f>'Long-form'!A238</f>
        <v>GZ3929</v>
      </c>
      <c r="B238" t="str">
        <f>'Long-form'!B238</f>
        <v>Zong et al 2013</v>
      </c>
      <c r="C238" t="str">
        <f>'Long-form'!C238</f>
        <v>9a</v>
      </c>
      <c r="D238" t="str">
        <f>'Long-form'!D238</f>
        <v>N_PRD</v>
      </c>
      <c r="E238" s="55">
        <f>'Long-form'!E238</f>
        <v>23.100999999999999</v>
      </c>
      <c r="F238" s="55">
        <f>'Long-form'!F238</f>
        <v>113.2339722</v>
      </c>
      <c r="G238" t="str">
        <f>'Long-form'!G238</f>
        <v>1 = Radiocarbon</v>
      </c>
      <c r="H238" s="56">
        <f>'Long-form'!H238</f>
        <v>6429</v>
      </c>
      <c r="I238" s="56">
        <f>'Long-form'!I238</f>
        <v>109.65856099730654</v>
      </c>
      <c r="J238" s="56">
        <f>'Long-form'!J238</f>
        <v>7339</v>
      </c>
      <c r="K238" s="56">
        <f>'Long-form'!K238</f>
        <v>229</v>
      </c>
      <c r="L238" s="56">
        <f>'Long-form'!L238</f>
        <v>305</v>
      </c>
      <c r="M238" s="56" t="str">
        <f>'Long-form'!Q238</f>
        <v>transgressive</v>
      </c>
      <c r="N238" s="55">
        <f>'Long-form'!R238</f>
        <v>12</v>
      </c>
      <c r="O238" s="55" t="str">
        <f>'Long-form'!S238</f>
        <v>nd</v>
      </c>
      <c r="P238" s="55">
        <f>'Long-form'!T238</f>
        <v>1</v>
      </c>
      <c r="Q238" s="55">
        <f>'Long-form'!AM238</f>
        <v>-8.5</v>
      </c>
      <c r="R238" s="55" t="str">
        <f>'Long-form'!AN238</f>
        <v>YSD</v>
      </c>
      <c r="S238" s="55">
        <f>'Long-form'!AP238</f>
        <v>0.58380219252757182</v>
      </c>
      <c r="T238" s="55">
        <f>'Long-form'!AQ238</f>
        <v>0.58380219252757182</v>
      </c>
      <c r="U238" t="str">
        <f>'Long-form'!BC238</f>
        <v>-1</v>
      </c>
      <c r="V238" t="str">
        <f>'Long-form'!BD238</f>
        <v>5 = Sedimentary (e.g., deltaic, estuarine, wetland, lacustrine, marine facies)</v>
      </c>
      <c r="W238" t="str">
        <f>'Long-form'!BE238</f>
        <v>Subtidal deposit</v>
      </c>
      <c r="X238" t="str">
        <f>'Long-form'!BF238</f>
        <v>Muddy substrate; Marine-brackish planktonic diatom assemblage</v>
      </c>
      <c r="Y238" t="str">
        <f>'Long-form'!BH238</f>
        <v>&lt;MTL</v>
      </c>
      <c r="Z238" s="55">
        <f>'Long-form'!BT238</f>
        <v>-8.4946357080000006</v>
      </c>
      <c r="AA238" s="55">
        <f>'Long-form'!BU238</f>
        <v>0.58593941666353189</v>
      </c>
      <c r="AB238" s="55">
        <f>'Long-form'!BV238</f>
        <v>0.58593941666353189</v>
      </c>
      <c r="AC238" s="55" t="str">
        <f>'Long-form'!BW238</f>
        <v>nd</v>
      </c>
      <c r="AD238" s="55" t="str">
        <f>'Long-form'!BX238</f>
        <v>nd</v>
      </c>
      <c r="AE238" s="55" t="str">
        <f>'Long-form'!BY238</f>
        <v>nd</v>
      </c>
      <c r="AF238" t="str">
        <f>'Long-form'!BZ238</f>
        <v>nd</v>
      </c>
      <c r="AG238">
        <f>'Long-form'!CB238</f>
        <v>0</v>
      </c>
      <c r="AH238">
        <f>'Long-form'!CD238</f>
        <v>0</v>
      </c>
    </row>
    <row r="239" spans="1:34">
      <c r="A239" t="str">
        <f>'Long-form'!A239</f>
        <v>ZK-526a</v>
      </c>
      <c r="B239" t="str">
        <f>'Long-form'!B239</f>
        <v>Li et al. 1991; Xiong et al. 2020</v>
      </c>
      <c r="C239" t="str">
        <f>'Long-form'!C239</f>
        <v>9a</v>
      </c>
      <c r="D239" t="str">
        <f>'Long-form'!D239</f>
        <v>N_PRD</v>
      </c>
      <c r="E239" s="55">
        <f>'Long-form'!E239</f>
        <v>23.0078308777031</v>
      </c>
      <c r="F239" s="55">
        <f>'Long-form'!F239</f>
        <v>113.09489737480899</v>
      </c>
      <c r="G239" t="str">
        <f>'Long-form'!G239</f>
        <v>1 = Radiocarbon</v>
      </c>
      <c r="H239" s="56">
        <f>'Long-form'!H239</f>
        <v>5265.6818647162499</v>
      </c>
      <c r="I239" s="56">
        <f>'Long-form'!I239</f>
        <v>111.00922125661452</v>
      </c>
      <c r="J239" s="56">
        <f>'Long-form'!J239</f>
        <v>5445</v>
      </c>
      <c r="K239" s="56">
        <f>'Long-form'!K239</f>
        <v>318</v>
      </c>
      <c r="L239" s="56">
        <f>'Long-form'!L239</f>
        <v>372</v>
      </c>
      <c r="M239" s="56" t="str">
        <f>'Long-form'!Q239</f>
        <v>transgressive</v>
      </c>
      <c r="N239" s="55">
        <f>'Long-form'!R239</f>
        <v>2.5</v>
      </c>
      <c r="O239" s="55" t="str">
        <f>'Long-form'!S239</f>
        <v>nd</v>
      </c>
      <c r="P239" s="55">
        <f>'Long-form'!T239</f>
        <v>1</v>
      </c>
      <c r="Q239" s="55">
        <f>'Long-form'!AM239</f>
        <v>1.1299999999999999</v>
      </c>
      <c r="R239" s="55" t="str">
        <f>'Long-form'!AN239</f>
        <v>YSD</v>
      </c>
      <c r="S239" s="55">
        <f>'Long-form'!AP239</f>
        <v>3.6762344865364618</v>
      </c>
      <c r="T239" s="55">
        <f>'Long-form'!AQ239</f>
        <v>3.6762344865364618</v>
      </c>
      <c r="U239" t="str">
        <f>'Long-form'!BC239</f>
        <v xml:space="preserve">1 </v>
      </c>
      <c r="V239" t="str">
        <f>'Long-form'!BD239</f>
        <v>4 = Archeological</v>
      </c>
      <c r="W239" t="str">
        <f>'Long-form'!BE239</f>
        <v>Shell mount</v>
      </c>
      <c r="X239" t="str">
        <f>'Long-form'!BF239</f>
        <v>Archaeology</v>
      </c>
      <c r="Y239" t="str">
        <f>'Long-form'!BH239</f>
        <v>&gt;MHHW</v>
      </c>
      <c r="Z239" s="55">
        <f>'Long-form'!BT239</f>
        <v>0.3228408519999999</v>
      </c>
      <c r="AA239" s="55">
        <f>'Long-form'!BU239</f>
        <v>3.7024721470930748</v>
      </c>
      <c r="AB239" s="55">
        <f>'Long-form'!BV239</f>
        <v>3.7024721470930748</v>
      </c>
      <c r="AC239" s="55" t="str">
        <f>'Long-form'!BW239</f>
        <v>nd</v>
      </c>
      <c r="AD239" s="55" t="str">
        <f>'Long-form'!BX239</f>
        <v>nd</v>
      </c>
      <c r="AE239" s="55" t="str">
        <f>'Long-form'!BY239</f>
        <v>nd</v>
      </c>
      <c r="AF239" t="str">
        <f>'Long-form'!BZ239</f>
        <v>nd</v>
      </c>
      <c r="AG239">
        <f>'Long-form'!CB239</f>
        <v>0</v>
      </c>
      <c r="AH239">
        <f>'Long-form'!CD239</f>
        <v>0</v>
      </c>
    </row>
    <row r="240" spans="1:34">
      <c r="A240" t="str">
        <f>'Long-form'!A240</f>
        <v>ZK-526b</v>
      </c>
      <c r="B240" t="str">
        <f>'Long-form'!B240</f>
        <v>Li et al. 1991; Xiong et al. 2020</v>
      </c>
      <c r="C240" t="str">
        <f>'Long-form'!C240</f>
        <v>9a</v>
      </c>
      <c r="D240" t="str">
        <f>'Long-form'!D240</f>
        <v>N_PRD</v>
      </c>
      <c r="E240" s="55">
        <f>'Long-form'!E240</f>
        <v>23.0078308777031</v>
      </c>
      <c r="F240" s="55">
        <f>'Long-form'!F240</f>
        <v>113.09489737480899</v>
      </c>
      <c r="G240" t="str">
        <f>'Long-form'!G240</f>
        <v>1 = Radiocarbon</v>
      </c>
      <c r="H240" s="56">
        <f>'Long-form'!H240</f>
        <v>5155.681864716249</v>
      </c>
      <c r="I240" s="56">
        <f>'Long-form'!I240</f>
        <v>138.64720409730592</v>
      </c>
      <c r="J240" s="56">
        <f>'Long-form'!J240</f>
        <v>5316</v>
      </c>
      <c r="K240" s="56">
        <f>'Long-form'!K240</f>
        <v>353</v>
      </c>
      <c r="L240" s="56">
        <f>'Long-form'!L240</f>
        <v>432</v>
      </c>
      <c r="M240" s="56" t="str">
        <f>'Long-form'!Q240</f>
        <v>transgressive</v>
      </c>
      <c r="N240" s="55">
        <f>'Long-form'!R240</f>
        <v>2.5</v>
      </c>
      <c r="O240" s="55" t="str">
        <f>'Long-form'!S240</f>
        <v>nd</v>
      </c>
      <c r="P240" s="55">
        <f>'Long-form'!T240</f>
        <v>1</v>
      </c>
      <c r="Q240" s="55">
        <f>'Long-form'!AM240</f>
        <v>1.1299999999999999</v>
      </c>
      <c r="R240" s="55" t="str">
        <f>'Long-form'!AN240</f>
        <v>YSD</v>
      </c>
      <c r="S240" s="55">
        <f>'Long-form'!AP240</f>
        <v>3.6762344865364618</v>
      </c>
      <c r="T240" s="55">
        <f>'Long-form'!AQ240</f>
        <v>3.6762344865364618</v>
      </c>
      <c r="U240" t="str">
        <f>'Long-form'!BC240</f>
        <v xml:space="preserve">1 </v>
      </c>
      <c r="V240" t="str">
        <f>'Long-form'!BD240</f>
        <v>4 = Archeological</v>
      </c>
      <c r="W240" t="str">
        <f>'Long-form'!BE240</f>
        <v>Shell mount</v>
      </c>
      <c r="X240" t="str">
        <f>'Long-form'!BF240</f>
        <v>Archaeology</v>
      </c>
      <c r="Y240" t="str">
        <f>'Long-form'!BH240</f>
        <v>&gt;MHHW</v>
      </c>
      <c r="Z240" s="55">
        <f>'Long-form'!BT240</f>
        <v>0.3228408519999999</v>
      </c>
      <c r="AA240" s="55">
        <f>'Long-form'!BU240</f>
        <v>3.7024721470930748</v>
      </c>
      <c r="AB240" s="55">
        <f>'Long-form'!BV240</f>
        <v>3.7024721470930748</v>
      </c>
      <c r="AC240" s="55" t="str">
        <f>'Long-form'!BW240</f>
        <v>nd</v>
      </c>
      <c r="AD240" s="55" t="str">
        <f>'Long-form'!BX240</f>
        <v>nd</v>
      </c>
      <c r="AE240" s="55" t="str">
        <f>'Long-form'!BY240</f>
        <v>nd</v>
      </c>
      <c r="AF240" t="str">
        <f>'Long-form'!BZ240</f>
        <v>nd</v>
      </c>
      <c r="AG240">
        <f>'Long-form'!CB240</f>
        <v>0</v>
      </c>
      <c r="AH240">
        <f>'Long-form'!CD240</f>
        <v>0</v>
      </c>
    </row>
    <row r="241" spans="1:34">
      <c r="A241" t="str">
        <f>'Long-form'!A241</f>
        <v>ZK-527</v>
      </c>
      <c r="B241" t="str">
        <f>'Long-form'!B241</f>
        <v>Li et al. 1991; Xiong et al. 2020</v>
      </c>
      <c r="C241" t="str">
        <f>'Long-form'!C241</f>
        <v>9a</v>
      </c>
      <c r="D241" t="str">
        <f>'Long-form'!D241</f>
        <v>N_PRD</v>
      </c>
      <c r="E241" s="55">
        <f>'Long-form'!E241</f>
        <v>23.0078308777031</v>
      </c>
      <c r="F241" s="55">
        <f>'Long-form'!F241</f>
        <v>113.09489737480899</v>
      </c>
      <c r="G241" t="str">
        <f>'Long-form'!G241</f>
        <v>1 = Radiocarbon</v>
      </c>
      <c r="H241" s="56">
        <f>'Long-form'!H241</f>
        <v>5160.681864716249</v>
      </c>
      <c r="I241" s="56">
        <f>'Long-form'!I241</f>
        <v>111.00922125661452</v>
      </c>
      <c r="J241" s="56">
        <f>'Long-form'!J241</f>
        <v>5327</v>
      </c>
      <c r="K241" s="56">
        <f>'Long-form'!K241</f>
        <v>314</v>
      </c>
      <c r="L241" s="56">
        <f>'Long-form'!L241</f>
        <v>372</v>
      </c>
      <c r="M241" s="56" t="str">
        <f>'Long-form'!Q241</f>
        <v>transgressive</v>
      </c>
      <c r="N241" s="55">
        <f>'Long-form'!R241</f>
        <v>2.5</v>
      </c>
      <c r="O241" s="55" t="str">
        <f>'Long-form'!S241</f>
        <v>nd</v>
      </c>
      <c r="P241" s="55">
        <f>'Long-form'!T241</f>
        <v>1</v>
      </c>
      <c r="Q241" s="55">
        <f>'Long-form'!AM241</f>
        <v>1.1299999999999999</v>
      </c>
      <c r="R241" s="55" t="str">
        <f>'Long-form'!AN241</f>
        <v>YSD</v>
      </c>
      <c r="S241" s="55">
        <f>'Long-form'!AP241</f>
        <v>3.6762344865364618</v>
      </c>
      <c r="T241" s="55">
        <f>'Long-form'!AQ241</f>
        <v>3.6762344865364618</v>
      </c>
      <c r="U241" t="str">
        <f>'Long-form'!BC241</f>
        <v xml:space="preserve">1 </v>
      </c>
      <c r="V241" t="str">
        <f>'Long-form'!BD241</f>
        <v>4 = Archeological</v>
      </c>
      <c r="W241" t="str">
        <f>'Long-form'!BE241</f>
        <v>Shell mount</v>
      </c>
      <c r="X241" t="str">
        <f>'Long-form'!BF241</f>
        <v>Archaeology</v>
      </c>
      <c r="Y241" t="str">
        <f>'Long-form'!BH241</f>
        <v>&gt;MHHW</v>
      </c>
      <c r="Z241" s="55">
        <f>'Long-form'!BT241</f>
        <v>0.3228408519999999</v>
      </c>
      <c r="AA241" s="55">
        <f>'Long-form'!BU241</f>
        <v>3.7024721470930748</v>
      </c>
      <c r="AB241" s="55">
        <f>'Long-form'!BV241</f>
        <v>3.7024721470930748</v>
      </c>
      <c r="AC241" s="55" t="str">
        <f>'Long-form'!BW241</f>
        <v>nd</v>
      </c>
      <c r="AD241" s="55" t="str">
        <f>'Long-form'!BX241</f>
        <v>nd</v>
      </c>
      <c r="AE241" s="55" t="str">
        <f>'Long-form'!BY241</f>
        <v>nd</v>
      </c>
      <c r="AF241" t="str">
        <f>'Long-form'!BZ241</f>
        <v>nd</v>
      </c>
      <c r="AG241">
        <f>'Long-form'!CB241</f>
        <v>0</v>
      </c>
      <c r="AH241">
        <f>'Long-form'!CD241</f>
        <v>0</v>
      </c>
    </row>
    <row r="242" spans="1:34">
      <c r="A242" t="str">
        <f>'Long-form'!A242</f>
        <v>ZK-528</v>
      </c>
      <c r="B242" t="str">
        <f>'Long-form'!B242</f>
        <v>Li et al. 1991; Xiong et al. 2020</v>
      </c>
      <c r="C242" t="str">
        <f>'Long-form'!C242</f>
        <v>9a</v>
      </c>
      <c r="D242" t="str">
        <f>'Long-form'!D242</f>
        <v>N_PRD</v>
      </c>
      <c r="E242" s="55">
        <f>'Long-form'!E242</f>
        <v>23.0078308777031</v>
      </c>
      <c r="F242" s="55">
        <f>'Long-form'!F242</f>
        <v>113.09489737480899</v>
      </c>
      <c r="G242" t="str">
        <f>'Long-form'!G242</f>
        <v>1 = Radiocarbon</v>
      </c>
      <c r="H242" s="56">
        <f>'Long-form'!H242</f>
        <v>5200.6818647162509</v>
      </c>
      <c r="I242" s="56">
        <f>'Long-form'!I242</f>
        <v>111.00922125661452</v>
      </c>
      <c r="J242" s="56">
        <f>'Long-form'!J242</f>
        <v>5373</v>
      </c>
      <c r="K242" s="56">
        <f>'Long-form'!K242</f>
        <v>321</v>
      </c>
      <c r="L242" s="56">
        <f>'Long-form'!L242</f>
        <v>368</v>
      </c>
      <c r="M242" s="56" t="str">
        <f>'Long-form'!Q242</f>
        <v>transgressive</v>
      </c>
      <c r="N242" s="55">
        <f>'Long-form'!R242</f>
        <v>2.5</v>
      </c>
      <c r="O242" s="55" t="str">
        <f>'Long-form'!S242</f>
        <v>nd</v>
      </c>
      <c r="P242" s="55">
        <f>'Long-form'!T242</f>
        <v>1</v>
      </c>
      <c r="Q242" s="55">
        <f>'Long-form'!AM242</f>
        <v>1.1299999999999999</v>
      </c>
      <c r="R242" s="55" t="str">
        <f>'Long-form'!AN242</f>
        <v>YSD</v>
      </c>
      <c r="S242" s="55">
        <f>'Long-form'!AP242</f>
        <v>3.6762344865364618</v>
      </c>
      <c r="T242" s="55">
        <f>'Long-form'!AQ242</f>
        <v>3.6762344865364618</v>
      </c>
      <c r="U242" t="str">
        <f>'Long-form'!BC242</f>
        <v xml:space="preserve">1 </v>
      </c>
      <c r="V242" t="str">
        <f>'Long-form'!BD242</f>
        <v>4 = Archeological</v>
      </c>
      <c r="W242" t="str">
        <f>'Long-form'!BE242</f>
        <v>Shell mount</v>
      </c>
      <c r="X242" t="str">
        <f>'Long-form'!BF242</f>
        <v>Archaeology</v>
      </c>
      <c r="Y242" t="str">
        <f>'Long-form'!BH242</f>
        <v>&gt;MHHW</v>
      </c>
      <c r="Z242" s="55">
        <f>'Long-form'!BT242</f>
        <v>0.3228408519999999</v>
      </c>
      <c r="AA242" s="55">
        <f>'Long-form'!BU242</f>
        <v>3.7024721470930748</v>
      </c>
      <c r="AB242" s="55">
        <f>'Long-form'!BV242</f>
        <v>3.7024721470930748</v>
      </c>
      <c r="AC242" s="55" t="str">
        <f>'Long-form'!BW242</f>
        <v>nd</v>
      </c>
      <c r="AD242" s="55" t="str">
        <f>'Long-form'!BX242</f>
        <v>nd</v>
      </c>
      <c r="AE242" s="55" t="str">
        <f>'Long-form'!BY242</f>
        <v>nd</v>
      </c>
      <c r="AF242" t="str">
        <f>'Long-form'!BZ242</f>
        <v>nd</v>
      </c>
      <c r="AG242">
        <f>'Long-form'!CB242</f>
        <v>0</v>
      </c>
      <c r="AH242">
        <f>'Long-form'!CD242</f>
        <v>0</v>
      </c>
    </row>
    <row r="243" spans="1:34">
      <c r="A243" t="str">
        <f>'Long-form'!A243</f>
        <v>ZK-547</v>
      </c>
      <c r="B243" t="str">
        <f>'Long-form'!B243</f>
        <v>Li et al. 1991; Xiong et al. 2020</v>
      </c>
      <c r="C243" t="str">
        <f>'Long-form'!C243</f>
        <v>9a</v>
      </c>
      <c r="D243" t="str">
        <f>'Long-form'!D243</f>
        <v>N_PRD</v>
      </c>
      <c r="E243" s="55">
        <f>'Long-form'!E243</f>
        <v>23.0078308777031</v>
      </c>
      <c r="F243" s="55">
        <f>'Long-form'!F243</f>
        <v>113.09489737480899</v>
      </c>
      <c r="G243" t="str">
        <f>'Long-form'!G243</f>
        <v>1 = Radiocarbon</v>
      </c>
      <c r="H243" s="56">
        <f>'Long-form'!H243</f>
        <v>3890.681864716249</v>
      </c>
      <c r="I243" s="56">
        <f>'Long-form'!I243</f>
        <v>111.00922125661452</v>
      </c>
      <c r="J243" s="56">
        <f>'Long-form'!J243</f>
        <v>4310</v>
      </c>
      <c r="K243" s="56">
        <f>'Long-form'!K243</f>
        <v>478</v>
      </c>
      <c r="L243" s="56">
        <f>'Long-form'!L243</f>
        <v>332</v>
      </c>
      <c r="M243" s="56" t="str">
        <f>'Long-form'!Q243</f>
        <v>transgressive</v>
      </c>
      <c r="N243" s="55">
        <f>'Long-form'!R243</f>
        <v>1.6</v>
      </c>
      <c r="O243" s="55" t="str">
        <f>'Long-form'!S243</f>
        <v>nd</v>
      </c>
      <c r="P243" s="55">
        <f>'Long-form'!T243</f>
        <v>1</v>
      </c>
      <c r="Q243" s="55">
        <f>'Long-form'!AM243</f>
        <v>2.0299999999999998</v>
      </c>
      <c r="R243" s="55" t="str">
        <f>'Long-form'!AN243</f>
        <v>YSD</v>
      </c>
      <c r="S243" s="55">
        <f>'Long-form'!AP243</f>
        <v>3.6762344865364618</v>
      </c>
      <c r="T243" s="55">
        <f>'Long-form'!AQ243</f>
        <v>3.6762344865364618</v>
      </c>
      <c r="U243" t="str">
        <f>'Long-form'!BC243</f>
        <v xml:space="preserve">1 </v>
      </c>
      <c r="V243" t="str">
        <f>'Long-form'!BD243</f>
        <v>4 = Archeological</v>
      </c>
      <c r="W243" t="str">
        <f>'Long-form'!BE243</f>
        <v>Shell mount</v>
      </c>
      <c r="X243" t="str">
        <f>'Long-form'!BF243</f>
        <v>Archaeology</v>
      </c>
      <c r="Y243" t="str">
        <f>'Long-form'!BH243</f>
        <v>&gt;MHHW</v>
      </c>
      <c r="Z243" s="55">
        <f>'Long-form'!BT243</f>
        <v>1.2228408519999998</v>
      </c>
      <c r="AA243" s="55">
        <f>'Long-form'!BU243</f>
        <v>3.7024721470930748</v>
      </c>
      <c r="AB243" s="55">
        <f>'Long-form'!BV243</f>
        <v>3.7024721470930748</v>
      </c>
      <c r="AC243" s="55" t="str">
        <f>'Long-form'!BW243</f>
        <v>nd</v>
      </c>
      <c r="AD243" s="55" t="str">
        <f>'Long-form'!BX243</f>
        <v>nd</v>
      </c>
      <c r="AE243" s="55" t="str">
        <f>'Long-form'!BY243</f>
        <v>nd</v>
      </c>
      <c r="AF243" t="str">
        <f>'Long-form'!BZ243</f>
        <v>nd</v>
      </c>
      <c r="AG243">
        <f>'Long-form'!CB243</f>
        <v>0</v>
      </c>
      <c r="AH243">
        <f>'Long-form'!CD243</f>
        <v>0</v>
      </c>
    </row>
    <row r="244" spans="1:34">
      <c r="A244" t="str">
        <f>'Long-form'!A244</f>
        <v>ZK-548</v>
      </c>
      <c r="B244" t="str">
        <f>'Long-form'!B244</f>
        <v>Li et al. 1991; Xiong et al. 2020</v>
      </c>
      <c r="C244" t="str">
        <f>'Long-form'!C244</f>
        <v>9a</v>
      </c>
      <c r="D244" t="str">
        <f>'Long-form'!D244</f>
        <v>N_PRD</v>
      </c>
      <c r="E244" s="55">
        <f>'Long-form'!E244</f>
        <v>23.0078308777031</v>
      </c>
      <c r="F244" s="55">
        <f>'Long-form'!F244</f>
        <v>113.09489737480899</v>
      </c>
      <c r="G244" t="str">
        <f>'Long-form'!G244</f>
        <v>1 = Radiocarbon</v>
      </c>
      <c r="H244" s="56">
        <f>'Long-form'!H244</f>
        <v>4120.6818647162499</v>
      </c>
      <c r="I244" s="56">
        <f>'Long-form'!I244</f>
        <v>111.00922125661452</v>
      </c>
      <c r="J244" s="56">
        <f>'Long-form'!J244</f>
        <v>4640</v>
      </c>
      <c r="K244" s="56">
        <f>'Long-form'!K244</f>
        <v>231</v>
      </c>
      <c r="L244" s="56">
        <f>'Long-form'!L244</f>
        <v>344</v>
      </c>
      <c r="M244" s="56" t="str">
        <f>'Long-form'!Q244</f>
        <v>transgressive</v>
      </c>
      <c r="N244" s="55">
        <f>'Long-form'!R244</f>
        <v>1.6</v>
      </c>
      <c r="O244" s="55" t="str">
        <f>'Long-form'!S244</f>
        <v>nd</v>
      </c>
      <c r="P244" s="55">
        <f>'Long-form'!T244</f>
        <v>1</v>
      </c>
      <c r="Q244" s="55">
        <f>'Long-form'!AM244</f>
        <v>2.0299999999999998</v>
      </c>
      <c r="R244" s="55" t="str">
        <f>'Long-form'!AN244</f>
        <v>YSD</v>
      </c>
      <c r="S244" s="55">
        <f>'Long-form'!AP244</f>
        <v>3.6762344865364618</v>
      </c>
      <c r="T244" s="55">
        <f>'Long-form'!AQ244</f>
        <v>3.6762344865364618</v>
      </c>
      <c r="U244" t="str">
        <f>'Long-form'!BC244</f>
        <v xml:space="preserve">1 </v>
      </c>
      <c r="V244" t="str">
        <f>'Long-form'!BD244</f>
        <v>4 = Archeological</v>
      </c>
      <c r="W244" t="str">
        <f>'Long-form'!BE244</f>
        <v>Shell mount</v>
      </c>
      <c r="X244" t="str">
        <f>'Long-form'!BF244</f>
        <v>Archaeology</v>
      </c>
      <c r="Y244" t="str">
        <f>'Long-form'!BH244</f>
        <v>&gt;MHHW</v>
      </c>
      <c r="Z244" s="55">
        <f>'Long-form'!BT244</f>
        <v>1.2228408519999998</v>
      </c>
      <c r="AA244" s="55">
        <f>'Long-form'!BU244</f>
        <v>3.7024721470930748</v>
      </c>
      <c r="AB244" s="55">
        <f>'Long-form'!BV244</f>
        <v>3.7024721470930748</v>
      </c>
      <c r="AC244" s="55" t="str">
        <f>'Long-form'!BW244</f>
        <v>nd</v>
      </c>
      <c r="AD244" s="55" t="str">
        <f>'Long-form'!BX244</f>
        <v>nd</v>
      </c>
      <c r="AE244" s="55" t="str">
        <f>'Long-form'!BY244</f>
        <v>nd</v>
      </c>
      <c r="AF244" t="str">
        <f>'Long-form'!BZ244</f>
        <v>nd</v>
      </c>
      <c r="AG244">
        <f>'Long-form'!CB244</f>
        <v>1</v>
      </c>
      <c r="AH244">
        <f>'Long-form'!CD244</f>
        <v>0</v>
      </c>
    </row>
    <row r="245" spans="1:34">
      <c r="A245" t="str">
        <f>'Long-form'!A245</f>
        <v>KWG-29</v>
      </c>
      <c r="B245" t="str">
        <f>'Long-form'!B245</f>
        <v>Huang et al. 1982; Zhang et al. 1982; Wu 1985</v>
      </c>
      <c r="C245" t="str">
        <f>'Long-form'!C245</f>
        <v>9a</v>
      </c>
      <c r="D245" t="str">
        <f>'Long-form'!D245</f>
        <v>N_PRD</v>
      </c>
      <c r="E245" s="55">
        <f>'Long-form'!E245</f>
        <v>23.152345</v>
      </c>
      <c r="F245" s="55">
        <f>'Long-form'!F245</f>
        <v>113.094375</v>
      </c>
      <c r="G245" t="str">
        <f>'Long-form'!G245</f>
        <v>1 = Radiocarbon</v>
      </c>
      <c r="H245" s="56">
        <f>'Long-form'!H245</f>
        <v>5030.681864716249</v>
      </c>
      <c r="I245" s="56">
        <f>'Long-form'!I245</f>
        <v>284.11801633124219</v>
      </c>
      <c r="J245" s="56">
        <f>'Long-form'!J245</f>
        <v>5150</v>
      </c>
      <c r="K245" s="56">
        <f>'Long-form'!K245</f>
        <v>694</v>
      </c>
      <c r="L245" s="56">
        <f>'Long-form'!L245</f>
        <v>723</v>
      </c>
      <c r="M245" s="56" t="str">
        <f>'Long-form'!Q245</f>
        <v>na</v>
      </c>
      <c r="N245" s="55" t="str">
        <f>'Long-form'!R245</f>
        <v>na</v>
      </c>
      <c r="O245" s="55" t="str">
        <f>'Long-form'!S245</f>
        <v>na</v>
      </c>
      <c r="P245" s="55">
        <f>'Long-form'!T245</f>
        <v>0</v>
      </c>
      <c r="Q245" s="55">
        <f>'Long-form'!AM245</f>
        <v>3.6</v>
      </c>
      <c r="R245" s="55" t="str">
        <f>'Long-form'!AN245</f>
        <v>YSD</v>
      </c>
      <c r="S245" s="55">
        <f>'Long-form'!AP245</f>
        <v>0.57017541160593732</v>
      </c>
      <c r="T245" s="55">
        <f>'Long-form'!AQ245</f>
        <v>0.57017541160593732</v>
      </c>
      <c r="U245" t="str">
        <f>'Long-form'!BC245</f>
        <v>0</v>
      </c>
      <c r="V245" t="str">
        <f>'Long-form'!BD245</f>
        <v>3 = Fixed biological indicators</v>
      </c>
      <c r="W245" t="str">
        <f>'Long-form'!BE245</f>
        <v>Fossil encrusted bivalve</v>
      </c>
      <c r="X245" t="str">
        <f>'Long-form'!BF245</f>
        <v>encrusted mollusc fossil</v>
      </c>
      <c r="Y245" t="str">
        <f>'Long-form'!BH245</f>
        <v>MHHW-MLLW</v>
      </c>
      <c r="Z245" s="55">
        <f>'Long-form'!BT245</f>
        <v>3.6104315174999999</v>
      </c>
      <c r="AA245" s="55">
        <f>'Long-form'!BU245</f>
        <v>1.1641779170386959</v>
      </c>
      <c r="AB245" s="55">
        <f>'Long-form'!BV245</f>
        <v>1.1641779170386959</v>
      </c>
      <c r="AC245" s="55" t="str">
        <f>'Long-form'!BW245</f>
        <v>nd</v>
      </c>
      <c r="AD245" s="55" t="str">
        <f>'Long-form'!BX245</f>
        <v>nd</v>
      </c>
      <c r="AE245" s="55" t="str">
        <f>'Long-form'!BY245</f>
        <v>nd</v>
      </c>
      <c r="AF245" t="str">
        <f>'Long-form'!BZ245</f>
        <v>nd</v>
      </c>
      <c r="AG245">
        <f>'Long-form'!CB245</f>
        <v>0</v>
      </c>
      <c r="AH245">
        <f>'Long-form'!CD245</f>
        <v>0</v>
      </c>
    </row>
    <row r="246" spans="1:34">
      <c r="A246" t="str">
        <f>'Long-form'!A246</f>
        <v>KWG-57</v>
      </c>
      <c r="B246" t="str">
        <f>'Long-form'!B246</f>
        <v>Huang et al. 1982; Li et al. 1991; Zong 2004</v>
      </c>
      <c r="C246" t="str">
        <f>'Long-form'!C246</f>
        <v>9a</v>
      </c>
      <c r="D246" t="str">
        <f>'Long-form'!D246</f>
        <v>N_PRD</v>
      </c>
      <c r="E246" s="55">
        <f>'Long-form'!E246</f>
        <v>23.033333333333335</v>
      </c>
      <c r="F246" s="55">
        <f>'Long-form'!F246</f>
        <v>113.01666666666667</v>
      </c>
      <c r="G246" t="str">
        <f>'Long-form'!G246</f>
        <v>1 = Radiocarbon</v>
      </c>
      <c r="H246" s="56">
        <f>'Long-form'!H246</f>
        <v>6538.8105623511892</v>
      </c>
      <c r="I246" s="56">
        <f>'Long-form'!I246</f>
        <v>197.39434918585735</v>
      </c>
      <c r="J246" s="56">
        <f>'Long-form'!J246</f>
        <v>7421</v>
      </c>
      <c r="K246" s="56">
        <f>'Long-form'!K246</f>
        <v>366</v>
      </c>
      <c r="L246" s="56">
        <f>'Long-form'!L246</f>
        <v>432</v>
      </c>
      <c r="M246" s="56" t="str">
        <f>'Long-form'!Q246</f>
        <v>transgressive</v>
      </c>
      <c r="N246" s="55">
        <f>'Long-form'!R246</f>
        <v>3.9</v>
      </c>
      <c r="O246" s="55">
        <f>'Long-form'!S246</f>
        <v>0</v>
      </c>
      <c r="P246" s="55">
        <f>'Long-form'!T246</f>
        <v>1</v>
      </c>
      <c r="Q246" s="55">
        <f>'Long-form'!AM246</f>
        <v>-3.8</v>
      </c>
      <c r="R246" s="55" t="str">
        <f>'Long-form'!AN246</f>
        <v>YSD</v>
      </c>
      <c r="S246" s="55">
        <f>'Long-form'!AP246</f>
        <v>0.53961467733930291</v>
      </c>
      <c r="T246" s="55">
        <f>'Long-form'!AQ246</f>
        <v>0.53961467733930291</v>
      </c>
      <c r="U246" t="str">
        <f>'Long-form'!BC246</f>
        <v xml:space="preserve">-1 </v>
      </c>
      <c r="V246" t="str">
        <f>'Long-form'!BD246</f>
        <v>5 = Sedimentary (e.g., deltaic, estuarine, wetland, lacustrine, marine facies)</v>
      </c>
      <c r="W246" t="str">
        <f>'Long-form'!BE246</f>
        <v>Lagoon deposit</v>
      </c>
      <c r="X246" t="str">
        <f>'Long-form'!BF246</f>
        <v>sediment texture, leave fragments, mollusc fossil</v>
      </c>
      <c r="Y246" t="str">
        <f>'Long-form'!BH246</f>
        <v>&lt;HAT</v>
      </c>
      <c r="Z246" s="55">
        <f>'Long-form'!BT246</f>
        <v>-5.479212897</v>
      </c>
      <c r="AA246" s="55">
        <f>'Long-form'!BU246</f>
        <v>0.56884444270819767</v>
      </c>
      <c r="AB246" s="55">
        <f>'Long-form'!BV246</f>
        <v>0.56884444270819767</v>
      </c>
      <c r="AC246" s="55" t="str">
        <f>'Long-form'!BW246</f>
        <v>nd</v>
      </c>
      <c r="AD246" s="55" t="str">
        <f>'Long-form'!BX246</f>
        <v>nd</v>
      </c>
      <c r="AE246" s="55" t="str">
        <f>'Long-form'!BY246</f>
        <v>nd</v>
      </c>
      <c r="AF246" t="str">
        <f>'Long-form'!BZ246</f>
        <v>nd</v>
      </c>
      <c r="AG246">
        <f>'Long-form'!CB246</f>
        <v>0</v>
      </c>
      <c r="AH246">
        <f>'Long-form'!CD246</f>
        <v>0</v>
      </c>
    </row>
    <row r="247" spans="1:34">
      <c r="A247" t="str">
        <f>'Long-form'!A247</f>
        <v>NHLJ1</v>
      </c>
      <c r="B247" t="str">
        <f>'Long-form'!B247</f>
        <v>Zeng 1981; Huang et al. 1986; Li et al. 1991</v>
      </c>
      <c r="C247" t="str">
        <f>'Long-form'!C247</f>
        <v>9a</v>
      </c>
      <c r="D247" t="str">
        <f>'Long-form'!D247</f>
        <v>N_PRD</v>
      </c>
      <c r="E247" s="55">
        <f>'Long-form'!E247</f>
        <v>22.827369999999998</v>
      </c>
      <c r="F247" s="55">
        <f>'Long-form'!F247</f>
        <v>113.00008</v>
      </c>
      <c r="G247" t="str">
        <f>'Long-form'!G247</f>
        <v>1 = Radiocarbon</v>
      </c>
      <c r="H247" s="56">
        <f>'Long-form'!H247</f>
        <v>7375.6818647162481</v>
      </c>
      <c r="I247" s="56">
        <f>'Long-form'!I247</f>
        <v>152.80067802205591</v>
      </c>
      <c r="J247" s="56">
        <f>'Long-form'!J247</f>
        <v>7676</v>
      </c>
      <c r="K247" s="56">
        <f>'Long-form'!K247</f>
        <v>339</v>
      </c>
      <c r="L247" s="56">
        <f>'Long-form'!L247</f>
        <v>348</v>
      </c>
      <c r="M247" s="56" t="str">
        <f>'Long-form'!Q247</f>
        <v>regressive</v>
      </c>
      <c r="N247" s="55">
        <f>'Long-form'!R247</f>
        <v>13.9</v>
      </c>
      <c r="O247" s="55" t="str">
        <f>'Long-form'!S247</f>
        <v>nd</v>
      </c>
      <c r="P247" s="55">
        <f>'Long-form'!T247</f>
        <v>1</v>
      </c>
      <c r="Q247" s="55">
        <f>'Long-form'!AM247</f>
        <v>-0.2</v>
      </c>
      <c r="R247" s="55" t="str">
        <f>'Long-form'!AN247</f>
        <v>YSD</v>
      </c>
      <c r="S247" s="55">
        <f>'Long-form'!AP247</f>
        <v>0.5148786264742401</v>
      </c>
      <c r="T247" s="55">
        <f>'Long-form'!AQ247</f>
        <v>0.5148786264742401</v>
      </c>
      <c r="U247" t="str">
        <f>'Long-form'!BC247</f>
        <v xml:space="preserve">-1 </v>
      </c>
      <c r="V247" t="str">
        <f>'Long-form'!BD247</f>
        <v>5 = Sedimentary (e.g., deltaic, estuarine, wetland, lacustrine, marine facies)</v>
      </c>
      <c r="W247" t="str">
        <f>'Long-form'!BE247</f>
        <v>Oyster shell layer</v>
      </c>
      <c r="X247" t="str">
        <f>'Long-form'!BF247</f>
        <v>author interpretation only</v>
      </c>
      <c r="Y247" t="str">
        <f>'Long-form'!BH247</f>
        <v>&lt;MTL</v>
      </c>
      <c r="Z247" s="55">
        <f>'Long-form'!BT247</f>
        <v>-0.16767406700000001</v>
      </c>
      <c r="AA247" s="55">
        <f>'Long-form'!BU247</f>
        <v>0.51730068625510262</v>
      </c>
      <c r="AB247" s="55">
        <f>'Long-form'!BV247</f>
        <v>0.51730068625510262</v>
      </c>
      <c r="AC247" s="55" t="str">
        <f>'Long-form'!BW247</f>
        <v>nd</v>
      </c>
      <c r="AD247" s="55" t="str">
        <f>'Long-form'!BX247</f>
        <v>nd</v>
      </c>
      <c r="AE247" s="55" t="str">
        <f>'Long-form'!BY247</f>
        <v>nd</v>
      </c>
      <c r="AF247" t="str">
        <f>'Long-form'!BZ247</f>
        <v>nd</v>
      </c>
      <c r="AG247">
        <f>'Long-form'!CB247</f>
        <v>0</v>
      </c>
      <c r="AH247">
        <f>'Long-form'!CD247</f>
        <v>0</v>
      </c>
    </row>
    <row r="248" spans="1:34">
      <c r="A248" t="str">
        <f>'Long-form'!A248</f>
        <v>ZK-543</v>
      </c>
      <c r="B248" t="str">
        <f>'Long-form'!B248</f>
        <v>Xiong et al. 2020</v>
      </c>
      <c r="C248" t="str">
        <f>'Long-form'!C248</f>
        <v>9a</v>
      </c>
      <c r="D248" t="str">
        <f>'Long-form'!D248</f>
        <v>N_PRD</v>
      </c>
      <c r="E248" s="55">
        <f>'Long-form'!E248</f>
        <v>22.9548617477449</v>
      </c>
      <c r="F248" s="55">
        <f>'Long-form'!F248</f>
        <v>112.970379965737</v>
      </c>
      <c r="G248" t="str">
        <f>'Long-form'!G248</f>
        <v>1 = Radiocarbon</v>
      </c>
      <c r="H248" s="56">
        <f>'Long-form'!H248</f>
        <v>5295.6818647162481</v>
      </c>
      <c r="I248" s="56">
        <f>'Long-form'!I248</f>
        <v>111.00922125661452</v>
      </c>
      <c r="J248" s="56">
        <f>'Long-form'!J248</f>
        <v>5478</v>
      </c>
      <c r="K248" s="56">
        <f>'Long-form'!K248</f>
        <v>346</v>
      </c>
      <c r="L248" s="56">
        <f>'Long-form'!L248</f>
        <v>339</v>
      </c>
      <c r="M248" s="56" t="str">
        <f>'Long-form'!Q248</f>
        <v>transgressive</v>
      </c>
      <c r="N248" s="55" t="str">
        <f>'Long-form'!R248</f>
        <v>nd</v>
      </c>
      <c r="O248" s="55" t="str">
        <f>'Long-form'!S248</f>
        <v>nd</v>
      </c>
      <c r="P248" s="55">
        <f>'Long-form'!T248</f>
        <v>1</v>
      </c>
      <c r="Q248" s="55">
        <f>'Long-form'!AM248</f>
        <v>2.75</v>
      </c>
      <c r="R248" s="55" t="str">
        <f>'Long-form'!AN248</f>
        <v>YSD</v>
      </c>
      <c r="S248" s="55">
        <f>'Long-form'!AP248</f>
        <v>3.2510306058233289</v>
      </c>
      <c r="T248" s="55">
        <f>'Long-form'!AQ248</f>
        <v>3.2510306058233289</v>
      </c>
      <c r="U248" t="str">
        <f>'Long-form'!BC248</f>
        <v xml:space="preserve">1 </v>
      </c>
      <c r="V248" t="str">
        <f>'Long-form'!BD248</f>
        <v>4 = Archeological</v>
      </c>
      <c r="W248" t="str">
        <f>'Long-form'!BE248</f>
        <v>Shell mount</v>
      </c>
      <c r="X248" t="str">
        <f>'Long-form'!BF248</f>
        <v>Archaeology</v>
      </c>
      <c r="Y248" t="str">
        <f>'Long-form'!BH248</f>
        <v>&gt;MHHW</v>
      </c>
      <c r="Z248" s="55">
        <f>'Long-form'!BT248</f>
        <v>1.9148571990000001</v>
      </c>
      <c r="AA248" s="55">
        <f>'Long-form'!BU248</f>
        <v>3.2806706631419131</v>
      </c>
      <c r="AB248" s="55">
        <f>'Long-form'!BV248</f>
        <v>3.2806706631419131</v>
      </c>
      <c r="AC248" s="55" t="str">
        <f>'Long-form'!BW248</f>
        <v>nd</v>
      </c>
      <c r="AD248" s="55" t="str">
        <f>'Long-form'!BX248</f>
        <v>nd</v>
      </c>
      <c r="AE248" s="55" t="str">
        <f>'Long-form'!BY248</f>
        <v>nd</v>
      </c>
      <c r="AF248" t="str">
        <f>'Long-form'!BZ248</f>
        <v>nd</v>
      </c>
      <c r="AG248">
        <f>'Long-form'!CB248</f>
        <v>0</v>
      </c>
      <c r="AH248">
        <f>'Long-form'!CD248</f>
        <v>0</v>
      </c>
    </row>
    <row r="249" spans="1:34">
      <c r="A249" t="str">
        <f>'Long-form'!A249</f>
        <v>ZK-544</v>
      </c>
      <c r="B249" t="str">
        <f>'Long-form'!B249</f>
        <v>Xiong et al. 2020</v>
      </c>
      <c r="C249" t="str">
        <f>'Long-form'!C249</f>
        <v>9a</v>
      </c>
      <c r="D249" t="str">
        <f>'Long-form'!D249</f>
        <v>N_PRD</v>
      </c>
      <c r="E249" s="55">
        <f>'Long-form'!E249</f>
        <v>22.9548617477449</v>
      </c>
      <c r="F249" s="55">
        <f>'Long-form'!F249</f>
        <v>112.970379965737</v>
      </c>
      <c r="G249" t="str">
        <f>'Long-form'!G249</f>
        <v>1 = Radiocarbon</v>
      </c>
      <c r="H249" s="56">
        <f>'Long-form'!H249</f>
        <v>5700.6818647162499</v>
      </c>
      <c r="I249" s="56">
        <f>'Long-form'!I249</f>
        <v>111.00922125661452</v>
      </c>
      <c r="J249" s="56">
        <f>'Long-form'!J249</f>
        <v>5917</v>
      </c>
      <c r="K249" s="56">
        <f>'Long-form'!K249</f>
        <v>307</v>
      </c>
      <c r="L249" s="56">
        <f>'Long-form'!L249</f>
        <v>322</v>
      </c>
      <c r="M249" s="56" t="str">
        <f>'Long-form'!Q249</f>
        <v>transgressive</v>
      </c>
      <c r="N249" s="55" t="str">
        <f>'Long-form'!R249</f>
        <v>nd</v>
      </c>
      <c r="O249" s="55" t="str">
        <f>'Long-form'!S249</f>
        <v>nd</v>
      </c>
      <c r="P249" s="55">
        <f>'Long-form'!T249</f>
        <v>1</v>
      </c>
      <c r="Q249" s="55">
        <f>'Long-form'!AM249</f>
        <v>2.75</v>
      </c>
      <c r="R249" s="55" t="str">
        <f>'Long-form'!AN249</f>
        <v>YSD</v>
      </c>
      <c r="S249" s="55">
        <f>'Long-form'!AP249</f>
        <v>3.2510306058233289</v>
      </c>
      <c r="T249" s="55">
        <f>'Long-form'!AQ249</f>
        <v>3.2510306058233289</v>
      </c>
      <c r="U249" t="str">
        <f>'Long-form'!BC249</f>
        <v xml:space="preserve">1 </v>
      </c>
      <c r="V249" t="str">
        <f>'Long-form'!BD249</f>
        <v>4 = Archeological</v>
      </c>
      <c r="W249" t="str">
        <f>'Long-form'!BE249</f>
        <v>Shell mount</v>
      </c>
      <c r="X249" t="str">
        <f>'Long-form'!BF249</f>
        <v>Archaeology</v>
      </c>
      <c r="Y249" t="str">
        <f>'Long-form'!BH249</f>
        <v>&gt;MHHW</v>
      </c>
      <c r="Z249" s="55">
        <f>'Long-form'!BT249</f>
        <v>1.9148571990000001</v>
      </c>
      <c r="AA249" s="55">
        <f>'Long-form'!BU249</f>
        <v>3.2806706631419131</v>
      </c>
      <c r="AB249" s="55">
        <f>'Long-form'!BV249</f>
        <v>3.2806706631419131</v>
      </c>
      <c r="AC249" s="55" t="str">
        <f>'Long-form'!BW249</f>
        <v>nd</v>
      </c>
      <c r="AD249" s="55" t="str">
        <f>'Long-form'!BX249</f>
        <v>nd</v>
      </c>
      <c r="AE249" s="55" t="str">
        <f>'Long-form'!BY249</f>
        <v>nd</v>
      </c>
      <c r="AF249" t="str">
        <f>'Long-form'!BZ249</f>
        <v>nd</v>
      </c>
      <c r="AG249">
        <f>'Long-form'!CB249</f>
        <v>0</v>
      </c>
      <c r="AH249">
        <f>'Long-form'!CD249</f>
        <v>0</v>
      </c>
    </row>
    <row r="250" spans="1:34">
      <c r="A250" t="str">
        <f>'Long-form'!A250</f>
        <v>Huang8304</v>
      </c>
      <c r="B250" t="str">
        <f>'Long-form'!B250</f>
        <v>Huang et al. 1982; Li et al 1991</v>
      </c>
      <c r="C250" t="str">
        <f>'Long-form'!C250</f>
        <v>9a</v>
      </c>
      <c r="D250" t="str">
        <f>'Long-form'!D250</f>
        <v>N_PRD</v>
      </c>
      <c r="E250" s="55">
        <f>'Long-form'!E250</f>
        <v>22.92</v>
      </c>
      <c r="F250" s="55">
        <f>'Long-form'!F250</f>
        <v>112.96</v>
      </c>
      <c r="G250" t="str">
        <f>'Long-form'!G250</f>
        <v>1 = Radiocarbon</v>
      </c>
      <c r="H250" s="56">
        <f>'Long-form'!H250</f>
        <v>6255.681864716249</v>
      </c>
      <c r="I250" s="56">
        <f>'Long-form'!I250</f>
        <v>106.52721344332629</v>
      </c>
      <c r="J250" s="56">
        <f>'Long-form'!J250</f>
        <v>6513</v>
      </c>
      <c r="K250" s="56">
        <f>'Long-form'!K250</f>
        <v>319</v>
      </c>
      <c r="L250" s="56">
        <f>'Long-form'!L250</f>
        <v>301</v>
      </c>
      <c r="M250" s="56" t="str">
        <f>'Long-form'!Q250</f>
        <v>regressive</v>
      </c>
      <c r="N250" s="55">
        <f>'Long-form'!R250</f>
        <v>3</v>
      </c>
      <c r="O250" s="55">
        <f>'Long-form'!S250</f>
        <v>20</v>
      </c>
      <c r="P250" s="55">
        <f>'Long-form'!T250</f>
        <v>1</v>
      </c>
      <c r="Q250" s="55">
        <f>'Long-form'!AM250</f>
        <v>-1.4</v>
      </c>
      <c r="R250" s="55" t="str">
        <f>'Long-form'!AN250</f>
        <v>YSD</v>
      </c>
      <c r="S250" s="55">
        <f>'Long-form'!AP250</f>
        <v>0.53730810528038753</v>
      </c>
      <c r="T250" s="55">
        <f>'Long-form'!AQ250</f>
        <v>0.53730810528038753</v>
      </c>
      <c r="U250" t="str">
        <f>'Long-form'!BC250</f>
        <v>-1</v>
      </c>
      <c r="V250" t="str">
        <f>'Long-form'!BD250</f>
        <v>5 = Sedimentary (e.g., deltaic, estuarine, wetland, lacustrine, marine facies)</v>
      </c>
      <c r="W250" t="str">
        <f>'Long-form'!BE250</f>
        <v>Subtidal deposit</v>
      </c>
      <c r="X250" t="str">
        <f>'Long-form'!BF250</f>
        <v>Bivalve fossil Meretrix lusoria</v>
      </c>
      <c r="Y250" t="str">
        <f>'Long-form'!BH250</f>
        <v>&lt;MTL</v>
      </c>
      <c r="Z250" s="55">
        <f>'Long-form'!BT250</f>
        <v>-1.370655121</v>
      </c>
      <c r="AA250" s="55">
        <f>'Long-form'!BU250</f>
        <v>0.53962950252928166</v>
      </c>
      <c r="AB250" s="55">
        <f>'Long-form'!BV250</f>
        <v>0.53962950252928166</v>
      </c>
      <c r="AC250" s="55" t="str">
        <f>'Long-form'!BW250</f>
        <v>nd</v>
      </c>
      <c r="AD250" s="55" t="str">
        <f>'Long-form'!BX250</f>
        <v>nd</v>
      </c>
      <c r="AE250" s="55" t="str">
        <f>'Long-form'!BY250</f>
        <v>nd</v>
      </c>
      <c r="AF250" t="str">
        <f>'Long-form'!BZ250</f>
        <v>nd</v>
      </c>
      <c r="AG250">
        <f>'Long-form'!CB250</f>
        <v>1</v>
      </c>
      <c r="AH250">
        <f>'Long-form'!CD250</f>
        <v>0</v>
      </c>
    </row>
    <row r="251" spans="1:34">
      <c r="A251" t="str">
        <f>'Long-form'!A251</f>
        <v>GZ4141</v>
      </c>
      <c r="B251" t="str">
        <f>'Long-form'!B251</f>
        <v>Zong et al 2013</v>
      </c>
      <c r="C251" t="str">
        <f>'Long-form'!C251</f>
        <v>9a</v>
      </c>
      <c r="D251" t="str">
        <f>'Long-form'!D251</f>
        <v>N_PRD</v>
      </c>
      <c r="E251" s="55">
        <f>'Long-form'!E251</f>
        <v>23.087499999999999</v>
      </c>
      <c r="F251" s="55">
        <f>'Long-form'!F251</f>
        <v>112.9342</v>
      </c>
      <c r="G251" t="str">
        <f>'Long-form'!G251</f>
        <v>1 = Radiocarbon</v>
      </c>
      <c r="H251" s="56">
        <f>'Long-form'!H251</f>
        <v>2090</v>
      </c>
      <c r="I251" s="56">
        <f>'Long-form'!I251</f>
        <v>20</v>
      </c>
      <c r="J251" s="56">
        <f>'Long-form'!J251</f>
        <v>2048</v>
      </c>
      <c r="K251" s="56">
        <f>'Long-form'!K251</f>
        <v>66</v>
      </c>
      <c r="L251" s="56">
        <f>'Long-form'!L251</f>
        <v>52</v>
      </c>
      <c r="M251" s="56" t="str">
        <f>'Long-form'!Q251</f>
        <v>transgressive</v>
      </c>
      <c r="N251" s="55">
        <f>'Long-form'!R251</f>
        <v>1.82</v>
      </c>
      <c r="O251" s="55" t="str">
        <f>'Long-form'!S251</f>
        <v>nd</v>
      </c>
      <c r="P251" s="55">
        <f>'Long-form'!T251</f>
        <v>1</v>
      </c>
      <c r="Q251" s="55">
        <f>'Long-form'!AM251</f>
        <v>2.58</v>
      </c>
      <c r="R251" s="55" t="str">
        <f>'Long-form'!AN251</f>
        <v>YSD</v>
      </c>
      <c r="S251" s="55">
        <f>'Long-form'!AP251</f>
        <v>0.53343224499461972</v>
      </c>
      <c r="T251" s="55">
        <f>'Long-form'!AQ251</f>
        <v>0.53343224499461972</v>
      </c>
      <c r="U251" t="str">
        <f>'Long-form'!BC251</f>
        <v>1</v>
      </c>
      <c r="V251" t="str">
        <f>'Long-form'!BD251</f>
        <v>5 = Sedimentary (e.g., deltaic, estuarine, wetland, lacustrine, marine facies)</v>
      </c>
      <c r="W251" t="str">
        <f>'Long-form'!BE251</f>
        <v>Flood plain deposit</v>
      </c>
      <c r="X251" t="str">
        <f>'Long-form'!BF251</f>
        <v>Termination of bracksih diatom occurance, stable carbon isotope</v>
      </c>
      <c r="Y251" t="str">
        <f>'Long-form'!BH251</f>
        <v>&gt;MTL</v>
      </c>
      <c r="Z251" s="55">
        <f>'Long-form'!BT251</f>
        <v>2.6079688729999999</v>
      </c>
      <c r="AA251" s="55">
        <f>'Long-form'!BU251</f>
        <v>0.53577043591448759</v>
      </c>
      <c r="AB251" s="55">
        <f>'Long-form'!BV251</f>
        <v>0.53577043591448759</v>
      </c>
      <c r="AC251" s="55" t="str">
        <f>'Long-form'!BW251</f>
        <v>nd</v>
      </c>
      <c r="AD251" s="55" t="str">
        <f>'Long-form'!BX251</f>
        <v>nd</v>
      </c>
      <c r="AE251" s="55" t="str">
        <f>'Long-form'!BY251</f>
        <v>nd</v>
      </c>
      <c r="AF251" t="str">
        <f>'Long-form'!BZ251</f>
        <v>nd</v>
      </c>
      <c r="AG251">
        <f>'Long-form'!CB251</f>
        <v>0</v>
      </c>
      <c r="AH251">
        <f>'Long-form'!CD251</f>
        <v>0</v>
      </c>
    </row>
    <row r="252" spans="1:34">
      <c r="A252" t="str">
        <f>'Long-form'!A252</f>
        <v>GZ4142</v>
      </c>
      <c r="B252" t="str">
        <f>'Long-form'!B252</f>
        <v>Zong et al 2013</v>
      </c>
      <c r="C252" t="str">
        <f>'Long-form'!C252</f>
        <v>9a</v>
      </c>
      <c r="D252" t="str">
        <f>'Long-form'!D252</f>
        <v>N_PRD</v>
      </c>
      <c r="E252" s="55">
        <f>'Long-form'!E252</f>
        <v>23.087499999999999</v>
      </c>
      <c r="F252" s="55">
        <f>'Long-form'!F252</f>
        <v>112.9342</v>
      </c>
      <c r="G252" t="str">
        <f>'Long-form'!G252</f>
        <v>1 = Radiocarbon</v>
      </c>
      <c r="H252" s="56">
        <f>'Long-form'!H252</f>
        <v>2210</v>
      </c>
      <c r="I252" s="56">
        <f>'Long-form'!I252</f>
        <v>25</v>
      </c>
      <c r="J252" s="56">
        <f>'Long-form'!J252</f>
        <v>2230</v>
      </c>
      <c r="K252" s="56">
        <f>'Long-form'!K252</f>
        <v>90</v>
      </c>
      <c r="L252" s="56">
        <f>'Long-form'!L252</f>
        <v>102</v>
      </c>
      <c r="M252" s="56" t="str">
        <f>'Long-form'!Q252</f>
        <v>transgressive</v>
      </c>
      <c r="N252" s="55">
        <f>'Long-form'!R252</f>
        <v>3.54</v>
      </c>
      <c r="O252" s="55" t="str">
        <f>'Long-form'!S252</f>
        <v>nd</v>
      </c>
      <c r="P252" s="55">
        <f>'Long-form'!T252</f>
        <v>1</v>
      </c>
      <c r="Q252" s="55">
        <f>'Long-form'!AM252</f>
        <v>0.86000000000000032</v>
      </c>
      <c r="R252" s="55" t="str">
        <f>'Long-form'!AN252</f>
        <v>YSD</v>
      </c>
      <c r="S252" s="55">
        <f>'Long-form'!AP252</f>
        <v>0.53631859934184645</v>
      </c>
      <c r="T252" s="55">
        <f>'Long-form'!AQ252</f>
        <v>0.53631859934184645</v>
      </c>
      <c r="U252" t="str">
        <f>'Long-form'!BC252</f>
        <v>1</v>
      </c>
      <c r="V252" t="str">
        <f>'Long-form'!BD252</f>
        <v>5 = Sedimentary (e.g., deltaic, estuarine, wetland, lacustrine, marine facies)</v>
      </c>
      <c r="W252" t="str">
        <f>'Long-form'!BE252</f>
        <v>Freshwater swamp deposit</v>
      </c>
      <c r="X252" t="str">
        <f>'Long-form'!BF252</f>
        <v>Glyptostrobus pensilis</v>
      </c>
      <c r="Y252" t="str">
        <f>'Long-form'!BH252</f>
        <v>&gt;MTL</v>
      </c>
      <c r="Z252" s="55">
        <f>'Long-form'!BT252</f>
        <v>0.88796887300000027</v>
      </c>
      <c r="AA252" s="55">
        <f>'Long-form'!BU252</f>
        <v>0.53864426108518049</v>
      </c>
      <c r="AB252" s="55">
        <f>'Long-form'!BV252</f>
        <v>0.53864426108518049</v>
      </c>
      <c r="AC252" s="55" t="str">
        <f>'Long-form'!BW252</f>
        <v>nd</v>
      </c>
      <c r="AD252" s="55" t="str">
        <f>'Long-form'!BX252</f>
        <v>nd</v>
      </c>
      <c r="AE252" s="55" t="str">
        <f>'Long-form'!BY252</f>
        <v>nd</v>
      </c>
      <c r="AF252" t="str">
        <f>'Long-form'!BZ252</f>
        <v>nd</v>
      </c>
      <c r="AG252">
        <f>'Long-form'!CB252</f>
        <v>0</v>
      </c>
      <c r="AH252">
        <f>'Long-form'!CD252</f>
        <v>0</v>
      </c>
    </row>
    <row r="253" spans="1:34">
      <c r="A253" t="str">
        <f>'Long-form'!A253</f>
        <v>KWG-15</v>
      </c>
      <c r="B253" t="str">
        <f>'Long-form'!B253</f>
        <v>Li et al 1982; Zong 2004</v>
      </c>
      <c r="C253" t="str">
        <f>'Long-form'!C253</f>
        <v>9a</v>
      </c>
      <c r="D253" t="str">
        <f>'Long-form'!D253</f>
        <v>N_PRD</v>
      </c>
      <c r="E253" s="55">
        <f>'Long-form'!E253</f>
        <v>23.44</v>
      </c>
      <c r="F253" s="55">
        <f>'Long-form'!F253</f>
        <v>112.93</v>
      </c>
      <c r="G253" t="str">
        <f>'Long-form'!G253</f>
        <v>1 = Radiocarbon</v>
      </c>
      <c r="H253" s="56">
        <f>'Long-form'!H253</f>
        <v>2301.2776368064237</v>
      </c>
      <c r="I253" s="56">
        <f>'Long-form'!I253</f>
        <v>110.42156441637657</v>
      </c>
      <c r="J253" s="56">
        <f>'Long-form'!J253</f>
        <v>2323</v>
      </c>
      <c r="K253" s="56">
        <f>'Long-form'!K253</f>
        <v>382</v>
      </c>
      <c r="L253" s="56">
        <f>'Long-form'!L253</f>
        <v>316</v>
      </c>
      <c r="M253" s="56" t="str">
        <f>'Long-form'!Q253</f>
        <v>regressive</v>
      </c>
      <c r="N253" s="55" t="str">
        <f>'Long-form'!R253</f>
        <v>nd</v>
      </c>
      <c r="O253" s="55" t="str">
        <f>'Long-form'!S253</f>
        <v>nd</v>
      </c>
      <c r="P253" s="55">
        <f>'Long-form'!T253</f>
        <v>1</v>
      </c>
      <c r="Q253" s="55">
        <f>'Long-form'!AM253</f>
        <v>0.3</v>
      </c>
      <c r="R253" s="55" t="str">
        <f>'Long-form'!AN253</f>
        <v>YSD</v>
      </c>
      <c r="S253" s="55">
        <f>'Long-form'!AP253</f>
        <v>0.5148786264742401</v>
      </c>
      <c r="T253" s="55">
        <f>'Long-form'!AQ253</f>
        <v>0.5148786264742401</v>
      </c>
      <c r="U253" t="str">
        <f>'Long-form'!BC253</f>
        <v>1</v>
      </c>
      <c r="V253" t="str">
        <f>'Long-form'!BD253</f>
        <v>5 = Sedimentary (e.g., deltaic, estuarine, wetland, lacustrine, marine facies)</v>
      </c>
      <c r="W253" t="str">
        <f>'Long-form'!BE253</f>
        <v>Freshwater swamp deposit</v>
      </c>
      <c r="X253" t="str">
        <f>'Long-form'!BF253</f>
        <v xml:space="preserve">Glyptostrobus pensilis (freshwater Pine) wood macrofossils </v>
      </c>
      <c r="Y253" t="str">
        <f>'Long-form'!BH253</f>
        <v>&gt;MTL</v>
      </c>
      <c r="Z253" s="55">
        <f>'Long-form'!BT253</f>
        <v>0.339434287</v>
      </c>
      <c r="AA253" s="55">
        <f>'Long-form'!BU253</f>
        <v>0.51730068625510262</v>
      </c>
      <c r="AB253" s="55">
        <f>'Long-form'!BV253</f>
        <v>0.51730068625510262</v>
      </c>
      <c r="AC253" s="55" t="str">
        <f>'Long-form'!BW253</f>
        <v>nd</v>
      </c>
      <c r="AD253" s="55" t="str">
        <f>'Long-form'!BX253</f>
        <v>nd</v>
      </c>
      <c r="AE253" s="55" t="str">
        <f>'Long-form'!BY253</f>
        <v>nd</v>
      </c>
      <c r="AF253" t="str">
        <f>'Long-form'!BZ253</f>
        <v>nd</v>
      </c>
      <c r="AG253">
        <f>'Long-form'!CB253</f>
        <v>0</v>
      </c>
      <c r="AH253">
        <f>'Long-form'!CD253</f>
        <v>0</v>
      </c>
    </row>
    <row r="254" spans="1:34">
      <c r="A254" t="str">
        <f>'Long-form'!A254</f>
        <v>Beta-289664</v>
      </c>
      <c r="B254" t="str">
        <f>'Long-form'!B254</f>
        <v>Zong et al 2013</v>
      </c>
      <c r="C254" t="str">
        <f>'Long-form'!C254</f>
        <v>9a</v>
      </c>
      <c r="D254" t="str">
        <f>'Long-form'!D254</f>
        <v>N_PRD</v>
      </c>
      <c r="E254" s="55">
        <f>'Long-form'!E254</f>
        <v>23.168099999999999</v>
      </c>
      <c r="F254" s="55">
        <f>'Long-form'!F254</f>
        <v>112.8417</v>
      </c>
      <c r="G254" t="str">
        <f>'Long-form'!G254</f>
        <v>1 = Radiocarbon</v>
      </c>
      <c r="H254" s="56">
        <f>'Long-form'!H254</f>
        <v>7690</v>
      </c>
      <c r="I254" s="56">
        <f>'Long-form'!I254</f>
        <v>107.70329614269008</v>
      </c>
      <c r="J254" s="56">
        <f>'Long-form'!J254</f>
        <v>8489</v>
      </c>
      <c r="K254" s="56">
        <f>'Long-form'!K254</f>
        <v>282</v>
      </c>
      <c r="L254" s="56">
        <f>'Long-form'!L254</f>
        <v>282</v>
      </c>
      <c r="M254" s="56" t="str">
        <f>'Long-form'!Q254</f>
        <v>transgressive</v>
      </c>
      <c r="N254" s="55">
        <f>'Long-form'!R254</f>
        <v>7.3</v>
      </c>
      <c r="O254" s="55" t="str">
        <f>'Long-form'!S254</f>
        <v>nd</v>
      </c>
      <c r="P254" s="55">
        <f>'Long-form'!T254</f>
        <v>1</v>
      </c>
      <c r="Q254" s="55">
        <f>'Long-form'!AM254</f>
        <v>-2.5</v>
      </c>
      <c r="R254" s="55" t="str">
        <f>'Long-form'!AN254</f>
        <v>YSD</v>
      </c>
      <c r="S254" s="55">
        <f>'Long-form'!AP254</f>
        <v>0.55185233532168732</v>
      </c>
      <c r="T254" s="55">
        <f>'Long-form'!AQ254</f>
        <v>0.55185233532168732</v>
      </c>
      <c r="U254" t="str">
        <f>'Long-form'!BC254</f>
        <v>0</v>
      </c>
      <c r="V254" t="str">
        <f>'Long-form'!BD254</f>
        <v>5 = Sedimentary (e.g., deltaic, estuarine, wetland, lacustrine, marine facies)</v>
      </c>
      <c r="W254" t="str">
        <f>'Long-form'!BE254</f>
        <v>Tidal flat deposit</v>
      </c>
      <c r="X254" t="str">
        <f>'Long-form'!BF254</f>
        <v>Diatom assemblage</v>
      </c>
      <c r="Y254" t="str">
        <f>'Long-form'!BH254</f>
        <v>HAT-LAT</v>
      </c>
      <c r="Z254" s="55">
        <f>'Long-form'!BT254</f>
        <v>-2.625555844</v>
      </c>
      <c r="AA254" s="55">
        <f>'Long-form'!BU254</f>
        <v>1.74612960885391</v>
      </c>
      <c r="AB254" s="55">
        <f>'Long-form'!BV254</f>
        <v>1.74612960885391</v>
      </c>
      <c r="AC254" s="55" t="str">
        <f>'Long-form'!BW254</f>
        <v>nd</v>
      </c>
      <c r="AD254" s="55" t="str">
        <f>'Long-form'!BX254</f>
        <v>nd</v>
      </c>
      <c r="AE254" s="55" t="str">
        <f>'Long-form'!BY254</f>
        <v>nd</v>
      </c>
      <c r="AF254" t="str">
        <f>'Long-form'!BZ254</f>
        <v>nd</v>
      </c>
      <c r="AG254">
        <f>'Long-form'!CB254</f>
        <v>0</v>
      </c>
      <c r="AH254">
        <f>'Long-form'!CD254</f>
        <v>0</v>
      </c>
    </row>
    <row r="255" spans="1:34">
      <c r="A255" t="str">
        <f>'Long-form'!A255</f>
        <v>Beta-201319</v>
      </c>
      <c r="B255" t="str">
        <f>'Long-form'!B255</f>
        <v>Zong et al. 2013; Xiong et al 2018</v>
      </c>
      <c r="C255" t="str">
        <f>'Long-form'!C255</f>
        <v>9a</v>
      </c>
      <c r="D255" t="str">
        <f>'Long-form'!D255</f>
        <v>N_PRD</v>
      </c>
      <c r="E255" s="55">
        <f>'Long-form'!E255</f>
        <v>23.168056</v>
      </c>
      <c r="F255" s="55">
        <f>'Long-form'!F255</f>
        <v>112.841667</v>
      </c>
      <c r="G255" t="str">
        <f>'Long-form'!G255</f>
        <v>1 = Radiocarbon</v>
      </c>
      <c r="H255" s="56">
        <f>'Long-form'!H255</f>
        <v>4800</v>
      </c>
      <c r="I255" s="56">
        <f>'Long-form'!I255</f>
        <v>107.70329614269008</v>
      </c>
      <c r="J255" s="56">
        <f>'Long-form'!J255</f>
        <v>5517</v>
      </c>
      <c r="K255" s="56">
        <f>'Long-form'!K255</f>
        <v>336</v>
      </c>
      <c r="L255" s="56">
        <f>'Long-form'!L255</f>
        <v>214</v>
      </c>
      <c r="M255" s="56" t="str">
        <f>'Long-form'!Q255</f>
        <v>transgressive</v>
      </c>
      <c r="N255" s="55">
        <f>'Long-form'!R255</f>
        <v>2.96</v>
      </c>
      <c r="O255" s="55">
        <f>'Long-form'!S255</f>
        <v>13.02</v>
      </c>
      <c r="P255" s="55">
        <f>'Long-form'!T255</f>
        <v>1</v>
      </c>
      <c r="Q255" s="55">
        <f>'Long-form'!AM255</f>
        <v>1.84</v>
      </c>
      <c r="R255" s="55" t="str">
        <f>'Long-form'!AN255</f>
        <v>YSD</v>
      </c>
      <c r="S255" s="55">
        <f>'Long-form'!AP255</f>
        <v>0.53547141847161184</v>
      </c>
      <c r="T255" s="55">
        <f>'Long-form'!AQ255</f>
        <v>0.53547141847161184</v>
      </c>
      <c r="U255" t="str">
        <f>'Long-form'!BC255</f>
        <v xml:space="preserve">-1 </v>
      </c>
      <c r="V255" t="str">
        <f>'Long-form'!BD255</f>
        <v>5 = Sedimentary (e.g., deltaic, estuarine, wetland, lacustrine, marine facies)</v>
      </c>
      <c r="W255" t="str">
        <f>'Long-form'!BE255</f>
        <v>Lagoon deposit</v>
      </c>
      <c r="X255" t="str">
        <f>'Long-form'!BF255</f>
        <v>sediment texture and diatom assemblage</v>
      </c>
      <c r="Y255" t="str">
        <f>'Long-form'!BH255</f>
        <v>&lt;HAT</v>
      </c>
      <c r="Z255" s="55">
        <f>'Long-form'!BT255</f>
        <v>0.35617851899999997</v>
      </c>
      <c r="AA255" s="55">
        <f>'Long-form'!BU255</f>
        <v>0.56491560431625543</v>
      </c>
      <c r="AB255" s="55">
        <f>'Long-form'!BV255</f>
        <v>0.56491560431625543</v>
      </c>
      <c r="AC255" s="55" t="str">
        <f>'Long-form'!BW255</f>
        <v>nd</v>
      </c>
      <c r="AD255" s="55" t="str">
        <f>'Long-form'!BX255</f>
        <v>nd</v>
      </c>
      <c r="AE255" s="55" t="str">
        <f>'Long-form'!BY255</f>
        <v>nd</v>
      </c>
      <c r="AF255" t="str">
        <f>'Long-form'!BZ255</f>
        <v>nd</v>
      </c>
      <c r="AG255">
        <f>'Long-form'!CB255</f>
        <v>0</v>
      </c>
      <c r="AH255">
        <f>'Long-form'!CD255</f>
        <v>0</v>
      </c>
    </row>
    <row r="256" spans="1:34">
      <c r="A256" t="str">
        <f>'Long-form'!A256</f>
        <v>Beta-289665</v>
      </c>
      <c r="B256" t="str">
        <f>'Long-form'!B256</f>
        <v>Xiong et al 2018</v>
      </c>
      <c r="C256" t="str">
        <f>'Long-form'!C256</f>
        <v>9a</v>
      </c>
      <c r="D256" t="str">
        <f>'Long-form'!D256</f>
        <v>N_PRD</v>
      </c>
      <c r="E256" s="55">
        <f>'Long-form'!E256</f>
        <v>23.168056</v>
      </c>
      <c r="F256" s="55">
        <f>'Long-form'!F256</f>
        <v>112.841667</v>
      </c>
      <c r="G256" t="str">
        <f>'Long-form'!G256</f>
        <v>1 = Radiocarbon</v>
      </c>
      <c r="H256" s="56">
        <f>'Long-form'!H256</f>
        <v>7480</v>
      </c>
      <c r="I256" s="56">
        <f>'Long-form'!I256</f>
        <v>107.70329614269008</v>
      </c>
      <c r="J256" s="56">
        <f>'Long-form'!J256</f>
        <v>8276</v>
      </c>
      <c r="K256" s="56">
        <f>'Long-form'!K256</f>
        <v>175</v>
      </c>
      <c r="L256" s="56">
        <f>'Long-form'!L256</f>
        <v>249</v>
      </c>
      <c r="M256" s="56" t="str">
        <f>'Long-form'!Q256</f>
        <v>transgressive</v>
      </c>
      <c r="N256" s="55">
        <f>'Long-form'!R256</f>
        <v>9.83</v>
      </c>
      <c r="O256" s="55">
        <f>'Long-form'!S256</f>
        <v>6.1499999999999995</v>
      </c>
      <c r="P256" s="55">
        <f>'Long-form'!T256</f>
        <v>1</v>
      </c>
      <c r="Q256" s="55">
        <f>'Long-form'!AM256</f>
        <v>-5.03</v>
      </c>
      <c r="R256" s="55" t="str">
        <f>'Long-form'!AN256</f>
        <v>YSD</v>
      </c>
      <c r="S256" s="55">
        <f>'Long-form'!AP256</f>
        <v>0.56681263218104094</v>
      </c>
      <c r="T256" s="55">
        <f>'Long-form'!AQ256</f>
        <v>0.56681263218104094</v>
      </c>
      <c r="U256" t="str">
        <f>'Long-form'!BC256</f>
        <v>0</v>
      </c>
      <c r="V256" t="str">
        <f>'Long-form'!BD256</f>
        <v>5 = Sedimentary (e.g., deltaic, estuarine, wetland, lacustrine, marine facies)</v>
      </c>
      <c r="W256" t="str">
        <f>'Long-form'!BE256</f>
        <v>Tidal flat deposit</v>
      </c>
      <c r="X256" t="str">
        <f>'Long-form'!BF256</f>
        <v>sediment texture and diatom assemblage</v>
      </c>
      <c r="Y256" t="str">
        <f>'Long-form'!BH256</f>
        <v>HAT-LAT</v>
      </c>
      <c r="Z256" s="55">
        <f>'Long-form'!BT256</f>
        <v>-5.0539346930000004</v>
      </c>
      <c r="AA256" s="55">
        <f>'Long-form'!BU256</f>
        <v>1.6609240529800535</v>
      </c>
      <c r="AB256" s="55">
        <f>'Long-form'!BV256</f>
        <v>1.6609240529800535</v>
      </c>
      <c r="AC256" s="55" t="str">
        <f>'Long-form'!BW256</f>
        <v>nd</v>
      </c>
      <c r="AD256" s="55" t="str">
        <f>'Long-form'!BX256</f>
        <v>nd</v>
      </c>
      <c r="AE256" s="55" t="str">
        <f>'Long-form'!BY256</f>
        <v>nd</v>
      </c>
      <c r="AF256" t="str">
        <f>'Long-form'!BZ256</f>
        <v>nd</v>
      </c>
      <c r="AG256">
        <f>'Long-form'!CB256</f>
        <v>0</v>
      </c>
      <c r="AH256">
        <f>'Long-form'!CD256</f>
        <v>0</v>
      </c>
    </row>
    <row r="257" spans="1:34">
      <c r="A257" t="str">
        <f>'Long-form'!A257</f>
        <v>Beta-290247</v>
      </c>
      <c r="B257" t="str">
        <f>'Long-form'!B257</f>
        <v>Zong et al. 2013; Xiong et al 2018</v>
      </c>
      <c r="C257" t="str">
        <f>'Long-form'!C257</f>
        <v>9a</v>
      </c>
      <c r="D257" t="str">
        <f>'Long-form'!D257</f>
        <v>N_PRD</v>
      </c>
      <c r="E257" s="55">
        <f>'Long-form'!E257</f>
        <v>23.168056</v>
      </c>
      <c r="F257" s="55">
        <f>'Long-form'!F257</f>
        <v>112.841667</v>
      </c>
      <c r="G257" t="str">
        <f>'Long-form'!G257</f>
        <v>1 = Radiocarbon</v>
      </c>
      <c r="H257" s="56">
        <f>'Long-form'!H257</f>
        <v>6580</v>
      </c>
      <c r="I257" s="56">
        <f>'Long-form'!I257</f>
        <v>40</v>
      </c>
      <c r="J257" s="56">
        <f>'Long-form'!J257</f>
        <v>7479</v>
      </c>
      <c r="K257" s="56">
        <f>'Long-form'!K257</f>
        <v>87</v>
      </c>
      <c r="L257" s="56">
        <f>'Long-form'!L257</f>
        <v>53</v>
      </c>
      <c r="M257" s="56" t="str">
        <f>'Long-form'!Q257</f>
        <v>transgressive</v>
      </c>
      <c r="N257" s="55">
        <f>'Long-form'!R257</f>
        <v>6.32</v>
      </c>
      <c r="O257" s="55">
        <f>'Long-form'!S257</f>
        <v>9.66</v>
      </c>
      <c r="P257" s="55">
        <f>'Long-form'!T257</f>
        <v>1</v>
      </c>
      <c r="Q257" s="55">
        <f>'Long-form'!AM257</f>
        <v>-1.52</v>
      </c>
      <c r="R257" s="55" t="str">
        <f>'Long-form'!AN257</f>
        <v>YSD</v>
      </c>
      <c r="S257" s="55">
        <f>'Long-form'!AP257</f>
        <v>0.54644483710618041</v>
      </c>
      <c r="T257" s="55">
        <f>'Long-form'!AQ257</f>
        <v>0.54644483710618041</v>
      </c>
      <c r="U257" t="str">
        <f>'Long-form'!BC257</f>
        <v>0</v>
      </c>
      <c r="V257" t="str">
        <f>'Long-form'!BD257</f>
        <v>5 = Sedimentary (e.g., deltaic, estuarine, wetland, lacustrine, marine facies)</v>
      </c>
      <c r="W257" t="str">
        <f>'Long-form'!BE257</f>
        <v>Tidal flat deposit</v>
      </c>
      <c r="X257" t="str">
        <f>'Long-form'!BF257</f>
        <v>sediment texture and diatom assemblage</v>
      </c>
      <c r="Y257" t="str">
        <f>'Long-form'!BH257</f>
        <v>HAT-LAT</v>
      </c>
      <c r="Z257" s="55">
        <f>'Long-form'!BT257</f>
        <v>-1.5439346930000002</v>
      </c>
      <c r="AA257" s="55">
        <f>'Long-form'!BU257</f>
        <v>1.6402677466602633</v>
      </c>
      <c r="AB257" s="55">
        <f>'Long-form'!BV257</f>
        <v>1.6402677466602633</v>
      </c>
      <c r="AC257" s="55" t="str">
        <f>'Long-form'!BW257</f>
        <v>nd</v>
      </c>
      <c r="AD257" s="55" t="str">
        <f>'Long-form'!BX257</f>
        <v>nd</v>
      </c>
      <c r="AE257" s="55" t="str">
        <f>'Long-form'!BY257</f>
        <v>nd</v>
      </c>
      <c r="AF257" t="str">
        <f>'Long-form'!BZ257</f>
        <v>nd</v>
      </c>
      <c r="AG257">
        <f>'Long-form'!CB257</f>
        <v>0</v>
      </c>
      <c r="AH257">
        <f>'Long-form'!CD257</f>
        <v>0</v>
      </c>
    </row>
    <row r="258" spans="1:34">
      <c r="A258" t="str">
        <f>'Long-form'!A258</f>
        <v>Beta-291320</v>
      </c>
      <c r="B258" t="str">
        <f>'Long-form'!B258</f>
        <v>Zong et al. 2013; Xiong et al 2018</v>
      </c>
      <c r="C258" t="str">
        <f>'Long-form'!C258</f>
        <v>9a</v>
      </c>
      <c r="D258" t="str">
        <f>'Long-form'!D258</f>
        <v>N_PRD</v>
      </c>
      <c r="E258" s="55">
        <f>'Long-form'!E258</f>
        <v>23.168056</v>
      </c>
      <c r="F258" s="55">
        <f>'Long-form'!F258</f>
        <v>112.841667</v>
      </c>
      <c r="G258" t="str">
        <f>'Long-form'!G258</f>
        <v>1 = Radiocarbon</v>
      </c>
      <c r="H258" s="56">
        <f>'Long-form'!H258</f>
        <v>6460</v>
      </c>
      <c r="I258" s="56">
        <f>'Long-form'!I258</f>
        <v>50</v>
      </c>
      <c r="J258" s="56">
        <f>'Long-form'!J258</f>
        <v>7367</v>
      </c>
      <c r="K258" s="56">
        <f>'Long-form'!K258</f>
        <v>97</v>
      </c>
      <c r="L258" s="56">
        <f>'Long-form'!L258</f>
        <v>100</v>
      </c>
      <c r="M258" s="56" t="str">
        <f>'Long-form'!Q258</f>
        <v>transgressive</v>
      </c>
      <c r="N258" s="55">
        <f>'Long-form'!R258</f>
        <v>6</v>
      </c>
      <c r="O258" s="55">
        <f>'Long-form'!S258</f>
        <v>9.98</v>
      </c>
      <c r="P258" s="55">
        <f>'Long-form'!T258</f>
        <v>1</v>
      </c>
      <c r="Q258" s="55">
        <f>'Long-form'!AM258</f>
        <v>-1.2</v>
      </c>
      <c r="R258" s="55" t="str">
        <f>'Long-form'!AN258</f>
        <v>YSD</v>
      </c>
      <c r="S258" s="55">
        <f>'Long-form'!AP258</f>
        <v>0.54500000000000004</v>
      </c>
      <c r="T258" s="55">
        <f>'Long-form'!AQ258</f>
        <v>0.54500000000000004</v>
      </c>
      <c r="U258" t="str">
        <f>'Long-form'!BC258</f>
        <v>0</v>
      </c>
      <c r="V258" t="str">
        <f>'Long-form'!BD258</f>
        <v>5 = Sedimentary (e.g., deltaic, estuarine, wetland, lacustrine, marine facies)</v>
      </c>
      <c r="W258" t="str">
        <f>'Long-form'!BE258</f>
        <v>Tidal flat deposit</v>
      </c>
      <c r="X258" t="str">
        <f>'Long-form'!BF258</f>
        <v>sediment texture and diatom assemblage</v>
      </c>
      <c r="Y258" t="str">
        <f>'Long-form'!BH258</f>
        <v>HAT-LAT</v>
      </c>
      <c r="Z258" s="55">
        <f>'Long-form'!BT258</f>
        <v>-1.3259524825</v>
      </c>
      <c r="AA258" s="55">
        <f>'Long-form'!BU258</f>
        <v>1.7390596802539062</v>
      </c>
      <c r="AB258" s="55">
        <f>'Long-form'!BV258</f>
        <v>1.7390596802539062</v>
      </c>
      <c r="AC258" s="55" t="str">
        <f>'Long-form'!BW258</f>
        <v>nd</v>
      </c>
      <c r="AD258" s="55" t="str">
        <f>'Long-form'!BX258</f>
        <v>nd</v>
      </c>
      <c r="AE258" s="55" t="str">
        <f>'Long-form'!BY258</f>
        <v>nd</v>
      </c>
      <c r="AF258" t="str">
        <f>'Long-form'!BZ258</f>
        <v>nd</v>
      </c>
      <c r="AG258">
        <f>'Long-form'!CB258</f>
        <v>0</v>
      </c>
      <c r="AH258">
        <f>'Long-form'!CD258</f>
        <v>0</v>
      </c>
    </row>
    <row r="259" spans="1:34">
      <c r="A259" t="str">
        <f>'Long-form'!A259</f>
        <v>GZ3942</v>
      </c>
      <c r="B259" t="str">
        <f>'Long-form'!B259</f>
        <v>Xiong et al 2018</v>
      </c>
      <c r="C259" t="str">
        <f>'Long-form'!C259</f>
        <v>9a</v>
      </c>
      <c r="D259" t="str">
        <f>'Long-form'!D259</f>
        <v>N_PRD</v>
      </c>
      <c r="E259" s="55">
        <f>'Long-form'!E259</f>
        <v>23.168056</v>
      </c>
      <c r="F259" s="55">
        <f>'Long-form'!F259</f>
        <v>112.841667</v>
      </c>
      <c r="G259" t="str">
        <f>'Long-form'!G259</f>
        <v>1 = Radiocarbon</v>
      </c>
      <c r="H259" s="56">
        <f>'Long-form'!H259</f>
        <v>7677</v>
      </c>
      <c r="I259" s="56">
        <f>'Long-form'!I259</f>
        <v>36</v>
      </c>
      <c r="J259" s="56">
        <f>'Long-form'!J259</f>
        <v>8460</v>
      </c>
      <c r="K259" s="56">
        <f>'Long-form'!K259</f>
        <v>82</v>
      </c>
      <c r="L259" s="56">
        <f>'Long-form'!L259</f>
        <v>62</v>
      </c>
      <c r="M259" s="56" t="str">
        <f>'Long-form'!Q259</f>
        <v>transgressive</v>
      </c>
      <c r="N259" s="55">
        <f>'Long-form'!R259</f>
        <v>12.26</v>
      </c>
      <c r="O259" s="55">
        <f>'Long-form'!S259</f>
        <v>3.7199999999999998</v>
      </c>
      <c r="P259" s="55">
        <f>'Long-form'!T259</f>
        <v>1</v>
      </c>
      <c r="Q259" s="55">
        <f>'Long-form'!AM259</f>
        <v>-7.46</v>
      </c>
      <c r="R259" s="55" t="str">
        <f>'Long-form'!AN259</f>
        <v>YSD</v>
      </c>
      <c r="S259" s="55">
        <f>'Long-form'!AP259</f>
        <v>0.58544687205586809</v>
      </c>
      <c r="T259" s="55">
        <f>'Long-form'!AQ259</f>
        <v>0.58544687205586809</v>
      </c>
      <c r="U259" t="str">
        <f>'Long-form'!BC259</f>
        <v>0</v>
      </c>
      <c r="V259" t="str">
        <f>'Long-form'!BD259</f>
        <v>5 = Sedimentary (e.g., deltaic, estuarine, wetland, lacustrine, marine facies)</v>
      </c>
      <c r="W259" t="str">
        <f>'Long-form'!BE259</f>
        <v>Tidal flat deposit</v>
      </c>
      <c r="X259" t="str">
        <f>'Long-form'!BF259</f>
        <v>sediment texture and diatom assemblage</v>
      </c>
      <c r="Y259" t="str">
        <f>'Long-form'!BH259</f>
        <v>HAT-LAT</v>
      </c>
      <c r="Z259" s="55">
        <f>'Long-form'!BT259</f>
        <v>-7.5872664825000005</v>
      </c>
      <c r="AA259" s="55">
        <f>'Long-form'!BU259</f>
        <v>1.7682496511683559</v>
      </c>
      <c r="AB259" s="55">
        <f>'Long-form'!BV259</f>
        <v>1.7682496511683559</v>
      </c>
      <c r="AC259" s="55" t="str">
        <f>'Long-form'!BW259</f>
        <v>nd</v>
      </c>
      <c r="AD259" s="55" t="str">
        <f>'Long-form'!BX259</f>
        <v>nd</v>
      </c>
      <c r="AE259" s="55" t="str">
        <f>'Long-form'!BY259</f>
        <v>nd</v>
      </c>
      <c r="AF259" t="str">
        <f>'Long-form'!BZ259</f>
        <v>nd</v>
      </c>
      <c r="AG259">
        <f>'Long-form'!CB259</f>
        <v>0</v>
      </c>
      <c r="AH259">
        <f>'Long-form'!CD259</f>
        <v>0</v>
      </c>
    </row>
    <row r="260" spans="1:34">
      <c r="A260" t="str">
        <f>'Long-form'!A260</f>
        <v>GZ3943</v>
      </c>
      <c r="B260" t="str">
        <f>'Long-form'!B260</f>
        <v>Xiong et al 2018</v>
      </c>
      <c r="C260" t="str">
        <f>'Long-form'!C260</f>
        <v>9a</v>
      </c>
      <c r="D260" t="str">
        <f>'Long-form'!D260</f>
        <v>N_PRD</v>
      </c>
      <c r="E260" s="55">
        <f>'Long-form'!E260</f>
        <v>23.168056</v>
      </c>
      <c r="F260" s="55">
        <f>'Long-form'!F260</f>
        <v>112.841667</v>
      </c>
      <c r="G260" t="str">
        <f>'Long-form'!G260</f>
        <v>1 = Radiocarbon</v>
      </c>
      <c r="H260" s="56">
        <f>'Long-form'!H260</f>
        <v>7961</v>
      </c>
      <c r="I260" s="56">
        <f>'Long-form'!I260</f>
        <v>35</v>
      </c>
      <c r="J260" s="56">
        <f>'Long-form'!J260</f>
        <v>8836</v>
      </c>
      <c r="K260" s="56">
        <f>'Long-form'!K260</f>
        <v>153</v>
      </c>
      <c r="L260" s="56">
        <f>'Long-form'!L260</f>
        <v>189</v>
      </c>
      <c r="M260" s="56" t="str">
        <f>'Long-form'!Q260</f>
        <v>transgressive</v>
      </c>
      <c r="N260" s="55">
        <f>'Long-form'!R260</f>
        <v>13.41</v>
      </c>
      <c r="O260" s="55">
        <f>'Long-form'!S260</f>
        <v>2.5700000000000003</v>
      </c>
      <c r="P260" s="55">
        <f>'Long-form'!T260</f>
        <v>1</v>
      </c>
      <c r="Q260" s="55">
        <f>'Long-form'!AM260</f>
        <v>-8.61</v>
      </c>
      <c r="R260" s="55" t="str">
        <f>'Long-form'!AN260</f>
        <v>YSD</v>
      </c>
      <c r="S260" s="55">
        <f>'Long-form'!AP260</f>
        <v>0.59544625282220054</v>
      </c>
      <c r="T260" s="55">
        <f>'Long-form'!AQ260</f>
        <v>0.59544625282220054</v>
      </c>
      <c r="U260" t="str">
        <f>'Long-form'!BC260</f>
        <v>0</v>
      </c>
      <c r="V260" t="str">
        <f>'Long-form'!BD260</f>
        <v>5 = Sedimentary (e.g., deltaic, estuarine, wetland, lacustrine, marine facies)</v>
      </c>
      <c r="W260" t="str">
        <f>'Long-form'!BE260</f>
        <v>Tidal flat deposit</v>
      </c>
      <c r="X260" t="str">
        <f>'Long-form'!BF260</f>
        <v>sediment texture and diatom assemblage</v>
      </c>
      <c r="Y260" t="str">
        <f>'Long-form'!BH260</f>
        <v>HAT-LAT</v>
      </c>
      <c r="Z260" s="55">
        <f>'Long-form'!BT260</f>
        <v>-8.737266482499999</v>
      </c>
      <c r="AA260" s="55">
        <f>'Long-form'!BU260</f>
        <v>1.7779844752198903</v>
      </c>
      <c r="AB260" s="55">
        <f>'Long-form'!BV260</f>
        <v>1.7779844752198903</v>
      </c>
      <c r="AC260" s="55" t="str">
        <f>'Long-form'!BW260</f>
        <v>nd</v>
      </c>
      <c r="AD260" s="55" t="str">
        <f>'Long-form'!BX260</f>
        <v>nd</v>
      </c>
      <c r="AE260" s="55" t="str">
        <f>'Long-form'!BY260</f>
        <v>nd</v>
      </c>
      <c r="AF260" t="str">
        <f>'Long-form'!BZ260</f>
        <v>nd</v>
      </c>
      <c r="AG260">
        <f>'Long-form'!CB260</f>
        <v>0</v>
      </c>
      <c r="AH260">
        <f>'Long-form'!CD260</f>
        <v>0</v>
      </c>
    </row>
    <row r="261" spans="1:34">
      <c r="A261" t="str">
        <f>'Long-form'!A261</f>
        <v>GZ3944</v>
      </c>
      <c r="B261" t="str">
        <f>'Long-form'!B261</f>
        <v>Xiong et al 2018</v>
      </c>
      <c r="C261" t="str">
        <f>'Long-form'!C261</f>
        <v>9a</v>
      </c>
      <c r="D261" t="str">
        <f>'Long-form'!D261</f>
        <v>N_PRD</v>
      </c>
      <c r="E261" s="55">
        <f>'Long-form'!E261</f>
        <v>23.168056</v>
      </c>
      <c r="F261" s="55">
        <f>'Long-form'!F261</f>
        <v>112.841667</v>
      </c>
      <c r="G261" t="str">
        <f>'Long-form'!G261</f>
        <v>1 = Radiocarbon</v>
      </c>
      <c r="H261" s="56">
        <f>'Long-form'!H261</f>
        <v>8037</v>
      </c>
      <c r="I261" s="56">
        <f>'Long-form'!I261</f>
        <v>36</v>
      </c>
      <c r="J261" s="56">
        <f>'Long-form'!J261</f>
        <v>8900</v>
      </c>
      <c r="K261" s="56">
        <f>'Long-form'!K261</f>
        <v>122</v>
      </c>
      <c r="L261" s="56">
        <f>'Long-form'!L261</f>
        <v>172</v>
      </c>
      <c r="M261" s="56" t="str">
        <f>'Long-form'!Q261</f>
        <v>transgressive</v>
      </c>
      <c r="N261" s="55">
        <f>'Long-form'!R261</f>
        <v>14.669999999999998</v>
      </c>
      <c r="O261" s="55">
        <f>'Long-form'!S261</f>
        <v>1.3100000000000005</v>
      </c>
      <c r="P261" s="55">
        <f>'Long-form'!T261</f>
        <v>1</v>
      </c>
      <c r="Q261" s="55">
        <f>'Long-form'!AM261</f>
        <v>-9.8699999999999992</v>
      </c>
      <c r="R261" s="55" t="str">
        <f>'Long-form'!AN261</f>
        <v>YSD</v>
      </c>
      <c r="S261" s="55">
        <f>'Long-form'!AP261</f>
        <v>0.60721376795985116</v>
      </c>
      <c r="T261" s="55">
        <f>'Long-form'!AQ261</f>
        <v>0.60721376795985116</v>
      </c>
      <c r="U261" t="str">
        <f>'Long-form'!BC261</f>
        <v>0</v>
      </c>
      <c r="V261" t="str">
        <f>'Long-form'!BD261</f>
        <v>5 = Sedimentary (e.g., deltaic, estuarine, wetland, lacustrine, marine facies)</v>
      </c>
      <c r="W261" t="str">
        <f>'Long-form'!BE261</f>
        <v>Tidal flat deposit</v>
      </c>
      <c r="X261" t="str">
        <f>'Long-form'!BF261</f>
        <v>sediment texture and diatom assemblage</v>
      </c>
      <c r="Y261" t="str">
        <f>'Long-form'!BH261</f>
        <v>HAT-LAT</v>
      </c>
      <c r="Z261" s="55">
        <f>'Long-form'!BT261</f>
        <v>-9.9975115779999992</v>
      </c>
      <c r="AA261" s="55">
        <f>'Long-form'!BU261</f>
        <v>1.7822004467329777</v>
      </c>
      <c r="AB261" s="55">
        <f>'Long-form'!BV261</f>
        <v>1.7822004467329777</v>
      </c>
      <c r="AC261" s="55" t="str">
        <f>'Long-form'!BW261</f>
        <v>nd</v>
      </c>
      <c r="AD261" s="55" t="str">
        <f>'Long-form'!BX261</f>
        <v>nd</v>
      </c>
      <c r="AE261" s="55" t="str">
        <f>'Long-form'!BY261</f>
        <v>nd</v>
      </c>
      <c r="AF261" t="str">
        <f>'Long-form'!BZ261</f>
        <v>nd</v>
      </c>
      <c r="AG261">
        <f>'Long-form'!CB261</f>
        <v>0</v>
      </c>
      <c r="AH261">
        <f>'Long-form'!CD261</f>
        <v>0</v>
      </c>
    </row>
    <row r="262" spans="1:34">
      <c r="A262" t="str">
        <f>'Long-form'!A262</f>
        <v>KWG-8</v>
      </c>
      <c r="B262" t="str">
        <f>'Long-form'!B262</f>
        <v>Huang et al. 1982a and b</v>
      </c>
      <c r="C262" t="str">
        <f>'Long-form'!C262</f>
        <v>9a</v>
      </c>
      <c r="D262" t="str">
        <f>'Long-form'!D262</f>
        <v>N_PRD</v>
      </c>
      <c r="E262" s="55">
        <f>'Long-form'!E262</f>
        <v>23.183333333333334</v>
      </c>
      <c r="F262" s="55">
        <f>'Long-form'!F262</f>
        <v>112.8</v>
      </c>
      <c r="G262" t="str">
        <f>'Long-form'!G262</f>
        <v>1 = Radiocarbon</v>
      </c>
      <c r="H262" s="56">
        <f>'Long-form'!H262</f>
        <v>6265.358988581469</v>
      </c>
      <c r="I262" s="56">
        <f>'Long-form'!I262</f>
        <v>331.12830786394568</v>
      </c>
      <c r="J262" s="56">
        <f>'Long-form'!J262</f>
        <v>7111</v>
      </c>
      <c r="K262" s="56">
        <f>'Long-form'!K262</f>
        <v>629</v>
      </c>
      <c r="L262" s="56">
        <f>'Long-form'!L262</f>
        <v>714</v>
      </c>
      <c r="M262" s="56" t="str">
        <f>'Long-form'!Q262</f>
        <v>transgressive</v>
      </c>
      <c r="N262" s="55">
        <f>'Long-form'!R262</f>
        <v>7</v>
      </c>
      <c r="O262" s="55">
        <f>'Long-form'!S262</f>
        <v>0.8</v>
      </c>
      <c r="P262" s="55">
        <f>'Long-form'!T262</f>
        <v>1</v>
      </c>
      <c r="Q262" s="55">
        <f>'Long-form'!AM262</f>
        <v>-5.3</v>
      </c>
      <c r="R262" s="55" t="str">
        <f>'Long-form'!AN262</f>
        <v>YSD</v>
      </c>
      <c r="S262" s="55">
        <f>'Long-form'!AP262</f>
        <v>0.55199637679970326</v>
      </c>
      <c r="T262" s="55">
        <f>'Long-form'!AQ262</f>
        <v>0.55199637679970326</v>
      </c>
      <c r="U262" t="str">
        <f>'Long-form'!BC262</f>
        <v xml:space="preserve">-1 </v>
      </c>
      <c r="V262" t="str">
        <f>'Long-form'!BD262</f>
        <v>5 = Sedimentary (e.g., deltaic, estuarine, wetland, lacustrine, marine facies)</v>
      </c>
      <c r="W262" t="str">
        <f>'Long-form'!BE262</f>
        <v>Tidal influenced environemnt</v>
      </c>
      <c r="X262" t="str">
        <f>'Long-form'!BF262</f>
        <v>Brackish and freshwater diatom</v>
      </c>
      <c r="Y262" t="str">
        <f>'Long-form'!BH262</f>
        <v>&lt;HAT</v>
      </c>
      <c r="Z262" s="55">
        <f>'Long-form'!BT262</f>
        <v>-6.9891541659999996</v>
      </c>
      <c r="AA262" s="55">
        <f>'Long-form'!BU262</f>
        <v>0.96077863013037845</v>
      </c>
      <c r="AB262" s="55">
        <f>'Long-form'!BV262</f>
        <v>0.96077863013037845</v>
      </c>
      <c r="AC262" s="55" t="str">
        <f>'Long-form'!BW262</f>
        <v>nd</v>
      </c>
      <c r="AD262" s="55" t="str">
        <f>'Long-form'!BX262</f>
        <v>nd</v>
      </c>
      <c r="AE262" s="55" t="str">
        <f>'Long-form'!BY262</f>
        <v>nd</v>
      </c>
      <c r="AF262" t="str">
        <f>'Long-form'!BZ262</f>
        <v>nd</v>
      </c>
      <c r="AG262">
        <f>'Long-form'!CB262</f>
        <v>0</v>
      </c>
      <c r="AH262">
        <f>'Long-form'!CD262</f>
        <v>0</v>
      </c>
    </row>
    <row r="263" spans="1:34">
      <c r="A263" t="str">
        <f>'Long-form'!A263</f>
        <v>Beta-456813</v>
      </c>
      <c r="B263" t="str">
        <f>'Long-form'!B263</f>
        <v>Fu et al. 2020</v>
      </c>
      <c r="C263" t="str">
        <f>'Long-form'!C263</f>
        <v>9a</v>
      </c>
      <c r="D263" t="str">
        <f>'Long-form'!D263</f>
        <v>N_PRD</v>
      </c>
      <c r="E263" s="55">
        <f>'Long-form'!E263</f>
        <v>23.2050278</v>
      </c>
      <c r="F263" s="55">
        <f>'Long-form'!F263</f>
        <v>112.7421667</v>
      </c>
      <c r="G263" t="str">
        <f>'Long-form'!G263</f>
        <v>1 = Radiocarbon</v>
      </c>
      <c r="H263" s="56">
        <f>'Long-form'!H263</f>
        <v>8280</v>
      </c>
      <c r="I263" s="56">
        <f>'Long-form'!I263</f>
        <v>30</v>
      </c>
      <c r="J263" s="56">
        <f>'Long-form'!J263</f>
        <v>9285</v>
      </c>
      <c r="K263" s="56">
        <f>'Long-form'!K263</f>
        <v>132</v>
      </c>
      <c r="L263" s="56">
        <f>'Long-form'!L263</f>
        <v>151</v>
      </c>
      <c r="M263" s="56" t="str">
        <f>'Long-form'!Q263</f>
        <v>regressive</v>
      </c>
      <c r="N263" s="55">
        <f>'Long-form'!R263</f>
        <v>18.18</v>
      </c>
      <c r="O263" s="55">
        <f>'Long-form'!S263</f>
        <v>9.32</v>
      </c>
      <c r="P263" s="55">
        <f>'Long-form'!T263</f>
        <v>1</v>
      </c>
      <c r="Q263" s="55">
        <f>'Long-form'!AM263</f>
        <v>-14.44</v>
      </c>
      <c r="R263" s="55" t="str">
        <f>'Long-form'!AN263</f>
        <v>YSD</v>
      </c>
      <c r="S263" s="55">
        <f>'Long-form'!AP263</f>
        <v>0.62835496337659336</v>
      </c>
      <c r="T263" s="55">
        <f>'Long-form'!AQ263</f>
        <v>0.62835496337659336</v>
      </c>
      <c r="U263" t="str">
        <f>'Long-form'!BC263</f>
        <v>0</v>
      </c>
      <c r="V263" t="str">
        <f>'Long-form'!BD263</f>
        <v>5 = Sedimentary (e.g., deltaic, estuarine, wetland, lacustrine, marine facies)</v>
      </c>
      <c r="W263" t="str">
        <f>'Long-form'!BE263</f>
        <v>Tidal flat deposit</v>
      </c>
      <c r="X263" t="str">
        <f>'Long-form'!BF263</f>
        <v>Dark grey clayey silt with plentiful plant fragments and some bioturbations.</v>
      </c>
      <c r="Y263" t="str">
        <f>'Long-form'!BH263</f>
        <v>HAT-LAT</v>
      </c>
      <c r="Z263" s="55">
        <f>'Long-form'!BT263</f>
        <v>-14.562499229</v>
      </c>
      <c r="AA263" s="55">
        <f>'Long-form'!BU263</f>
        <v>1.767813112236293</v>
      </c>
      <c r="AB263" s="55">
        <f>'Long-form'!BV263</f>
        <v>1.767813112236293</v>
      </c>
      <c r="AC263" s="55" t="str">
        <f>'Long-form'!BW263</f>
        <v>nd</v>
      </c>
      <c r="AD263" s="55" t="str">
        <f>'Long-form'!BX263</f>
        <v>nd</v>
      </c>
      <c r="AE263" s="55" t="str">
        <f>'Long-form'!BY263</f>
        <v>nd</v>
      </c>
      <c r="AF263" t="str">
        <f>'Long-form'!BZ263</f>
        <v>nd</v>
      </c>
      <c r="AG263">
        <f>'Long-form'!CB263</f>
        <v>0</v>
      </c>
      <c r="AH263">
        <f>'Long-form'!CD263</f>
        <v>0</v>
      </c>
    </row>
    <row r="264" spans="1:34">
      <c r="A264" t="str">
        <f>'Long-form'!A264</f>
        <v>Beta-456815</v>
      </c>
      <c r="B264" t="str">
        <f>'Long-form'!B264</f>
        <v>Xiong et al 2018; Fu et al. 2020</v>
      </c>
      <c r="C264" t="str">
        <f>'Long-form'!C264</f>
        <v>9a</v>
      </c>
      <c r="D264" t="str">
        <f>'Long-form'!D264</f>
        <v>N_PRD</v>
      </c>
      <c r="E264" s="55">
        <f>'Long-form'!E264</f>
        <v>23.189022000000001</v>
      </c>
      <c r="F264" s="55">
        <f>'Long-form'!F264</f>
        <v>112.742158</v>
      </c>
      <c r="G264" t="str">
        <f>'Long-form'!G264</f>
        <v>1 = Radiocarbon</v>
      </c>
      <c r="H264" s="56">
        <f>'Long-form'!H264</f>
        <v>8180</v>
      </c>
      <c r="I264" s="56">
        <f>'Long-form'!I264</f>
        <v>107.70329614269008</v>
      </c>
      <c r="J264" s="56">
        <f>'Long-form'!J264</f>
        <v>9147</v>
      </c>
      <c r="K264" s="56">
        <f>'Long-form'!K264</f>
        <v>308</v>
      </c>
      <c r="L264" s="56">
        <f>'Long-form'!L264</f>
        <v>370</v>
      </c>
      <c r="M264" s="56" t="str">
        <f>'Long-form'!Q264</f>
        <v>transgressive</v>
      </c>
      <c r="N264" s="55">
        <f>'Long-form'!R264</f>
        <v>19.25</v>
      </c>
      <c r="O264" s="55">
        <f>'Long-form'!S264</f>
        <v>10.56</v>
      </c>
      <c r="P264" s="55">
        <f>'Long-form'!T264</f>
        <v>1</v>
      </c>
      <c r="Q264" s="55">
        <f>'Long-form'!AM264</f>
        <v>-15.65</v>
      </c>
      <c r="R264" s="55" t="str">
        <f>'Long-form'!AN264</f>
        <v>YSD</v>
      </c>
      <c r="S264" s="55">
        <f>'Long-form'!AP264</f>
        <v>0.65684853657445263</v>
      </c>
      <c r="T264" s="55">
        <f>'Long-form'!AQ264</f>
        <v>0.65684853657445263</v>
      </c>
      <c r="U264" t="str">
        <f>'Long-form'!BC264</f>
        <v>0</v>
      </c>
      <c r="V264" t="str">
        <f>'Long-form'!BD264</f>
        <v>5 = Sedimentary (e.g., deltaic, estuarine, wetland, lacustrine, marine facies)</v>
      </c>
      <c r="W264" t="str">
        <f>'Long-form'!BE264</f>
        <v>Tidal flat deposit</v>
      </c>
      <c r="X264" t="str">
        <f>'Long-form'!BF264</f>
        <v>sediment texture and diatom assemblage (Navivula digitoratia, Gopheonema parvulum)</v>
      </c>
      <c r="Y264" t="str">
        <f>'Long-form'!BH264</f>
        <v>HAT-LAT</v>
      </c>
      <c r="Z264" s="55">
        <f>'Long-form'!BT264</f>
        <v>-15.772985578</v>
      </c>
      <c r="AA264" s="55">
        <f>'Long-form'!BU264</f>
        <v>1.7320545441230686</v>
      </c>
      <c r="AB264" s="55">
        <f>'Long-form'!BV264</f>
        <v>1.7320545441230686</v>
      </c>
      <c r="AC264" s="55" t="str">
        <f>'Long-form'!BW264</f>
        <v>nd</v>
      </c>
      <c r="AD264" s="55" t="str">
        <f>'Long-form'!BX264</f>
        <v>nd</v>
      </c>
      <c r="AE264" s="55" t="str">
        <f>'Long-form'!BY264</f>
        <v>nd</v>
      </c>
      <c r="AF264" t="str">
        <f>'Long-form'!BZ264</f>
        <v>nd</v>
      </c>
      <c r="AG264">
        <f>'Long-form'!CB264</f>
        <v>0</v>
      </c>
      <c r="AH264">
        <f>'Long-form'!CD264</f>
        <v>0</v>
      </c>
    </row>
    <row r="265" spans="1:34">
      <c r="A265" t="str">
        <f>'Long-form'!A265</f>
        <v>Beta-456816</v>
      </c>
      <c r="B265" t="str">
        <f>'Long-form'!B265</f>
        <v>Xiong et al 2018; Fu et al. 2020</v>
      </c>
      <c r="C265" t="str">
        <f>'Long-form'!C265</f>
        <v>9a</v>
      </c>
      <c r="D265" t="str">
        <f>'Long-form'!D265</f>
        <v>N_PRD</v>
      </c>
      <c r="E265" s="55">
        <f>'Long-form'!E265</f>
        <v>23.189022000000001</v>
      </c>
      <c r="F265" s="55">
        <f>'Long-form'!F265</f>
        <v>112.742158</v>
      </c>
      <c r="G265" t="str">
        <f>'Long-form'!G265</f>
        <v>1 = Radiocarbon</v>
      </c>
      <c r="H265" s="56">
        <f>'Long-form'!H265</f>
        <v>10200</v>
      </c>
      <c r="I265" s="56">
        <f>'Long-form'!I265</f>
        <v>30</v>
      </c>
      <c r="J265" s="56">
        <f>'Long-form'!J265</f>
        <v>11871</v>
      </c>
      <c r="K265" s="56">
        <f>'Long-form'!K265</f>
        <v>75</v>
      </c>
      <c r="L265" s="56">
        <f>'Long-form'!L265</f>
        <v>120</v>
      </c>
      <c r="M265" s="56" t="str">
        <f>'Long-form'!Q265</f>
        <v>transgressive</v>
      </c>
      <c r="N265" s="55">
        <f>'Long-form'!R265</f>
        <v>23.71</v>
      </c>
      <c r="O265" s="55">
        <f>'Long-form'!S265</f>
        <v>5.5</v>
      </c>
      <c r="P265" s="55">
        <f>'Long-form'!T265</f>
        <v>1</v>
      </c>
      <c r="Q265" s="55">
        <f>'Long-form'!AM265</f>
        <v>-20.72</v>
      </c>
      <c r="R265" s="55" t="str">
        <f>'Long-form'!AN265</f>
        <v>YSD</v>
      </c>
      <c r="S265" s="55">
        <f>'Long-form'!AP265</f>
        <v>0.71238377297633615</v>
      </c>
      <c r="T265" s="55">
        <f>'Long-form'!AQ265</f>
        <v>0.71238377297633615</v>
      </c>
      <c r="U265" t="str">
        <f>'Long-form'!BC265</f>
        <v xml:space="preserve">1 </v>
      </c>
      <c r="V265" t="str">
        <f>'Long-form'!BD265</f>
        <v>5 = Sedimentary (e.g., deltaic, estuarine, wetland, lacustrine, marine facies)</v>
      </c>
      <c r="W265" t="str">
        <f>'Long-form'!BE265</f>
        <v>Fluvial deposit</v>
      </c>
      <c r="X265" t="str">
        <f>'Long-form'!BF265</f>
        <v>Poorly sorted pebbles and gravels with multiple colors</v>
      </c>
      <c r="Y265" t="str">
        <f>'Long-form'!BH265</f>
        <v>&gt;MTL</v>
      </c>
      <c r="Z265" s="55">
        <f>'Long-form'!BT265</f>
        <v>-20.684474517999998</v>
      </c>
      <c r="AA265" s="55">
        <f>'Long-form'!BU265</f>
        <v>0.71413628951342334</v>
      </c>
      <c r="AB265" s="55">
        <f>'Long-form'!BV265</f>
        <v>0.71413628951342334</v>
      </c>
      <c r="AC265" s="55" t="str">
        <f>'Long-form'!BW265</f>
        <v>nd</v>
      </c>
      <c r="AD265" s="55" t="str">
        <f>'Long-form'!BX265</f>
        <v>nd</v>
      </c>
      <c r="AE265" s="55" t="str">
        <f>'Long-form'!BY265</f>
        <v>nd</v>
      </c>
      <c r="AF265" t="str">
        <f>'Long-form'!BZ265</f>
        <v>nd</v>
      </c>
      <c r="AG265">
        <f>'Long-form'!CB265</f>
        <v>0</v>
      </c>
      <c r="AH265">
        <f>'Long-form'!CD265</f>
        <v>0</v>
      </c>
    </row>
    <row r="266" spans="1:34">
      <c r="A266" t="str">
        <f>'Long-form'!A266</f>
        <v>Beta-456811</v>
      </c>
      <c r="B266" t="str">
        <f>'Long-form'!B266</f>
        <v>Xiong et al 2018; Fu et al. 2020</v>
      </c>
      <c r="C266" t="str">
        <f>'Long-form'!C266</f>
        <v>9a</v>
      </c>
      <c r="D266" t="str">
        <f>'Long-form'!D266</f>
        <v>N_PRD</v>
      </c>
      <c r="E266" s="55">
        <f>'Long-form'!E266</f>
        <v>23.224511</v>
      </c>
      <c r="F266" s="55">
        <f>'Long-form'!F266</f>
        <v>112.740475</v>
      </c>
      <c r="G266" t="str">
        <f>'Long-form'!G266</f>
        <v>1 = Radiocarbon</v>
      </c>
      <c r="H266" s="56">
        <f>'Long-form'!H266</f>
        <v>8450</v>
      </c>
      <c r="I266" s="56">
        <f>'Long-form'!I266</f>
        <v>30</v>
      </c>
      <c r="J266" s="56">
        <f>'Long-form'!J266</f>
        <v>9483</v>
      </c>
      <c r="K266" s="56">
        <f>'Long-form'!K266</f>
        <v>47</v>
      </c>
      <c r="L266" s="56">
        <f>'Long-form'!L266</f>
        <v>49</v>
      </c>
      <c r="M266" s="56" t="str">
        <f>'Long-form'!Q266</f>
        <v>transgressive</v>
      </c>
      <c r="N266" s="55">
        <f>'Long-form'!R266</f>
        <v>23.47</v>
      </c>
      <c r="O266" s="55">
        <f>'Long-form'!S266</f>
        <v>2.13</v>
      </c>
      <c r="P266" s="55">
        <f>'Long-form'!T266</f>
        <v>1</v>
      </c>
      <c r="Q266" s="55">
        <f>'Long-form'!AM266</f>
        <v>-19.05</v>
      </c>
      <c r="R266" s="55" t="str">
        <f>'Long-form'!AN266</f>
        <v>YSD</v>
      </c>
      <c r="S266" s="55">
        <f>'Long-form'!AP266</f>
        <v>0.70919768753148094</v>
      </c>
      <c r="T266" s="55">
        <f>'Long-form'!AQ266</f>
        <v>0.70919768753148094</v>
      </c>
      <c r="U266" t="str">
        <f>'Long-form'!BC266</f>
        <v>0</v>
      </c>
      <c r="V266" t="str">
        <f>'Long-form'!BD266</f>
        <v>5 = Sedimentary (e.g., deltaic, estuarine, wetland, lacustrine, marine facies)</v>
      </c>
      <c r="W266" t="str">
        <f>'Long-form'!BE266</f>
        <v>Tidal flat deposit</v>
      </c>
      <c r="X266" t="str">
        <f>'Long-form'!BF266</f>
        <v>sediment texture and diatom assemblage (Navivula avenaca, Diploneis smithii, Gopheonema parvulum)</v>
      </c>
      <c r="Y266" t="str">
        <f>'Long-form'!BH266</f>
        <v>HAT-LAT</v>
      </c>
      <c r="Z266" s="55">
        <f>'Long-form'!BT266</f>
        <v>-19.170582263500002</v>
      </c>
      <c r="AA266" s="55">
        <f>'Long-form'!BU266</f>
        <v>1.7972803549421057</v>
      </c>
      <c r="AB266" s="55">
        <f>'Long-form'!BV266</f>
        <v>1.7972803549421057</v>
      </c>
      <c r="AC266" s="55" t="str">
        <f>'Long-form'!BW266</f>
        <v>nd</v>
      </c>
      <c r="AD266" s="55" t="str">
        <f>'Long-form'!BX266</f>
        <v>nd</v>
      </c>
      <c r="AE266" s="55" t="str">
        <f>'Long-form'!BY266</f>
        <v>nd</v>
      </c>
      <c r="AF266" t="str">
        <f>'Long-form'!BZ266</f>
        <v>nd</v>
      </c>
      <c r="AG266">
        <f>'Long-form'!CB266</f>
        <v>0</v>
      </c>
      <c r="AH266">
        <f>'Long-form'!CD266</f>
        <v>0</v>
      </c>
    </row>
    <row r="267" spans="1:34">
      <c r="A267" t="str">
        <f>'Long-form'!A267</f>
        <v>Beta-459975</v>
      </c>
      <c r="B267" t="str">
        <f>'Long-form'!B267</f>
        <v>Xiong et al 2018; Fu et al. 2020</v>
      </c>
      <c r="C267" t="str">
        <f>'Long-form'!C267</f>
        <v>9a</v>
      </c>
      <c r="D267" t="str">
        <f>'Long-form'!D267</f>
        <v>N_PRD</v>
      </c>
      <c r="E267" s="55">
        <f>'Long-form'!E267</f>
        <v>23.224511</v>
      </c>
      <c r="F267" s="55">
        <f>'Long-form'!F267</f>
        <v>112.740475</v>
      </c>
      <c r="G267" t="str">
        <f>'Long-form'!G267</f>
        <v>1 = Radiocarbon</v>
      </c>
      <c r="H267" s="56">
        <f>'Long-form'!H267</f>
        <v>13030</v>
      </c>
      <c r="I267" s="56">
        <f>'Long-form'!I267</f>
        <v>116.61903789690601</v>
      </c>
      <c r="J267" s="56">
        <f>'Long-form'!J267</f>
        <v>15601</v>
      </c>
      <c r="K267" s="56">
        <f>'Long-form'!K267</f>
        <v>347</v>
      </c>
      <c r="L267" s="56">
        <f>'Long-form'!L267</f>
        <v>343</v>
      </c>
      <c r="M267" s="56" t="str">
        <f>'Long-form'!Q267</f>
        <v>transgressive</v>
      </c>
      <c r="N267" s="55">
        <f>'Long-form'!R267</f>
        <v>25.38</v>
      </c>
      <c r="O267" s="55">
        <f>'Long-form'!S267</f>
        <v>0.43</v>
      </c>
      <c r="P267" s="55">
        <f>'Long-form'!T267</f>
        <v>1</v>
      </c>
      <c r="Q267" s="55">
        <f>'Long-form'!AM267</f>
        <v>-20.96</v>
      </c>
      <c r="R267" s="55" t="str">
        <f>'Long-form'!AN267</f>
        <v>YSD</v>
      </c>
      <c r="S267" s="55">
        <f>'Long-form'!AP267</f>
        <v>0.73544731966334609</v>
      </c>
      <c r="T267" s="55">
        <f>'Long-form'!AQ267</f>
        <v>0.73544731966334609</v>
      </c>
      <c r="U267" t="str">
        <f>'Long-form'!BC267</f>
        <v xml:space="preserve">1 </v>
      </c>
      <c r="V267" t="str">
        <f>'Long-form'!BD267</f>
        <v>5 = Sedimentary (e.g., deltaic, estuarine, wetland, lacustrine, marine facies)</v>
      </c>
      <c r="W267" t="str">
        <f>'Long-form'!BE267</f>
        <v>Fluvial deposit</v>
      </c>
      <c r="X267" t="str">
        <f>'Long-form'!BF267</f>
        <v>Poorly sorted pebbles and gravels with multiple colors</v>
      </c>
      <c r="Y267" t="str">
        <f>'Long-form'!BH267</f>
        <v>&gt;MTL</v>
      </c>
      <c r="Z267" s="55">
        <f>'Long-form'!BT267</f>
        <v>-20.923943478000002</v>
      </c>
      <c r="AA267" s="55">
        <f>'Long-form'!BU267</f>
        <v>0.73714500608767608</v>
      </c>
      <c r="AB267" s="55">
        <f>'Long-form'!BV267</f>
        <v>0.73714500608767608</v>
      </c>
      <c r="AC267" s="55" t="str">
        <f>'Long-form'!BW267</f>
        <v>nd</v>
      </c>
      <c r="AD267" s="55" t="str">
        <f>'Long-form'!BX267</f>
        <v>nd</v>
      </c>
      <c r="AE267" s="55" t="str">
        <f>'Long-form'!BY267</f>
        <v>nd</v>
      </c>
      <c r="AF267" t="str">
        <f>'Long-form'!BZ267</f>
        <v>nd</v>
      </c>
      <c r="AG267">
        <f>'Long-form'!CB267</f>
        <v>0</v>
      </c>
      <c r="AH267">
        <f>'Long-form'!CD267</f>
        <v>0</v>
      </c>
    </row>
    <row r="268" spans="1:34">
      <c r="A268" t="str">
        <f>'Long-form'!A268</f>
        <v>Beta-456814</v>
      </c>
      <c r="B268" t="str">
        <f>'Long-form'!B268</f>
        <v>Xiong et al 2018; Fu et al. 2020</v>
      </c>
      <c r="C268" t="str">
        <f>'Long-form'!C268</f>
        <v>9a</v>
      </c>
      <c r="D268" t="str">
        <f>'Long-form'!D268</f>
        <v>N_PRD</v>
      </c>
      <c r="E268" s="55">
        <f>'Long-form'!E268</f>
        <v>23.224499999999999</v>
      </c>
      <c r="F268" s="55">
        <f>'Long-form'!F268</f>
        <v>112.7404722</v>
      </c>
      <c r="G268" t="str">
        <f>'Long-form'!G268</f>
        <v>1 = Radiocarbon</v>
      </c>
      <c r="H268" s="56">
        <f>'Long-form'!H268</f>
        <v>8390</v>
      </c>
      <c r="I268" s="56">
        <f>'Long-form'!I268</f>
        <v>50</v>
      </c>
      <c r="J268" s="56">
        <f>'Long-form'!J268</f>
        <v>9420</v>
      </c>
      <c r="K268" s="56">
        <f>'Long-form'!K268</f>
        <v>106</v>
      </c>
      <c r="L268" s="56">
        <f>'Long-form'!L268</f>
        <v>134</v>
      </c>
      <c r="M268" s="56" t="str">
        <f>'Long-form'!Q268</f>
        <v>regressive</v>
      </c>
      <c r="N268" s="55">
        <f>'Long-form'!R268</f>
        <v>19.63</v>
      </c>
      <c r="O268" s="55">
        <f>'Long-form'!S268</f>
        <v>7.870000000000001</v>
      </c>
      <c r="P268" s="55">
        <f>'Long-form'!T268</f>
        <v>1</v>
      </c>
      <c r="Q268" s="55">
        <f>'Long-form'!AM268</f>
        <v>-15.89</v>
      </c>
      <c r="R268" s="55" t="str">
        <f>'Long-form'!AN268</f>
        <v>YSD</v>
      </c>
      <c r="S268" s="55">
        <f>'Long-form'!AP268</f>
        <v>0.66087802202827117</v>
      </c>
      <c r="T268" s="55">
        <f>'Long-form'!AQ268</f>
        <v>0.66087802202827117</v>
      </c>
      <c r="U268" t="str">
        <f>'Long-form'!BC268</f>
        <v>0</v>
      </c>
      <c r="V268" t="str">
        <f>'Long-form'!BD268</f>
        <v>5 = Sedimentary (e.g., deltaic, estuarine, wetland, lacustrine, marine facies)</v>
      </c>
      <c r="W268" t="str">
        <f>'Long-form'!BE268</f>
        <v>Tidal flat deposit</v>
      </c>
      <c r="X268" t="str">
        <f>'Long-form'!BF268</f>
        <v>Organic matter, roots, plant fragments</v>
      </c>
      <c r="Y268" t="str">
        <f>'Long-form'!BH268</f>
        <v>HAT-LAT</v>
      </c>
      <c r="Z268" s="55">
        <f>'Long-form'!BT268</f>
        <v>-16.012141485000001</v>
      </c>
      <c r="AA268" s="55">
        <f>'Long-form'!BU268</f>
        <v>1.7802522106286263</v>
      </c>
      <c r="AB268" s="55">
        <f>'Long-form'!BV268</f>
        <v>1.7802522106286263</v>
      </c>
      <c r="AC268" s="55" t="str">
        <f>'Long-form'!BW268</f>
        <v>nd</v>
      </c>
      <c r="AD268" s="55" t="str">
        <f>'Long-form'!BX268</f>
        <v>nd</v>
      </c>
      <c r="AE268" s="55" t="str">
        <f>'Long-form'!BY268</f>
        <v>nd</v>
      </c>
      <c r="AF268" t="str">
        <f>'Long-form'!BZ268</f>
        <v>nd</v>
      </c>
      <c r="AG268">
        <f>'Long-form'!CB268</f>
        <v>0</v>
      </c>
      <c r="AH268">
        <f>'Long-form'!CD268</f>
        <v>0</v>
      </c>
    </row>
    <row r="269" spans="1:34">
      <c r="A269" t="str">
        <f>'Long-form'!A269</f>
        <v>Beta-470506</v>
      </c>
      <c r="B269" t="str">
        <f>'Long-form'!B269</f>
        <v>Fu et al. 2020</v>
      </c>
      <c r="C269" t="str">
        <f>'Long-form'!C269</f>
        <v>9a</v>
      </c>
      <c r="D269" t="str">
        <f>'Long-form'!D269</f>
        <v>N_PRD</v>
      </c>
      <c r="E269" s="55">
        <f>'Long-form'!E269</f>
        <v>23.224499999999999</v>
      </c>
      <c r="F269" s="55">
        <f>'Long-form'!F269</f>
        <v>112.7404722</v>
      </c>
      <c r="G269" t="str">
        <f>'Long-form'!G269</f>
        <v>1 = Radiocarbon</v>
      </c>
      <c r="H269" s="56">
        <f>'Long-form'!H269</f>
        <v>940</v>
      </c>
      <c r="I269" s="56">
        <f>'Long-form'!I269</f>
        <v>30</v>
      </c>
      <c r="J269" s="56">
        <f>'Long-form'!J269</f>
        <v>849</v>
      </c>
      <c r="K269" s="56">
        <f>'Long-form'!K269</f>
        <v>72</v>
      </c>
      <c r="L269" s="56">
        <f>'Long-form'!L269</f>
        <v>66</v>
      </c>
      <c r="M269" s="56" t="str">
        <f>'Long-form'!Q269</f>
        <v>regressive</v>
      </c>
      <c r="N269" s="55">
        <f>'Long-form'!R269</f>
        <v>3.3</v>
      </c>
      <c r="O269" s="55">
        <f>'Long-form'!S269</f>
        <v>18.2</v>
      </c>
      <c r="P269" s="55">
        <f>'Long-form'!T269</f>
        <v>1</v>
      </c>
      <c r="Q269" s="55">
        <f>'Long-form'!AM269</f>
        <v>1.1200000000000001</v>
      </c>
      <c r="R269" s="55" t="str">
        <f>'Long-form'!AN269</f>
        <v>YSD</v>
      </c>
      <c r="S269" s="55">
        <f>'Long-form'!AP269</f>
        <v>0.53570607612757204</v>
      </c>
      <c r="T269" s="55">
        <f>'Long-form'!AQ269</f>
        <v>0.53570607612757204</v>
      </c>
      <c r="U269" t="str">
        <f>'Long-form'!BC269</f>
        <v xml:space="preserve">1 </v>
      </c>
      <c r="V269" t="str">
        <f>'Long-form'!BD269</f>
        <v>5 = Sedimentary (e.g., deltaic, estuarine, wetland, lacustrine, marine facies)</v>
      </c>
      <c r="W269" t="str">
        <f>'Long-form'!BE269</f>
        <v>Flood plain deposit</v>
      </c>
      <c r="X269" t="str">
        <f>'Long-form'!BF269</f>
        <v>Organic matter, roots, plant fragments</v>
      </c>
      <c r="Y269" t="str">
        <f>'Long-form'!BH269</f>
        <v>&gt;MTL</v>
      </c>
      <c r="Z269" s="55">
        <f>'Long-form'!BT269</f>
        <v>1.156056411</v>
      </c>
      <c r="AA269" s="55">
        <f>'Long-form'!BU269</f>
        <v>0.53803438551824923</v>
      </c>
      <c r="AB269" s="55">
        <f>'Long-form'!BV269</f>
        <v>0.53803438551824923</v>
      </c>
      <c r="AC269" s="55" t="str">
        <f>'Long-form'!BW269</f>
        <v>nd</v>
      </c>
      <c r="AD269" s="55" t="str">
        <f>'Long-form'!BX269</f>
        <v>nd</v>
      </c>
      <c r="AE269" s="55" t="str">
        <f>'Long-form'!BY269</f>
        <v>nd</v>
      </c>
      <c r="AF269" t="str">
        <f>'Long-form'!BZ269</f>
        <v>nd</v>
      </c>
      <c r="AG269">
        <f>'Long-form'!CB269</f>
        <v>0</v>
      </c>
      <c r="AH269">
        <f>'Long-form'!CD269</f>
        <v>0</v>
      </c>
    </row>
    <row r="270" spans="1:34">
      <c r="A270" t="str">
        <f>'Long-form'!A270</f>
        <v>Beta-470507</v>
      </c>
      <c r="B270" t="str">
        <f>'Long-form'!B270</f>
        <v>Fu et al. 2020</v>
      </c>
      <c r="C270" t="str">
        <f>'Long-form'!C270</f>
        <v>9a</v>
      </c>
      <c r="D270" t="str">
        <f>'Long-form'!D270</f>
        <v>N_PRD</v>
      </c>
      <c r="E270" s="55">
        <f>'Long-form'!E270</f>
        <v>23.224499999999999</v>
      </c>
      <c r="F270" s="55">
        <f>'Long-form'!F270</f>
        <v>112.7404722</v>
      </c>
      <c r="G270" t="str">
        <f>'Long-form'!G270</f>
        <v>1 = Radiocarbon</v>
      </c>
      <c r="H270" s="56">
        <f>'Long-form'!H270</f>
        <v>1250</v>
      </c>
      <c r="I270" s="56">
        <f>'Long-form'!I270</f>
        <v>30</v>
      </c>
      <c r="J270" s="56">
        <f>'Long-form'!J270</f>
        <v>1208</v>
      </c>
      <c r="K270" s="56">
        <f>'Long-form'!K270</f>
        <v>68</v>
      </c>
      <c r="L270" s="56">
        <f>'Long-form'!L270</f>
        <v>135</v>
      </c>
      <c r="M270" s="56" t="str">
        <f>'Long-form'!Q270</f>
        <v>regressive</v>
      </c>
      <c r="N270" s="55">
        <f>'Long-form'!R270</f>
        <v>5.0999999999999996</v>
      </c>
      <c r="O270" s="55">
        <f>'Long-form'!S270</f>
        <v>16.399999999999999</v>
      </c>
      <c r="P270" s="55">
        <f>'Long-form'!T270</f>
        <v>1</v>
      </c>
      <c r="Q270" s="55">
        <f>'Long-form'!AM270</f>
        <v>-0.68</v>
      </c>
      <c r="R270" s="55" t="str">
        <f>'Long-form'!AN270</f>
        <v>YSD</v>
      </c>
      <c r="S270" s="55">
        <f>'Long-form'!AP270</f>
        <v>0.54132153107002867</v>
      </c>
      <c r="T270" s="55">
        <f>'Long-form'!AQ270</f>
        <v>0.54132153107002867</v>
      </c>
      <c r="U270" t="str">
        <f>'Long-form'!BC270</f>
        <v xml:space="preserve">1 </v>
      </c>
      <c r="V270" t="str">
        <f>'Long-form'!BD270</f>
        <v>5 = Sedimentary (e.g., deltaic, estuarine, wetland, lacustrine, marine facies)</v>
      </c>
      <c r="W270" t="str">
        <f>'Long-form'!BE270</f>
        <v>Flood plain deposit</v>
      </c>
      <c r="X270" t="str">
        <f>'Long-form'!BF270</f>
        <v>Organic matter, roots, plant fragments</v>
      </c>
      <c r="Y270" t="str">
        <f>'Long-form'!BH270</f>
        <v>&gt;MTL</v>
      </c>
      <c r="Z270" s="55">
        <f>'Long-form'!BT270</f>
        <v>-0.64394358900000004</v>
      </c>
      <c r="AA270" s="55">
        <f>'Long-form'!BU270</f>
        <v>0.54362579041101433</v>
      </c>
      <c r="AB270" s="55">
        <f>'Long-form'!BV270</f>
        <v>0.54362579041101433</v>
      </c>
      <c r="AC270" s="55" t="str">
        <f>'Long-form'!BW270</f>
        <v>nd</v>
      </c>
      <c r="AD270" s="55" t="str">
        <f>'Long-form'!BX270</f>
        <v>nd</v>
      </c>
      <c r="AE270" s="55" t="str">
        <f>'Long-form'!BY270</f>
        <v>nd</v>
      </c>
      <c r="AF270" t="str">
        <f>'Long-form'!BZ270</f>
        <v>nd</v>
      </c>
      <c r="AG270">
        <f>'Long-form'!CB270</f>
        <v>0</v>
      </c>
      <c r="AH270">
        <f>'Long-form'!CD270</f>
        <v>0</v>
      </c>
    </row>
    <row r="271" spans="1:34">
      <c r="A271" t="str">
        <f>'Long-form'!A271</f>
        <v>Beta-470508</v>
      </c>
      <c r="B271" t="str">
        <f>'Long-form'!B271</f>
        <v>Fu et al. 2020</v>
      </c>
      <c r="C271" t="str">
        <f>'Long-form'!C271</f>
        <v>9a</v>
      </c>
      <c r="D271" t="str">
        <f>'Long-form'!D271</f>
        <v>N_PRD</v>
      </c>
      <c r="E271" s="55">
        <f>'Long-form'!E271</f>
        <v>23.224499999999999</v>
      </c>
      <c r="F271" s="55">
        <f>'Long-form'!F271</f>
        <v>112.7404722</v>
      </c>
      <c r="G271" t="str">
        <f>'Long-form'!G271</f>
        <v>1 = Radiocarbon</v>
      </c>
      <c r="H271" s="56">
        <f>'Long-form'!H271</f>
        <v>3660</v>
      </c>
      <c r="I271" s="56">
        <f>'Long-form'!I271</f>
        <v>30</v>
      </c>
      <c r="J271" s="56">
        <f>'Long-form'!J271</f>
        <v>3985</v>
      </c>
      <c r="K271" s="56">
        <f>'Long-form'!K271</f>
        <v>101</v>
      </c>
      <c r="L271" s="56">
        <f>'Long-form'!L271</f>
        <v>87</v>
      </c>
      <c r="M271" s="56" t="str">
        <f>'Long-form'!Q271</f>
        <v>regressive</v>
      </c>
      <c r="N271" s="55">
        <f>'Long-form'!R271</f>
        <v>5.81</v>
      </c>
      <c r="O271" s="55">
        <f>'Long-form'!S271</f>
        <v>15.690000000000001</v>
      </c>
      <c r="P271" s="55">
        <f>'Long-form'!T271</f>
        <v>1</v>
      </c>
      <c r="Q271" s="55">
        <f>'Long-form'!AM271</f>
        <v>-1.39</v>
      </c>
      <c r="R271" s="55" t="str">
        <f>'Long-form'!AN271</f>
        <v>YSD</v>
      </c>
      <c r="S271" s="55">
        <f>'Long-form'!AP271</f>
        <v>0.54417592743523668</v>
      </c>
      <c r="T271" s="55">
        <f>'Long-form'!AQ271</f>
        <v>0.54417592743523668</v>
      </c>
      <c r="U271" t="str">
        <f>'Long-form'!BC271</f>
        <v xml:space="preserve">-1 </v>
      </c>
      <c r="V271" t="str">
        <f>'Long-form'!BD271</f>
        <v>5 = Sedimentary (e.g., deltaic, estuarine, wetland, lacustrine, marine facies)</v>
      </c>
      <c r="W271" t="str">
        <f>'Long-form'!BE271</f>
        <v>Tidal influenced environemnt (Delta front – flood plain transition)</v>
      </c>
      <c r="X271" t="str">
        <f>'Long-form'!BF271</f>
        <v>Diatom assemblage (reduced brackish and predominantly freshwater diatom)</v>
      </c>
      <c r="Y271" t="str">
        <f>'Long-form'!BH271</f>
        <v>&lt;HAT</v>
      </c>
      <c r="Z271" s="55">
        <f>'Long-form'!BT271</f>
        <v>-3.0809751489999999</v>
      </c>
      <c r="AA271" s="55">
        <f>'Long-form'!BU271</f>
        <v>0.57317313265714043</v>
      </c>
      <c r="AB271" s="55">
        <f>'Long-form'!BV271</f>
        <v>0.57317313265714043</v>
      </c>
      <c r="AC271" s="55" t="str">
        <f>'Long-form'!BW271</f>
        <v>nd</v>
      </c>
      <c r="AD271" s="55" t="str">
        <f>'Long-form'!BX271</f>
        <v>nd</v>
      </c>
      <c r="AE271" s="55" t="str">
        <f>'Long-form'!BY271</f>
        <v>nd</v>
      </c>
      <c r="AF271" t="str">
        <f>'Long-form'!BZ271</f>
        <v>nd</v>
      </c>
      <c r="AG271">
        <f>'Long-form'!CB271</f>
        <v>0</v>
      </c>
      <c r="AH271">
        <f>'Long-form'!CD271</f>
        <v>0</v>
      </c>
    </row>
    <row r="272" spans="1:34">
      <c r="A272" t="str">
        <f>'Long-form'!A272</f>
        <v>Beta-470509</v>
      </c>
      <c r="B272" t="str">
        <f>'Long-form'!B272</f>
        <v>Fu et al. 2020</v>
      </c>
      <c r="C272" t="str">
        <f>'Long-form'!C272</f>
        <v>9a</v>
      </c>
      <c r="D272" t="str">
        <f>'Long-form'!D272</f>
        <v>N_PRD</v>
      </c>
      <c r="E272" s="55">
        <f>'Long-form'!E272</f>
        <v>23.224499999999999</v>
      </c>
      <c r="F272" s="55">
        <f>'Long-form'!F272</f>
        <v>112.7404722</v>
      </c>
      <c r="G272" t="str">
        <f>'Long-form'!G272</f>
        <v>1 = Radiocarbon</v>
      </c>
      <c r="H272" s="56">
        <f>'Long-form'!H272</f>
        <v>4120</v>
      </c>
      <c r="I272" s="56">
        <f>'Long-form'!I272</f>
        <v>30</v>
      </c>
      <c r="J272" s="56">
        <f>'Long-form'!J272</f>
        <v>4651</v>
      </c>
      <c r="K272" s="56">
        <f>'Long-form'!K272</f>
        <v>165</v>
      </c>
      <c r="L272" s="56">
        <f>'Long-form'!L272</f>
        <v>124</v>
      </c>
      <c r="M272" s="56" t="str">
        <f>'Long-form'!Q272</f>
        <v>regressive</v>
      </c>
      <c r="N272" s="55">
        <f>'Long-form'!R272</f>
        <v>6.67</v>
      </c>
      <c r="O272" s="55">
        <f>'Long-form'!S272</f>
        <v>14.83</v>
      </c>
      <c r="P272" s="55">
        <f>'Long-form'!T272</f>
        <v>1</v>
      </c>
      <c r="Q272" s="55">
        <f>'Long-form'!AM272</f>
        <v>-2.25</v>
      </c>
      <c r="R272" s="55" t="str">
        <f>'Long-form'!AN272</f>
        <v>YSD</v>
      </c>
      <c r="S272" s="55">
        <f>'Long-form'!AP272</f>
        <v>0.54810634004725767</v>
      </c>
      <c r="T272" s="55">
        <f>'Long-form'!AQ272</f>
        <v>0.54810634004725767</v>
      </c>
      <c r="U272" t="str">
        <f>'Long-form'!BC272</f>
        <v xml:space="preserve">-1 </v>
      </c>
      <c r="V272" t="str">
        <f>'Long-form'!BD272</f>
        <v>5 = Sedimentary (e.g., deltaic, estuarine, wetland, lacustrine, marine facies)</v>
      </c>
      <c r="W272" t="str">
        <f>'Long-form'!BE272</f>
        <v>Tidal influenced environemnt (Delta front – flood plain transition)</v>
      </c>
      <c r="X272" t="str">
        <f>'Long-form'!BF272</f>
        <v>Diatom assemblage (reduced brackish and predominantly freshwater diatom)</v>
      </c>
      <c r="Y272" t="str">
        <f>'Long-form'!BH272</f>
        <v>&lt;HAT</v>
      </c>
      <c r="Z272" s="55">
        <f>'Long-form'!BT272</f>
        <v>-3.9409751489999998</v>
      </c>
      <c r="AA272" s="55">
        <f>'Long-form'!BU272</f>
        <v>0.57690602354282972</v>
      </c>
      <c r="AB272" s="55">
        <f>'Long-form'!BV272</f>
        <v>0.57690602354282972</v>
      </c>
      <c r="AC272" s="55" t="str">
        <f>'Long-form'!BW272</f>
        <v>nd</v>
      </c>
      <c r="AD272" s="55" t="str">
        <f>'Long-form'!BX272</f>
        <v>nd</v>
      </c>
      <c r="AE272" s="55" t="str">
        <f>'Long-form'!BY272</f>
        <v>nd</v>
      </c>
      <c r="AF272" t="str">
        <f>'Long-form'!BZ272</f>
        <v>nd</v>
      </c>
      <c r="AG272">
        <f>'Long-form'!CB272</f>
        <v>0</v>
      </c>
      <c r="AH272">
        <f>'Long-form'!CD272</f>
        <v>0</v>
      </c>
    </row>
    <row r="273" spans="1:34">
      <c r="A273" t="str">
        <f>'Long-form'!A273</f>
        <v>Beta-476470</v>
      </c>
      <c r="B273" t="str">
        <f>'Long-form'!B273</f>
        <v>Fu et al. 2020</v>
      </c>
      <c r="C273" t="str">
        <f>'Long-form'!C273</f>
        <v>9a</v>
      </c>
      <c r="D273" t="str">
        <f>'Long-form'!D273</f>
        <v>N_PRD</v>
      </c>
      <c r="E273" s="55">
        <f>'Long-form'!E273</f>
        <v>23.224499999999999</v>
      </c>
      <c r="F273" s="55">
        <f>'Long-form'!F273</f>
        <v>112.7404722</v>
      </c>
      <c r="G273" t="str">
        <f>'Long-form'!G273</f>
        <v>1 = Radiocarbon</v>
      </c>
      <c r="H273" s="56">
        <f>'Long-form'!H273</f>
        <v>6080</v>
      </c>
      <c r="I273" s="56">
        <f>'Long-form'!I273</f>
        <v>30</v>
      </c>
      <c r="J273" s="56">
        <f>'Long-form'!J273</f>
        <v>6937</v>
      </c>
      <c r="K273" s="56">
        <f>'Long-form'!K273</f>
        <v>214</v>
      </c>
      <c r="L273" s="56">
        <f>'Long-form'!L273</f>
        <v>136</v>
      </c>
      <c r="M273" s="56" t="str">
        <f>'Long-form'!Q273</f>
        <v>regressive</v>
      </c>
      <c r="N273" s="55">
        <f>'Long-form'!R273</f>
        <v>9.68</v>
      </c>
      <c r="O273" s="55">
        <f>'Long-form'!S273</f>
        <v>11.82</v>
      </c>
      <c r="P273" s="55">
        <f>'Long-form'!T273</f>
        <v>1</v>
      </c>
      <c r="Q273" s="55">
        <f>'Long-form'!AM273</f>
        <v>-5.26</v>
      </c>
      <c r="R273" s="55" t="str">
        <f>'Long-form'!AN273</f>
        <v>YSD</v>
      </c>
      <c r="S273" s="55">
        <f>'Long-form'!AP273</f>
        <v>0.56577907349070455</v>
      </c>
      <c r="T273" s="55">
        <f>'Long-form'!AQ273</f>
        <v>0.56577907349070455</v>
      </c>
      <c r="U273" t="str">
        <f>'Long-form'!BC273</f>
        <v>-1</v>
      </c>
      <c r="V273" t="str">
        <f>'Long-form'!BD273</f>
        <v>5 = Sedimentary (e.g., deltaic, estuarine, wetland, lacustrine, marine facies)</v>
      </c>
      <c r="W273" t="str">
        <f>'Long-form'!BE273</f>
        <v>Delta front deposit</v>
      </c>
      <c r="X273" t="str">
        <f>'Long-form'!BF273</f>
        <v>Brackish and freshwater planktonic diatom (Coscinodiscus octonarius and Aulacoseira granulata)</v>
      </c>
      <c r="Y273" t="str">
        <f>'Long-form'!BH273</f>
        <v>&lt;MTL</v>
      </c>
      <c r="Z273" s="55">
        <f>'Long-form'!BT273</f>
        <v>-5.2239435890000001</v>
      </c>
      <c r="AA273" s="55">
        <f>'Long-form'!BU273</f>
        <v>0.81834154919354063</v>
      </c>
      <c r="AB273" s="55">
        <f>'Long-form'!BV273</f>
        <v>0.81834154919354063</v>
      </c>
      <c r="AC273" s="55" t="str">
        <f>'Long-form'!BW273</f>
        <v>nd</v>
      </c>
      <c r="AD273" s="55" t="str">
        <f>'Long-form'!BX273</f>
        <v>nd</v>
      </c>
      <c r="AE273" s="55" t="str">
        <f>'Long-form'!BY273</f>
        <v>nd</v>
      </c>
      <c r="AF273" t="str">
        <f>'Long-form'!BZ273</f>
        <v>nd</v>
      </c>
      <c r="AG273">
        <f>'Long-form'!CB273</f>
        <v>0</v>
      </c>
      <c r="AH273">
        <f>'Long-form'!CD273</f>
        <v>0</v>
      </c>
    </row>
    <row r="274" spans="1:34">
      <c r="A274" t="str">
        <f>'Long-form'!A274</f>
        <v>Beta-476471</v>
      </c>
      <c r="B274" t="str">
        <f>'Long-form'!B274</f>
        <v>Fu et al. 2020</v>
      </c>
      <c r="C274" t="str">
        <f>'Long-form'!C274</f>
        <v>9a</v>
      </c>
      <c r="D274" t="str">
        <f>'Long-form'!D274</f>
        <v>N_PRD</v>
      </c>
      <c r="E274" s="55">
        <f>'Long-form'!E274</f>
        <v>23.224499999999999</v>
      </c>
      <c r="F274" s="55">
        <f>'Long-form'!F274</f>
        <v>112.7404722</v>
      </c>
      <c r="G274" t="str">
        <f>'Long-form'!G274</f>
        <v>1 = Radiocarbon</v>
      </c>
      <c r="H274" s="56">
        <f>'Long-form'!H274</f>
        <v>7800</v>
      </c>
      <c r="I274" s="56">
        <f>'Long-form'!I274</f>
        <v>30</v>
      </c>
      <c r="J274" s="56">
        <f>'Long-form'!J274</f>
        <v>8572</v>
      </c>
      <c r="K274" s="56">
        <f>'Long-form'!K274</f>
        <v>66</v>
      </c>
      <c r="L274" s="56">
        <f>'Long-form'!L274</f>
        <v>107</v>
      </c>
      <c r="M274" s="56" t="str">
        <f>'Long-form'!Q274</f>
        <v>regressive</v>
      </c>
      <c r="N274" s="55">
        <f>'Long-form'!R274</f>
        <v>16.329999999999998</v>
      </c>
      <c r="O274" s="55">
        <f>'Long-form'!S274</f>
        <v>5.1700000000000017</v>
      </c>
      <c r="P274" s="55">
        <f>'Long-form'!T274</f>
        <v>1</v>
      </c>
      <c r="Q274" s="55">
        <f>'Long-form'!AM274</f>
        <v>-11.91</v>
      </c>
      <c r="R274" s="55" t="str">
        <f>'Long-form'!AN274</f>
        <v>YSD</v>
      </c>
      <c r="S274" s="55">
        <f>'Long-form'!AP274</f>
        <v>0.62393313744342827</v>
      </c>
      <c r="T274" s="55">
        <f>'Long-form'!AQ274</f>
        <v>0.62393313744342827</v>
      </c>
      <c r="U274" t="str">
        <f>'Long-form'!BC274</f>
        <v>-1</v>
      </c>
      <c r="V274" t="str">
        <f>'Long-form'!BD274</f>
        <v>5 = Sedimentary (e.g., deltaic, estuarine, wetland, lacustrine, marine facies)</v>
      </c>
      <c r="W274" t="str">
        <f>'Long-form'!BE274</f>
        <v>Prodelta deposit</v>
      </c>
      <c r="X274" t="str">
        <f>'Long-form'!BF274</f>
        <v>Brackish and freshwater planktonic diatom (Coscinodiscus octonarius and Aulacoseira granulata)</v>
      </c>
      <c r="Y274" t="str">
        <f>'Long-form'!BH274</f>
        <v>&lt;MTL</v>
      </c>
      <c r="Z274" s="55">
        <f>'Long-form'!BT274</f>
        <v>-11.873943589</v>
      </c>
      <c r="AA274" s="55">
        <f>'Long-form'!BU274</f>
        <v>0.62593335108460224</v>
      </c>
      <c r="AB274" s="55">
        <f>'Long-form'!BV274</f>
        <v>0.62593335108460224</v>
      </c>
      <c r="AC274" s="55" t="str">
        <f>'Long-form'!BW274</f>
        <v>nd</v>
      </c>
      <c r="AD274" s="55" t="str">
        <f>'Long-form'!BX274</f>
        <v>nd</v>
      </c>
      <c r="AE274" s="55" t="str">
        <f>'Long-form'!BY274</f>
        <v>nd</v>
      </c>
      <c r="AF274" t="str">
        <f>'Long-form'!BZ274</f>
        <v>nd</v>
      </c>
      <c r="AG274">
        <f>'Long-form'!CB274</f>
        <v>0</v>
      </c>
      <c r="AH274">
        <f>'Long-form'!CD274</f>
        <v>0</v>
      </c>
    </row>
    <row r="275" spans="1:34">
      <c r="A275" t="str">
        <f>'Long-form'!A275</f>
        <v>Beta-491057</v>
      </c>
      <c r="B275" t="str">
        <f>'Long-form'!B275</f>
        <v>Fu et al. 2020</v>
      </c>
      <c r="C275" t="str">
        <f>'Long-form'!C275</f>
        <v>9a</v>
      </c>
      <c r="D275" t="str">
        <f>'Long-form'!D275</f>
        <v>N_PRD</v>
      </c>
      <c r="E275" s="55">
        <f>'Long-form'!E275</f>
        <v>23.224499999999999</v>
      </c>
      <c r="F275" s="55">
        <f>'Long-form'!F275</f>
        <v>112.7404722</v>
      </c>
      <c r="G275" t="str">
        <f>'Long-form'!G275</f>
        <v>1 = Radiocarbon</v>
      </c>
      <c r="H275" s="56">
        <f>'Long-form'!H275</f>
        <v>6780</v>
      </c>
      <c r="I275" s="56">
        <f>'Long-form'!I275</f>
        <v>104.4030650891055</v>
      </c>
      <c r="J275" s="56">
        <f>'Long-form'!J275</f>
        <v>7634</v>
      </c>
      <c r="K275" s="56">
        <f>'Long-form'!K275</f>
        <v>201</v>
      </c>
      <c r="L275" s="56">
        <f>'Long-form'!L275</f>
        <v>202</v>
      </c>
      <c r="M275" s="56" t="str">
        <f>'Long-form'!Q275</f>
        <v>regressive</v>
      </c>
      <c r="N275" s="55">
        <f>'Long-form'!R275</f>
        <v>10.97</v>
      </c>
      <c r="O275" s="55">
        <f>'Long-form'!S275</f>
        <v>10.53</v>
      </c>
      <c r="P275" s="55">
        <f>'Long-form'!T275</f>
        <v>1</v>
      </c>
      <c r="Q275" s="55">
        <f>'Long-form'!AM275</f>
        <v>-6.55</v>
      </c>
      <c r="R275" s="55" t="str">
        <f>'Long-form'!AN275</f>
        <v>YSD</v>
      </c>
      <c r="S275" s="55">
        <f>'Long-form'!AP275</f>
        <v>0.57511856168967457</v>
      </c>
      <c r="T275" s="55">
        <f>'Long-form'!AQ275</f>
        <v>0.57511856168967457</v>
      </c>
      <c r="U275" t="str">
        <f>'Long-form'!BC275</f>
        <v>-1</v>
      </c>
      <c r="V275" t="str">
        <f>'Long-form'!BD275</f>
        <v>5 = Sedimentary (e.g., deltaic, estuarine, wetland, lacustrine, marine facies)</v>
      </c>
      <c r="W275" t="str">
        <f>'Long-form'!BE275</f>
        <v>Delta front deposit</v>
      </c>
      <c r="X275" t="str">
        <f>'Long-form'!BF275</f>
        <v>Brackish and freshwater planktonic diatom (Coscinodiscus octonarius and Aulacoseira granulata)</v>
      </c>
      <c r="Y275" t="str">
        <f>'Long-form'!BH275</f>
        <v>&lt;MTL</v>
      </c>
      <c r="Z275" s="55">
        <f>'Long-form'!BT275</f>
        <v>-6.5139435890000001</v>
      </c>
      <c r="AA275" s="55">
        <f>'Long-form'!BU275</f>
        <v>0.57728793508958764</v>
      </c>
      <c r="AB275" s="55">
        <f>'Long-form'!BV275</f>
        <v>0.57728793508958764</v>
      </c>
      <c r="AC275" s="55" t="str">
        <f>'Long-form'!BW275</f>
        <v>nd</v>
      </c>
      <c r="AD275" s="55" t="str">
        <f>'Long-form'!BX275</f>
        <v>nd</v>
      </c>
      <c r="AE275" s="55" t="str">
        <f>'Long-form'!BY275</f>
        <v>nd</v>
      </c>
      <c r="AF275" t="str">
        <f>'Long-form'!BZ275</f>
        <v>nd</v>
      </c>
      <c r="AG275">
        <f>'Long-form'!CB275</f>
        <v>0</v>
      </c>
      <c r="AH275">
        <f>'Long-form'!CD275</f>
        <v>0</v>
      </c>
    </row>
    <row r="276" spans="1:34">
      <c r="A276" t="str">
        <f>'Long-form'!A276</f>
        <v>Beta-470510</v>
      </c>
      <c r="B276" t="str">
        <f>'Long-form'!B276</f>
        <v>Fu et al. 2020</v>
      </c>
      <c r="C276" t="str">
        <f>'Long-form'!C276</f>
        <v>9a</v>
      </c>
      <c r="D276" t="str">
        <f>'Long-form'!D276</f>
        <v>N_PRD</v>
      </c>
      <c r="E276" s="55">
        <f>'Long-form'!E276</f>
        <v>23.136111100000001</v>
      </c>
      <c r="F276" s="55">
        <f>'Long-form'!F276</f>
        <v>112.6788889</v>
      </c>
      <c r="G276" t="str">
        <f>'Long-form'!G276</f>
        <v>1 = Radiocarbon</v>
      </c>
      <c r="H276" s="56">
        <f>'Long-form'!H276</f>
        <v>250</v>
      </c>
      <c r="I276" s="56">
        <f>'Long-form'!I276</f>
        <v>30</v>
      </c>
      <c r="J276" s="56">
        <f>'Long-form'!J276</f>
        <v>296</v>
      </c>
      <c r="K276" s="56">
        <f>'Long-form'!K276</f>
        <v>131</v>
      </c>
      <c r="L276" s="56">
        <f>'Long-form'!L276</f>
        <v>295</v>
      </c>
      <c r="M276" s="56" t="str">
        <f>'Long-form'!Q276</f>
        <v>regressive</v>
      </c>
      <c r="N276" s="55">
        <f>'Long-form'!R276</f>
        <v>3.15</v>
      </c>
      <c r="O276" s="55" t="str">
        <f>'Long-form'!S276</f>
        <v>nd</v>
      </c>
      <c r="P276" s="55">
        <f>'Long-form'!T276</f>
        <v>1</v>
      </c>
      <c r="Q276" s="55">
        <f>'Long-form'!AM276</f>
        <v>1.55</v>
      </c>
      <c r="R276" s="55" t="str">
        <f>'Long-form'!AN276</f>
        <v>YSD</v>
      </c>
      <c r="S276" s="55">
        <f>'Long-form'!AP276</f>
        <v>0.53534474873673699</v>
      </c>
      <c r="T276" s="55">
        <f>'Long-form'!AQ276</f>
        <v>0.53534474873673699</v>
      </c>
      <c r="U276" t="str">
        <f>'Long-form'!BC276</f>
        <v xml:space="preserve">1 </v>
      </c>
      <c r="V276" t="str">
        <f>'Long-form'!BD276</f>
        <v>5 = Sedimentary (e.g., deltaic, estuarine, wetland, lacustrine, marine facies)</v>
      </c>
      <c r="W276" t="str">
        <f>'Long-form'!BE276</f>
        <v>Flood plain deposit</v>
      </c>
      <c r="X276" t="str">
        <f>'Long-form'!BF276</f>
        <v>Yellow (oxidised) mud with bioturbation)</v>
      </c>
      <c r="Y276" t="str">
        <f>'Long-form'!BH276</f>
        <v>&gt;MTL</v>
      </c>
      <c r="Z276" s="55">
        <f>'Long-form'!BT276</f>
        <v>1.586357821</v>
      </c>
      <c r="AA276" s="55">
        <f>'Long-form'!BU276</f>
        <v>0.53767462279709655</v>
      </c>
      <c r="AB276" s="55">
        <f>'Long-form'!BV276</f>
        <v>0.53767462279709655</v>
      </c>
      <c r="AC276" s="55" t="str">
        <f>'Long-form'!BW276</f>
        <v>nd</v>
      </c>
      <c r="AD276" s="55" t="str">
        <f>'Long-form'!BX276</f>
        <v>nd</v>
      </c>
      <c r="AE276" s="55" t="str">
        <f>'Long-form'!BY276</f>
        <v>nd</v>
      </c>
      <c r="AF276" t="str">
        <f>'Long-form'!BZ276</f>
        <v>nd</v>
      </c>
      <c r="AG276">
        <f>'Long-form'!CB276</f>
        <v>0</v>
      </c>
      <c r="AH276">
        <f>'Long-form'!CD276</f>
        <v>0</v>
      </c>
    </row>
    <row r="277" spans="1:34">
      <c r="A277" t="str">
        <f>'Long-form'!A277</f>
        <v>Beta-470511</v>
      </c>
      <c r="B277" t="str">
        <f>'Long-form'!B277</f>
        <v>Fu et al. 2020</v>
      </c>
      <c r="C277" t="str">
        <f>'Long-form'!C277</f>
        <v>9a</v>
      </c>
      <c r="D277" t="str">
        <f>'Long-form'!D277</f>
        <v>N_PRD</v>
      </c>
      <c r="E277" s="55">
        <f>'Long-form'!E277</f>
        <v>23.136111100000001</v>
      </c>
      <c r="F277" s="55">
        <f>'Long-form'!F277</f>
        <v>112.6788889</v>
      </c>
      <c r="G277" t="str">
        <f>'Long-form'!G277</f>
        <v>1 = Radiocarbon</v>
      </c>
      <c r="H277" s="56">
        <f>'Long-form'!H277</f>
        <v>940</v>
      </c>
      <c r="I277" s="56">
        <f>'Long-form'!I277</f>
        <v>30</v>
      </c>
      <c r="J277" s="56">
        <f>'Long-form'!J277</f>
        <v>849</v>
      </c>
      <c r="K277" s="56">
        <f>'Long-form'!K277</f>
        <v>72</v>
      </c>
      <c r="L277" s="56">
        <f>'Long-form'!L277</f>
        <v>66</v>
      </c>
      <c r="M277" s="56" t="str">
        <f>'Long-form'!Q277</f>
        <v>regressive</v>
      </c>
      <c r="N277" s="55">
        <f>'Long-form'!R277</f>
        <v>6.54</v>
      </c>
      <c r="O277" s="55" t="str">
        <f>'Long-form'!S277</f>
        <v>nd</v>
      </c>
      <c r="P277" s="55">
        <f>'Long-form'!T277</f>
        <v>1</v>
      </c>
      <c r="Q277" s="55">
        <f>'Long-form'!AM277</f>
        <v>-1.84</v>
      </c>
      <c r="R277" s="55" t="str">
        <f>'Long-form'!AN277</f>
        <v>YSD</v>
      </c>
      <c r="S277" s="55">
        <f>'Long-form'!AP277</f>
        <v>0.54747935120879221</v>
      </c>
      <c r="T277" s="55">
        <f>'Long-form'!AQ277</f>
        <v>0.54747935120879221</v>
      </c>
      <c r="U277" t="str">
        <f>'Long-form'!BC277</f>
        <v xml:space="preserve">-1 </v>
      </c>
      <c r="V277" t="str">
        <f>'Long-form'!BD277</f>
        <v>5 = Sedimentary (e.g., deltaic, estuarine, wetland, lacustrine, marine facies)</v>
      </c>
      <c r="W277" t="str">
        <f>'Long-form'!BE277</f>
        <v>Flood plain deposit</v>
      </c>
      <c r="X277" t="str">
        <f>'Long-form'!BF277</f>
        <v>Mud with plant fragments</v>
      </c>
      <c r="Y277" t="str">
        <f>'Long-form'!BH277</f>
        <v>&lt;HAT</v>
      </c>
      <c r="Z277" s="55">
        <f>'Long-form'!BT277</f>
        <v>-3.5312533740000003</v>
      </c>
      <c r="AA277" s="55">
        <f>'Long-form'!BU277</f>
        <v>0.57631036777070044</v>
      </c>
      <c r="AB277" s="55">
        <f>'Long-form'!BV277</f>
        <v>0.57631036777070044</v>
      </c>
      <c r="AC277" s="55" t="str">
        <f>'Long-form'!BW277</f>
        <v>nd</v>
      </c>
      <c r="AD277" s="55" t="str">
        <f>'Long-form'!BX277</f>
        <v>nd</v>
      </c>
      <c r="AE277" s="55" t="str">
        <f>'Long-form'!BY277</f>
        <v>nd</v>
      </c>
      <c r="AF277" t="str">
        <f>'Long-form'!BZ277</f>
        <v>nd</v>
      </c>
      <c r="AG277">
        <f>'Long-form'!CB277</f>
        <v>1</v>
      </c>
      <c r="AH277">
        <f>'Long-form'!CD277</f>
        <v>0</v>
      </c>
    </row>
    <row r="278" spans="1:34">
      <c r="A278" t="str">
        <f>'Long-form'!A278</f>
        <v>Beta-458420</v>
      </c>
      <c r="B278" t="str">
        <f>'Long-form'!B278</f>
        <v>Fu et al. 2020</v>
      </c>
      <c r="C278" t="str">
        <f>'Long-form'!C278</f>
        <v>9a</v>
      </c>
      <c r="D278" t="str">
        <f>'Long-form'!D278</f>
        <v>N_PRD</v>
      </c>
      <c r="E278" s="55">
        <f>'Long-form'!E278</f>
        <v>23.136111100000001</v>
      </c>
      <c r="F278" s="55">
        <f>'Long-form'!F278</f>
        <v>112.6788889</v>
      </c>
      <c r="G278" t="str">
        <f>'Long-form'!G278</f>
        <v>1 = Radiocarbon</v>
      </c>
      <c r="H278" s="56">
        <f>'Long-form'!H278</f>
        <v>1620</v>
      </c>
      <c r="I278" s="56">
        <f>'Long-form'!I278</f>
        <v>30</v>
      </c>
      <c r="J278" s="56">
        <f>'Long-form'!J278</f>
        <v>1480</v>
      </c>
      <c r="K278" s="56">
        <f>'Long-form'!K278</f>
        <v>63</v>
      </c>
      <c r="L278" s="56">
        <f>'Long-form'!L278</f>
        <v>71</v>
      </c>
      <c r="M278" s="56" t="str">
        <f>'Long-form'!Q278</f>
        <v>regressive</v>
      </c>
      <c r="N278" s="55">
        <f>'Long-form'!R278</f>
        <v>8.44</v>
      </c>
      <c r="O278" s="55" t="str">
        <f>'Long-form'!S278</f>
        <v>nd</v>
      </c>
      <c r="P278" s="55">
        <f>'Long-form'!T278</f>
        <v>1</v>
      </c>
      <c r="Q278" s="55">
        <f>'Long-form'!AM278</f>
        <v>-3.74</v>
      </c>
      <c r="R278" s="55" t="str">
        <f>'Long-form'!AN278</f>
        <v>YSD</v>
      </c>
      <c r="S278" s="55">
        <f>'Long-form'!AP278</f>
        <v>0.55777992075728222</v>
      </c>
      <c r="T278" s="55">
        <f>'Long-form'!AQ278</f>
        <v>0.55777992075728222</v>
      </c>
      <c r="U278" t="str">
        <f>'Long-form'!BC278</f>
        <v xml:space="preserve">-1 </v>
      </c>
      <c r="V278" t="str">
        <f>'Long-form'!BD278</f>
        <v>5 = Sedimentary (e.g., deltaic, estuarine, wetland, lacustrine, marine facies)</v>
      </c>
      <c r="W278" t="str">
        <f>'Long-form'!BE278</f>
        <v>Coastal lagoon deposit</v>
      </c>
      <c r="X278" t="str">
        <f>'Long-form'!BF278</f>
        <v>Diatom assembklage (brackish and freshwater diatom) with plant fragments</v>
      </c>
      <c r="Y278" t="str">
        <f>'Long-form'!BH278</f>
        <v>&lt;HAT</v>
      </c>
      <c r="Z278" s="55">
        <f>'Long-form'!BT278</f>
        <v>-5.4312533740000006</v>
      </c>
      <c r="AA278" s="55">
        <f>'Long-form'!BU278</f>
        <v>0.58610446167897412</v>
      </c>
      <c r="AB278" s="55">
        <f>'Long-form'!BV278</f>
        <v>0.58610446167897412</v>
      </c>
      <c r="AC278" s="55" t="str">
        <f>'Long-form'!BW278</f>
        <v>nd</v>
      </c>
      <c r="AD278" s="55" t="str">
        <f>'Long-form'!BX278</f>
        <v>nd</v>
      </c>
      <c r="AE278" s="55" t="str">
        <f>'Long-form'!BY278</f>
        <v>nd</v>
      </c>
      <c r="AF278" t="str">
        <f>'Long-form'!BZ278</f>
        <v>nd</v>
      </c>
      <c r="AG278">
        <f>'Long-form'!CB278</f>
        <v>0</v>
      </c>
      <c r="AH278">
        <f>'Long-form'!CD278</f>
        <v>0</v>
      </c>
    </row>
    <row r="279" spans="1:34">
      <c r="A279" t="str">
        <f>'Long-form'!A279</f>
        <v>Beta-458421</v>
      </c>
      <c r="B279" t="str">
        <f>'Long-form'!B279</f>
        <v>Fu et al. 2020</v>
      </c>
      <c r="C279" t="str">
        <f>'Long-form'!C279</f>
        <v>9a</v>
      </c>
      <c r="D279" t="str">
        <f>'Long-form'!D279</f>
        <v>N_PRD</v>
      </c>
      <c r="E279" s="55">
        <f>'Long-form'!E279</f>
        <v>23.136111100000001</v>
      </c>
      <c r="F279" s="55">
        <f>'Long-form'!F279</f>
        <v>112.6788889</v>
      </c>
      <c r="G279" t="str">
        <f>'Long-form'!G279</f>
        <v>1 = Radiocarbon</v>
      </c>
      <c r="H279" s="56">
        <f>'Long-form'!H279</f>
        <v>1770</v>
      </c>
      <c r="I279" s="56">
        <f>'Long-form'!I279</f>
        <v>30</v>
      </c>
      <c r="J279" s="56">
        <f>'Long-form'!J279</f>
        <v>1652</v>
      </c>
      <c r="K279" s="56">
        <f>'Long-form'!K279</f>
        <v>72</v>
      </c>
      <c r="L279" s="56">
        <f>'Long-form'!L279</f>
        <v>77</v>
      </c>
      <c r="M279" s="56" t="str">
        <f>'Long-form'!Q279</f>
        <v>regressive</v>
      </c>
      <c r="N279" s="55">
        <f>'Long-form'!R279</f>
        <v>8.98</v>
      </c>
      <c r="O279" s="55" t="str">
        <f>'Long-form'!S279</f>
        <v>nd</v>
      </c>
      <c r="P279" s="55">
        <f>'Long-form'!T279</f>
        <v>1</v>
      </c>
      <c r="Q279" s="55">
        <f>'Long-form'!AM279</f>
        <v>-4.28</v>
      </c>
      <c r="R279" s="55" t="str">
        <f>'Long-form'!AN279</f>
        <v>YSD</v>
      </c>
      <c r="S279" s="55">
        <f>'Long-form'!AP279</f>
        <v>0.56114272694208556</v>
      </c>
      <c r="T279" s="55">
        <f>'Long-form'!AQ279</f>
        <v>0.56114272694208556</v>
      </c>
      <c r="U279" t="str">
        <f>'Long-form'!BC279</f>
        <v xml:space="preserve">-1 </v>
      </c>
      <c r="V279" t="str">
        <f>'Long-form'!BD279</f>
        <v>5 = Sedimentary (e.g., deltaic, estuarine, wetland, lacustrine, marine facies)</v>
      </c>
      <c r="W279" t="str">
        <f>'Long-form'!BE279</f>
        <v>Coastal lagoon deposit</v>
      </c>
      <c r="X279" t="str">
        <f>'Long-form'!BF279</f>
        <v>Diatom assembklage (brackish and freshwater diatom) with plant fragments</v>
      </c>
      <c r="Y279" t="str">
        <f>'Long-form'!BH279</f>
        <v>&lt;HAT</v>
      </c>
      <c r="Z279" s="55">
        <f>'Long-form'!BT279</f>
        <v>-5.9712533739999998</v>
      </c>
      <c r="AA279" s="55">
        <f>'Long-form'!BU279</f>
        <v>0.58930565922957157</v>
      </c>
      <c r="AB279" s="55">
        <f>'Long-form'!BV279</f>
        <v>0.58930565922957157</v>
      </c>
      <c r="AC279" s="55" t="str">
        <f>'Long-form'!BW279</f>
        <v>nd</v>
      </c>
      <c r="AD279" s="55" t="str">
        <f>'Long-form'!BX279</f>
        <v>nd</v>
      </c>
      <c r="AE279" s="55" t="str">
        <f>'Long-form'!BY279</f>
        <v>nd</v>
      </c>
      <c r="AF279" t="str">
        <f>'Long-form'!BZ279</f>
        <v>nd</v>
      </c>
      <c r="AG279">
        <f>'Long-form'!CB279</f>
        <v>0</v>
      </c>
      <c r="AH279">
        <f>'Long-form'!CD279</f>
        <v>0</v>
      </c>
    </row>
    <row r="280" spans="1:34">
      <c r="A280" t="str">
        <f>'Long-form'!A280</f>
        <v>Beta-458422</v>
      </c>
      <c r="B280" t="str">
        <f>'Long-form'!B280</f>
        <v>Fu et al. 2020</v>
      </c>
      <c r="C280" t="str">
        <f>'Long-form'!C280</f>
        <v>9a</v>
      </c>
      <c r="D280" t="str">
        <f>'Long-form'!D280</f>
        <v>N_PRD</v>
      </c>
      <c r="E280" s="55">
        <f>'Long-form'!E280</f>
        <v>23.136111100000001</v>
      </c>
      <c r="F280" s="55">
        <f>'Long-form'!F280</f>
        <v>112.6788889</v>
      </c>
      <c r="G280" t="str">
        <f>'Long-form'!G280</f>
        <v>1 = Radiocarbon</v>
      </c>
      <c r="H280" s="56">
        <f>'Long-form'!H280</f>
        <v>2140</v>
      </c>
      <c r="I280" s="56">
        <f>'Long-form'!I280</f>
        <v>30</v>
      </c>
      <c r="J280" s="56">
        <f>'Long-form'!J280</f>
        <v>2115</v>
      </c>
      <c r="K280" s="56">
        <f>'Long-form'!K280</f>
        <v>184</v>
      </c>
      <c r="L280" s="56">
        <f>'Long-form'!L280</f>
        <v>114</v>
      </c>
      <c r="M280" s="56" t="str">
        <f>'Long-form'!Q280</f>
        <v>regressive</v>
      </c>
      <c r="N280" s="55">
        <f>'Long-form'!R280</f>
        <v>9.85</v>
      </c>
      <c r="O280" s="55" t="str">
        <f>'Long-form'!S280</f>
        <v>nd</v>
      </c>
      <c r="P280" s="55">
        <f>'Long-form'!T280</f>
        <v>1</v>
      </c>
      <c r="Q280" s="55">
        <f>'Long-form'!AM280</f>
        <v>-5.15</v>
      </c>
      <c r="R280" s="55" t="str">
        <f>'Long-form'!AN280</f>
        <v>YSD</v>
      </c>
      <c r="S280" s="55">
        <f>'Long-form'!AP280</f>
        <v>0.56695149704361836</v>
      </c>
      <c r="T280" s="55">
        <f>'Long-form'!AQ280</f>
        <v>0.56695149704361836</v>
      </c>
      <c r="U280" t="str">
        <f>'Long-form'!BC280</f>
        <v xml:space="preserve">-1 </v>
      </c>
      <c r="V280" t="str">
        <f>'Long-form'!BD280</f>
        <v>5 = Sedimentary (e.g., deltaic, estuarine, wetland, lacustrine, marine facies)</v>
      </c>
      <c r="W280" t="str">
        <f>'Long-form'!BE280</f>
        <v>Coastal lagoon deposit</v>
      </c>
      <c r="X280" t="str">
        <f>'Long-form'!BF280</f>
        <v>Diatom assembklage (brackish and freshwater diatom) with plant fragments</v>
      </c>
      <c r="Y280" t="str">
        <f>'Long-form'!BH280</f>
        <v>&lt;HAT</v>
      </c>
      <c r="Z280" s="55">
        <f>'Long-form'!BT280</f>
        <v>-6.8412533740000008</v>
      </c>
      <c r="AA280" s="55">
        <f>'Long-form'!BU280</f>
        <v>0.59483947414407523</v>
      </c>
      <c r="AB280" s="55">
        <f>'Long-form'!BV280</f>
        <v>0.59483947414407523</v>
      </c>
      <c r="AC280" s="55" t="str">
        <f>'Long-form'!BW280</f>
        <v>nd</v>
      </c>
      <c r="AD280" s="55" t="str">
        <f>'Long-form'!BX280</f>
        <v>nd</v>
      </c>
      <c r="AE280" s="55" t="str">
        <f>'Long-form'!BY280</f>
        <v>nd</v>
      </c>
      <c r="AF280" t="str">
        <f>'Long-form'!BZ280</f>
        <v>nd</v>
      </c>
      <c r="AG280">
        <f>'Long-form'!CB280</f>
        <v>0</v>
      </c>
      <c r="AH280">
        <f>'Long-form'!CD280</f>
        <v>0</v>
      </c>
    </row>
    <row r="281" spans="1:34">
      <c r="A281" t="str">
        <f>'Long-form'!A281</f>
        <v>Beta-470512</v>
      </c>
      <c r="B281" t="str">
        <f>'Long-form'!B281</f>
        <v>Fu et al. 2020</v>
      </c>
      <c r="C281" t="str">
        <f>'Long-form'!C281</f>
        <v>9a</v>
      </c>
      <c r="D281" t="str">
        <f>'Long-form'!D281</f>
        <v>N_PRD</v>
      </c>
      <c r="E281" s="55">
        <f>'Long-form'!E281</f>
        <v>23.136111100000001</v>
      </c>
      <c r="F281" s="55">
        <f>'Long-form'!F281</f>
        <v>112.6788889</v>
      </c>
      <c r="G281" t="str">
        <f>'Long-form'!G281</f>
        <v>1 = Radiocarbon</v>
      </c>
      <c r="H281" s="56">
        <f>'Long-form'!H281</f>
        <v>2270</v>
      </c>
      <c r="I281" s="56">
        <f>'Long-form'!I281</f>
        <v>30</v>
      </c>
      <c r="J281" s="56">
        <f>'Long-form'!J281</f>
        <v>2241</v>
      </c>
      <c r="K281" s="56">
        <f>'Long-form'!K281</f>
        <v>104</v>
      </c>
      <c r="L281" s="56">
        <f>'Long-form'!L281</f>
        <v>84</v>
      </c>
      <c r="M281" s="56" t="str">
        <f>'Long-form'!Q281</f>
        <v>regressive</v>
      </c>
      <c r="N281" s="55">
        <f>'Long-form'!R281</f>
        <v>10.51</v>
      </c>
      <c r="O281" s="55" t="str">
        <f>'Long-form'!S281</f>
        <v>nd</v>
      </c>
      <c r="P281" s="55">
        <f>'Long-form'!T281</f>
        <v>1</v>
      </c>
      <c r="Q281" s="55">
        <f>'Long-form'!AM281</f>
        <v>-5.81</v>
      </c>
      <c r="R281" s="55" t="str">
        <f>'Long-form'!AN281</f>
        <v>YSD</v>
      </c>
      <c r="S281" s="55">
        <f>'Long-form'!AP281</f>
        <v>0.57167214380272191</v>
      </c>
      <c r="T281" s="55">
        <f>'Long-form'!AQ281</f>
        <v>0.57167214380272191</v>
      </c>
      <c r="U281" t="str">
        <f>'Long-form'!BC281</f>
        <v xml:space="preserve">-1 </v>
      </c>
      <c r="V281" t="str">
        <f>'Long-form'!BD281</f>
        <v>5 = Sedimentary (e.g., deltaic, estuarine, wetland, lacustrine, marine facies)</v>
      </c>
      <c r="W281" t="str">
        <f>'Long-form'!BE281</f>
        <v>Lagoon deposit</v>
      </c>
      <c r="X281" t="str">
        <f>'Long-form'!BF281</f>
        <v>Organic matter, roots, plant fragments</v>
      </c>
      <c r="Y281" t="str">
        <f>'Long-form'!BH281</f>
        <v>&lt;HAT</v>
      </c>
      <c r="Z281" s="55">
        <f>'Long-form'!BT281</f>
        <v>-7.5012533739999991</v>
      </c>
      <c r="AA281" s="55">
        <f>'Long-form'!BU281</f>
        <v>0.59934050422109797</v>
      </c>
      <c r="AB281" s="55">
        <f>'Long-form'!BV281</f>
        <v>0.59934050422109797</v>
      </c>
      <c r="AC281" s="55" t="str">
        <f>'Long-form'!BW281</f>
        <v>nd</v>
      </c>
      <c r="AD281" s="55" t="str">
        <f>'Long-form'!BX281</f>
        <v>nd</v>
      </c>
      <c r="AE281" s="55" t="str">
        <f>'Long-form'!BY281</f>
        <v>nd</v>
      </c>
      <c r="AF281" t="str">
        <f>'Long-form'!BZ281</f>
        <v>nd</v>
      </c>
      <c r="AG281">
        <f>'Long-form'!CB281</f>
        <v>0</v>
      </c>
      <c r="AH281">
        <f>'Long-form'!CD281</f>
        <v>0</v>
      </c>
    </row>
    <row r="282" spans="1:34">
      <c r="A282" t="str">
        <f>'Long-form'!A282</f>
        <v>Beta-470513</v>
      </c>
      <c r="B282" t="str">
        <f>'Long-form'!B282</f>
        <v>Fu et al. 2020</v>
      </c>
      <c r="C282" t="str">
        <f>'Long-form'!C282</f>
        <v>9a</v>
      </c>
      <c r="D282" t="str">
        <f>'Long-form'!D282</f>
        <v>N_PRD</v>
      </c>
      <c r="E282" s="55">
        <f>'Long-form'!E282</f>
        <v>23.136111100000001</v>
      </c>
      <c r="F282" s="55">
        <f>'Long-form'!F282</f>
        <v>112.6788889</v>
      </c>
      <c r="G282" t="str">
        <f>'Long-form'!G282</f>
        <v>1 = Radiocarbon</v>
      </c>
      <c r="H282" s="56">
        <f>'Long-form'!H282</f>
        <v>7190</v>
      </c>
      <c r="I282" s="56">
        <f>'Long-form'!I282</f>
        <v>30</v>
      </c>
      <c r="J282" s="56">
        <f>'Long-form'!J282</f>
        <v>7993</v>
      </c>
      <c r="K282" s="56">
        <f>'Long-form'!K282</f>
        <v>38</v>
      </c>
      <c r="L282" s="56">
        <f>'Long-form'!L282</f>
        <v>53</v>
      </c>
      <c r="M282" s="56" t="str">
        <f>'Long-form'!Q282</f>
        <v>regressive</v>
      </c>
      <c r="N282" s="55">
        <f>'Long-form'!R282</f>
        <v>10.78</v>
      </c>
      <c r="O282" s="55" t="str">
        <f>'Long-form'!S282</f>
        <v>nd</v>
      </c>
      <c r="P282" s="55">
        <f>'Long-form'!T282</f>
        <v>1</v>
      </c>
      <c r="Q282" s="55">
        <f>'Long-form'!AM282</f>
        <v>-6.08</v>
      </c>
      <c r="R282" s="55" t="str">
        <f>'Long-form'!AN282</f>
        <v>YSD</v>
      </c>
      <c r="S282" s="55">
        <f>'Long-form'!AP282</f>
        <v>0.57367966671305337</v>
      </c>
      <c r="T282" s="55">
        <f>'Long-form'!AQ282</f>
        <v>0.57367966671305337</v>
      </c>
      <c r="U282" t="str">
        <f>'Long-form'!BC282</f>
        <v>-1</v>
      </c>
      <c r="V282" t="str">
        <f>'Long-form'!BD282</f>
        <v>5 = Sedimentary (e.g., deltaic, estuarine, wetland, lacustrine, marine facies)</v>
      </c>
      <c r="W282" t="str">
        <f>'Long-form'!BE282</f>
        <v>Subtidal deposit</v>
      </c>
      <c r="X282" t="str">
        <f>'Long-form'!BF282</f>
        <v>Increased brackish diatoms in the unit suggests subtidal condition</v>
      </c>
      <c r="Y282" t="str">
        <f>'Long-form'!BH282</f>
        <v>&lt;MTL</v>
      </c>
      <c r="Z282" s="55">
        <f>'Long-form'!BT282</f>
        <v>-6.0436421789999999</v>
      </c>
      <c r="AA282" s="55">
        <f>'Long-form'!BU282</f>
        <v>0.63622676106961096</v>
      </c>
      <c r="AB282" s="55">
        <f>'Long-form'!BV282</f>
        <v>0.63622676106961096</v>
      </c>
      <c r="AC282" s="55" t="str">
        <f>'Long-form'!BW282</f>
        <v>nd</v>
      </c>
      <c r="AD282" s="55" t="str">
        <f>'Long-form'!BX282</f>
        <v>nd</v>
      </c>
      <c r="AE282" s="55" t="str">
        <f>'Long-form'!BY282</f>
        <v>nd</v>
      </c>
      <c r="AF282" t="str">
        <f>'Long-form'!BZ282</f>
        <v>nd</v>
      </c>
      <c r="AG282">
        <f>'Long-form'!CB282</f>
        <v>0</v>
      </c>
      <c r="AH282">
        <f>'Long-form'!CD282</f>
        <v>0</v>
      </c>
    </row>
    <row r="283" spans="1:34">
      <c r="A283" t="str">
        <f>'Long-form'!A283</f>
        <v>Beta-470514</v>
      </c>
      <c r="B283" t="str">
        <f>'Long-form'!B283</f>
        <v>Fu et al. 2020</v>
      </c>
      <c r="C283" t="str">
        <f>'Long-form'!C283</f>
        <v>9a</v>
      </c>
      <c r="D283" t="str">
        <f>'Long-form'!D283</f>
        <v>N_PRD</v>
      </c>
      <c r="E283" s="55">
        <f>'Long-form'!E283</f>
        <v>23.136111100000001</v>
      </c>
      <c r="F283" s="55">
        <f>'Long-form'!F283</f>
        <v>112.6788889</v>
      </c>
      <c r="G283" t="str">
        <f>'Long-form'!G283</f>
        <v>1 = Radiocarbon</v>
      </c>
      <c r="H283" s="56">
        <f>'Long-form'!H283</f>
        <v>7670</v>
      </c>
      <c r="I283" s="56">
        <f>'Long-form'!I283</f>
        <v>30</v>
      </c>
      <c r="J283" s="56">
        <f>'Long-form'!J283</f>
        <v>8449</v>
      </c>
      <c r="K283" s="56">
        <f>'Long-form'!K283</f>
        <v>89</v>
      </c>
      <c r="L283" s="56">
        <f>'Long-form'!L283</f>
        <v>47</v>
      </c>
      <c r="M283" s="56" t="str">
        <f>'Long-form'!Q283</f>
        <v>transgressive</v>
      </c>
      <c r="N283" s="55">
        <f>'Long-form'!R283</f>
        <v>11.75</v>
      </c>
      <c r="O283" s="55" t="str">
        <f>'Long-form'!S283</f>
        <v>nd</v>
      </c>
      <c r="P283" s="55">
        <f>'Long-form'!T283</f>
        <v>1</v>
      </c>
      <c r="Q283" s="55">
        <f>'Long-form'!AM283</f>
        <v>-7.05</v>
      </c>
      <c r="R283" s="55" t="str">
        <f>'Long-form'!AN283</f>
        <v>YSD</v>
      </c>
      <c r="S283" s="55">
        <f>'Long-form'!AP283</f>
        <v>0.58124865591242447</v>
      </c>
      <c r="T283" s="55">
        <f>'Long-form'!AQ283</f>
        <v>0.58124865591242447</v>
      </c>
      <c r="U283" t="str">
        <f>'Long-form'!BC283</f>
        <v>0</v>
      </c>
      <c r="V283" t="str">
        <f>'Long-form'!BD283</f>
        <v>5 = Sedimentary (e.g., deltaic, estuarine, wetland, lacustrine, marine facies)</v>
      </c>
      <c r="W283" t="str">
        <f>'Long-form'!BE283</f>
        <v>Tidal flat deposit</v>
      </c>
      <c r="X283" t="str">
        <f>'Long-form'!BF283</f>
        <v>Organic matter, roots, plant fragments</v>
      </c>
      <c r="Y283" t="str">
        <f>'Long-form'!BH283</f>
        <v>HAT-LAT</v>
      </c>
      <c r="Z283" s="55">
        <f>'Long-form'!BT283</f>
        <v>-7.1718014324999997</v>
      </c>
      <c r="AA283" s="55">
        <f>'Long-form'!BU283</f>
        <v>1.7085545031953808</v>
      </c>
      <c r="AB283" s="55">
        <f>'Long-form'!BV283</f>
        <v>1.7085545031953808</v>
      </c>
      <c r="AC283" s="55" t="str">
        <f>'Long-form'!BW283</f>
        <v>nd</v>
      </c>
      <c r="AD283" s="55" t="str">
        <f>'Long-form'!BX283</f>
        <v>nd</v>
      </c>
      <c r="AE283" s="55" t="str">
        <f>'Long-form'!BY283</f>
        <v>nd</v>
      </c>
      <c r="AF283" t="str">
        <f>'Long-form'!BZ283</f>
        <v>nd</v>
      </c>
      <c r="AG283">
        <f>'Long-form'!CB283</f>
        <v>0</v>
      </c>
      <c r="AH283">
        <f>'Long-form'!CD283</f>
        <v>0</v>
      </c>
    </row>
    <row r="284" spans="1:34">
      <c r="A284" t="str">
        <f>'Long-form'!A284</f>
        <v>Beta-458423</v>
      </c>
      <c r="B284" t="str">
        <f>'Long-form'!B284</f>
        <v>Fu et al. 2020</v>
      </c>
      <c r="C284" t="str">
        <f>'Long-form'!C284</f>
        <v>9a</v>
      </c>
      <c r="D284" t="str">
        <f>'Long-form'!D284</f>
        <v>N_PRD</v>
      </c>
      <c r="E284" s="55">
        <f>'Long-form'!E284</f>
        <v>23.136111100000001</v>
      </c>
      <c r="F284" s="55">
        <f>'Long-form'!F284</f>
        <v>112.6788889</v>
      </c>
      <c r="G284" t="str">
        <f>'Long-form'!G284</f>
        <v>1 = Radiocarbon</v>
      </c>
      <c r="H284" s="56">
        <f>'Long-form'!H284</f>
        <v>7930</v>
      </c>
      <c r="I284" s="56">
        <f>'Long-form'!I284</f>
        <v>30</v>
      </c>
      <c r="J284" s="56">
        <f>'Long-form'!J284</f>
        <v>8760</v>
      </c>
      <c r="K284" s="56">
        <f>'Long-form'!K284</f>
        <v>222</v>
      </c>
      <c r="L284" s="56">
        <f>'Long-form'!L284</f>
        <v>154</v>
      </c>
      <c r="M284" s="56" t="str">
        <f>'Long-form'!Q284</f>
        <v>transgressive</v>
      </c>
      <c r="N284" s="55">
        <f>'Long-form'!R284</f>
        <v>12</v>
      </c>
      <c r="O284" s="55" t="str">
        <f>'Long-form'!S284</f>
        <v>nd</v>
      </c>
      <c r="P284" s="55">
        <f>'Long-form'!T284</f>
        <v>1</v>
      </c>
      <c r="Q284" s="55">
        <f>'Long-form'!AM284</f>
        <v>-7.3</v>
      </c>
      <c r="R284" s="55" t="str">
        <f>'Long-form'!AN284</f>
        <v>YSD</v>
      </c>
      <c r="S284" s="55">
        <f>'Long-form'!AP284</f>
        <v>0.58328809348382893</v>
      </c>
      <c r="T284" s="55">
        <f>'Long-form'!AQ284</f>
        <v>0.58328809348382893</v>
      </c>
      <c r="U284" t="str">
        <f>'Long-form'!BC284</f>
        <v>0</v>
      </c>
      <c r="V284" t="str">
        <f>'Long-form'!BD284</f>
        <v>5 = Sedimentary (e.g., deltaic, estuarine, wetland, lacustrine, marine facies)</v>
      </c>
      <c r="W284" t="str">
        <f>'Long-form'!BE284</f>
        <v>Tidal flat deposit</v>
      </c>
      <c r="X284" t="str">
        <f>'Long-form'!BF284</f>
        <v>Organic matter, roots, plant fragments</v>
      </c>
      <c r="Y284" t="str">
        <f>'Long-form'!BH284</f>
        <v>HAT-LAT</v>
      </c>
      <c r="Z284" s="55">
        <f>'Long-form'!BT284</f>
        <v>-7.4218014324999997</v>
      </c>
      <c r="AA284" s="55">
        <f>'Long-form'!BU284</f>
        <v>1.7109234848115846</v>
      </c>
      <c r="AB284" s="55">
        <f>'Long-form'!BV284</f>
        <v>1.7109234848115846</v>
      </c>
      <c r="AC284" s="55" t="str">
        <f>'Long-form'!BW284</f>
        <v>nd</v>
      </c>
      <c r="AD284" s="55" t="str">
        <f>'Long-form'!BX284</f>
        <v>nd</v>
      </c>
      <c r="AE284" s="55" t="str">
        <f>'Long-form'!BY284</f>
        <v>nd</v>
      </c>
      <c r="AF284" t="str">
        <f>'Long-form'!BZ284</f>
        <v>nd</v>
      </c>
      <c r="AG284">
        <f>'Long-form'!CB284</f>
        <v>0</v>
      </c>
      <c r="AH284">
        <f>'Long-form'!CD284</f>
        <v>0</v>
      </c>
    </row>
    <row r="285" spans="1:34">
      <c r="A285" t="str">
        <f>'Long-form'!A285</f>
        <v>Beta-494998</v>
      </c>
      <c r="B285" t="str">
        <f>'Long-form'!B285</f>
        <v>Fu et al. 2020</v>
      </c>
      <c r="C285" t="str">
        <f>'Long-form'!C285</f>
        <v>9a</v>
      </c>
      <c r="D285" t="str">
        <f>'Long-form'!D285</f>
        <v>N_PRD</v>
      </c>
      <c r="E285" s="55">
        <f>'Long-form'!E285</f>
        <v>23.1477778</v>
      </c>
      <c r="F285" s="55">
        <f>'Long-form'!F285</f>
        <v>112.67805559999999</v>
      </c>
      <c r="G285" t="str">
        <f>'Long-form'!G285</f>
        <v>1 = Radiocarbon</v>
      </c>
      <c r="H285" s="56">
        <f>'Long-form'!H285</f>
        <v>5870</v>
      </c>
      <c r="I285" s="56">
        <f>'Long-form'!I285</f>
        <v>40</v>
      </c>
      <c r="J285" s="56">
        <f>'Long-form'!J285</f>
        <v>6694</v>
      </c>
      <c r="K285" s="56">
        <f>'Long-form'!K285</f>
        <v>94</v>
      </c>
      <c r="L285" s="56">
        <f>'Long-form'!L285</f>
        <v>130</v>
      </c>
      <c r="M285" s="56" t="str">
        <f>'Long-form'!Q285</f>
        <v>regressive</v>
      </c>
      <c r="N285" s="55">
        <f>'Long-form'!R285</f>
        <v>3.48</v>
      </c>
      <c r="O285" s="55" t="str">
        <f>'Long-form'!S285</f>
        <v>nd</v>
      </c>
      <c r="P285" s="55">
        <f>'Long-form'!T285</f>
        <v>1</v>
      </c>
      <c r="Q285" s="55">
        <f>'Long-form'!AM285</f>
        <v>0.16</v>
      </c>
      <c r="R285" s="55" t="str">
        <f>'Long-form'!AN285</f>
        <v>YSD</v>
      </c>
      <c r="S285" s="55">
        <f>'Long-form'!AP285</f>
        <v>0.5361615055186264</v>
      </c>
      <c r="T285" s="55">
        <f>'Long-form'!AQ285</f>
        <v>0.5361615055186264</v>
      </c>
      <c r="U285" t="str">
        <f>'Long-form'!BC285</f>
        <v>-1</v>
      </c>
      <c r="V285" t="str">
        <f>'Long-form'!BD285</f>
        <v>5 = Sedimentary (e.g., deltaic, estuarine, wetland, lacustrine, marine facies)</v>
      </c>
      <c r="W285" t="str">
        <f>'Long-form'!BE285</f>
        <v>Delta front deposit</v>
      </c>
      <c r="X285" t="str">
        <f>'Long-form'!BF285</f>
        <v>Organic matter, roots, plant fragments</v>
      </c>
      <c r="Y285" t="str">
        <f>'Long-form'!BH285</f>
        <v>&lt;MTL</v>
      </c>
      <c r="Z285" s="55">
        <f>'Long-form'!BT285</f>
        <v>0.19645513100000001</v>
      </c>
      <c r="AA285" s="55">
        <f>'Long-form'!BU285</f>
        <v>0.53848784573098774</v>
      </c>
      <c r="AB285" s="55">
        <f>'Long-form'!BV285</f>
        <v>0.53848784573098774</v>
      </c>
      <c r="AC285" s="55" t="str">
        <f>'Long-form'!BW285</f>
        <v>nd</v>
      </c>
      <c r="AD285" s="55" t="str">
        <f>'Long-form'!BX285</f>
        <v>nd</v>
      </c>
      <c r="AE285" s="55" t="str">
        <f>'Long-form'!BY285</f>
        <v>nd</v>
      </c>
      <c r="AF285" t="str">
        <f>'Long-form'!BZ285</f>
        <v>nd</v>
      </c>
      <c r="AG285">
        <f>'Long-form'!CB285</f>
        <v>0</v>
      </c>
      <c r="AH285">
        <f>'Long-form'!CD285</f>
        <v>0</v>
      </c>
    </row>
    <row r="286" spans="1:34">
      <c r="A286" t="str">
        <f>'Long-form'!A286</f>
        <v>Beta-494999</v>
      </c>
      <c r="B286" t="str">
        <f>'Long-form'!B286</f>
        <v>Fu et al. 2020</v>
      </c>
      <c r="C286" t="str">
        <f>'Long-form'!C286</f>
        <v>9a</v>
      </c>
      <c r="D286" t="str">
        <f>'Long-form'!D286</f>
        <v>N_PRD</v>
      </c>
      <c r="E286" s="55">
        <f>'Long-form'!E286</f>
        <v>23.1477778</v>
      </c>
      <c r="F286" s="55">
        <f>'Long-form'!F286</f>
        <v>112.67805559999999</v>
      </c>
      <c r="G286" t="str">
        <f>'Long-form'!G286</f>
        <v>1 = Radiocarbon</v>
      </c>
      <c r="H286" s="56">
        <f>'Long-form'!H286</f>
        <v>7420</v>
      </c>
      <c r="I286" s="56">
        <f>'Long-form'!I286</f>
        <v>30</v>
      </c>
      <c r="J286" s="56">
        <f>'Long-form'!J286</f>
        <v>8262</v>
      </c>
      <c r="K286" s="56">
        <f>'Long-form'!K286</f>
        <v>70</v>
      </c>
      <c r="L286" s="56">
        <f>'Long-form'!L286</f>
        <v>82</v>
      </c>
      <c r="M286" s="56" t="str">
        <f>'Long-form'!Q286</f>
        <v>regressive</v>
      </c>
      <c r="N286" s="55">
        <f>'Long-form'!R286</f>
        <v>7.87</v>
      </c>
      <c r="O286" s="55" t="str">
        <f>'Long-form'!S286</f>
        <v>nd</v>
      </c>
      <c r="P286" s="55">
        <f>'Long-form'!T286</f>
        <v>1</v>
      </c>
      <c r="Q286" s="55">
        <f>'Long-form'!AM286</f>
        <v>-4.2300000000000004</v>
      </c>
      <c r="R286" s="55" t="str">
        <f>'Long-form'!AN286</f>
        <v>YSD</v>
      </c>
      <c r="S286" s="55">
        <f>'Long-form'!AP286</f>
        <v>0.55443643458921421</v>
      </c>
      <c r="T286" s="55">
        <f>'Long-form'!AQ286</f>
        <v>0.55443643458921421</v>
      </c>
      <c r="U286" t="str">
        <f>'Long-form'!BC286</f>
        <v>-1</v>
      </c>
      <c r="V286" t="str">
        <f>'Long-form'!BD286</f>
        <v>5 = Sedimentary (e.g., deltaic, estuarine, wetland, lacustrine, marine facies)</v>
      </c>
      <c r="W286" t="str">
        <f>'Long-form'!BE286</f>
        <v>Delta front deposit</v>
      </c>
      <c r="X286" t="str">
        <f>'Long-form'!BF286</f>
        <v>Organic matter, roots, plant fragments</v>
      </c>
      <c r="Y286" t="str">
        <f>'Long-form'!BH286</f>
        <v>&lt;MTL</v>
      </c>
      <c r="Z286" s="55">
        <f>'Long-form'!BT286</f>
        <v>-4.1935448690000001</v>
      </c>
      <c r="AA286" s="55">
        <f>'Long-form'!BU286</f>
        <v>0.55668641082749637</v>
      </c>
      <c r="AB286" s="55">
        <f>'Long-form'!BV286</f>
        <v>0.55668641082749637</v>
      </c>
      <c r="AC286" s="55" t="str">
        <f>'Long-form'!BW286</f>
        <v>nd</v>
      </c>
      <c r="AD286" s="55" t="str">
        <f>'Long-form'!BX286</f>
        <v>nd</v>
      </c>
      <c r="AE286" s="55" t="str">
        <f>'Long-form'!BY286</f>
        <v>nd</v>
      </c>
      <c r="AF286" t="str">
        <f>'Long-form'!BZ286</f>
        <v>nd</v>
      </c>
      <c r="AG286">
        <f>'Long-form'!CB286</f>
        <v>0</v>
      </c>
      <c r="AH286">
        <f>'Long-form'!CD286</f>
        <v>0</v>
      </c>
    </row>
    <row r="287" spans="1:34">
      <c r="A287" t="str">
        <f>'Long-form'!A287</f>
        <v>GZ773</v>
      </c>
      <c r="B287" t="str">
        <f>'Long-form'!B287</f>
        <v>Ding et al 2007; Zong et al. 2013</v>
      </c>
      <c r="C287" t="str">
        <f>'Long-form'!C287</f>
        <v>9a</v>
      </c>
      <c r="D287" t="str">
        <f>'Long-form'!D287</f>
        <v>N_PRD</v>
      </c>
      <c r="E287" s="55">
        <f>'Long-form'!E287</f>
        <v>23.26042</v>
      </c>
      <c r="F287" s="55">
        <f>'Long-form'!F287</f>
        <v>112.39035</v>
      </c>
      <c r="G287" t="str">
        <f>'Long-form'!G287</f>
        <v>1 = Radiocarbon</v>
      </c>
      <c r="H287" s="56">
        <f>'Long-form'!H287</f>
        <v>2634</v>
      </c>
      <c r="I287" s="56">
        <f>'Long-form'!I287</f>
        <v>32</v>
      </c>
      <c r="J287" s="56">
        <f>'Long-form'!J287</f>
        <v>2753</v>
      </c>
      <c r="K287" s="56">
        <f>'Long-form'!K287</f>
        <v>88</v>
      </c>
      <c r="L287" s="56">
        <f>'Long-form'!L287</f>
        <v>29</v>
      </c>
      <c r="M287" s="56" t="str">
        <f>'Long-form'!Q287</f>
        <v>transgressive</v>
      </c>
      <c r="N287" s="55">
        <f>'Long-form'!R287</f>
        <v>2.0099999999999998</v>
      </c>
      <c r="O287" s="55" t="str">
        <f>'Long-form'!S287</f>
        <v>nd</v>
      </c>
      <c r="P287" s="55">
        <f>'Long-form'!T287</f>
        <v>1</v>
      </c>
      <c r="Q287" s="55">
        <f>'Long-form'!AM287</f>
        <v>7.99</v>
      </c>
      <c r="R287" s="55" t="str">
        <f>'Long-form'!AN287</f>
        <v>YSD</v>
      </c>
      <c r="S287" s="55">
        <f>'Long-form'!AP287</f>
        <v>0.53349417991202119</v>
      </c>
      <c r="T287" s="55">
        <f>'Long-form'!AQ287</f>
        <v>0.53349417991202119</v>
      </c>
      <c r="U287" t="str">
        <f>'Long-form'!BC287</f>
        <v>1</v>
      </c>
      <c r="V287" t="str">
        <f>'Long-form'!BD287</f>
        <v>5 = Sedimentary (e.g., deltaic, estuarine, wetland, lacustrine, marine facies)</v>
      </c>
      <c r="W287" t="str">
        <f>'Long-form'!BE287</f>
        <v>Freshwater swamp deposit</v>
      </c>
      <c r="X287" t="str">
        <f>'Long-form'!BF287</f>
        <v>Glyptostrobus pensilis</v>
      </c>
      <c r="Y287" t="str">
        <f>'Long-form'!BH287</f>
        <v>&gt;MTL</v>
      </c>
      <c r="Z287" s="55">
        <f>'Long-form'!BT287</f>
        <v>8.031099986000001</v>
      </c>
      <c r="AA287" s="55">
        <f>'Long-form'!BU287</f>
        <v>0.53583210056882558</v>
      </c>
      <c r="AB287" s="55">
        <f>'Long-form'!BV287</f>
        <v>0.53583210056882558</v>
      </c>
      <c r="AC287" s="55" t="str">
        <f>'Long-form'!BW287</f>
        <v>nd</v>
      </c>
      <c r="AD287" s="55" t="str">
        <f>'Long-form'!BX287</f>
        <v>nd</v>
      </c>
      <c r="AE287" s="55" t="str">
        <f>'Long-form'!BY287</f>
        <v>nd</v>
      </c>
      <c r="AF287" t="str">
        <f>'Long-form'!BZ287</f>
        <v>nd</v>
      </c>
      <c r="AG287">
        <f>'Long-form'!CB287</f>
        <v>0</v>
      </c>
      <c r="AH287">
        <f>'Long-form'!CD287</f>
        <v>0</v>
      </c>
    </row>
    <row r="288" spans="1:34">
      <c r="A288" t="str">
        <f>'Long-form'!A288</f>
        <v>GZ774</v>
      </c>
      <c r="B288" t="str">
        <f>'Long-form'!B288</f>
        <v>Ding et al 2007; Zong et al. 2013</v>
      </c>
      <c r="C288" t="str">
        <f>'Long-form'!C288</f>
        <v>9a</v>
      </c>
      <c r="D288" t="str">
        <f>'Long-form'!D288</f>
        <v>N_PRD</v>
      </c>
      <c r="E288" s="55">
        <f>'Long-form'!E288</f>
        <v>23.26042</v>
      </c>
      <c r="F288" s="55">
        <f>'Long-form'!F288</f>
        <v>112.39035</v>
      </c>
      <c r="G288" t="str">
        <f>'Long-form'!G288</f>
        <v>1 = Radiocarbon</v>
      </c>
      <c r="H288" s="56">
        <f>'Long-form'!H288</f>
        <v>3305</v>
      </c>
      <c r="I288" s="56">
        <f>'Long-form'!I288</f>
        <v>29</v>
      </c>
      <c r="J288" s="56">
        <f>'Long-form'!J288</f>
        <v>3520</v>
      </c>
      <c r="K288" s="56">
        <f>'Long-form'!K288</f>
        <v>56</v>
      </c>
      <c r="L288" s="56">
        <f>'Long-form'!L288</f>
        <v>67</v>
      </c>
      <c r="M288" s="56" t="str">
        <f>'Long-form'!Q288</f>
        <v>transgressive</v>
      </c>
      <c r="N288" s="55">
        <f>'Long-form'!R288</f>
        <v>2.21</v>
      </c>
      <c r="O288" s="55" t="str">
        <f>'Long-form'!S288</f>
        <v>nd</v>
      </c>
      <c r="P288" s="55">
        <f>'Long-form'!T288</f>
        <v>1</v>
      </c>
      <c r="Q288" s="55">
        <f>'Long-form'!AM288</f>
        <v>7.79</v>
      </c>
      <c r="R288" s="55" t="str">
        <f>'Long-form'!AN288</f>
        <v>YSD</v>
      </c>
      <c r="S288" s="55">
        <f>'Long-form'!AP288</f>
        <v>0.5340211980811248</v>
      </c>
      <c r="T288" s="55">
        <f>'Long-form'!AQ288</f>
        <v>0.5340211980811248</v>
      </c>
      <c r="U288" t="str">
        <f>'Long-form'!BC288</f>
        <v>1</v>
      </c>
      <c r="V288" t="str">
        <f>'Long-form'!BD288</f>
        <v>5 = Sedimentary (e.g., deltaic, estuarine, wetland, lacustrine, marine facies)</v>
      </c>
      <c r="W288" t="str">
        <f>'Long-form'!BE288</f>
        <v>Freshwater swamp deposit</v>
      </c>
      <c r="X288" t="str">
        <f>'Long-form'!BF288</f>
        <v>Glyptostrobus pensilis</v>
      </c>
      <c r="Y288" t="str">
        <f>'Long-form'!BH288</f>
        <v>&gt;MTL</v>
      </c>
      <c r="Z288" s="55">
        <f>'Long-form'!BT288</f>
        <v>7.8310999859999999</v>
      </c>
      <c r="AA288" s="55">
        <f>'Long-form'!BU288</f>
        <v>0.53635682152835529</v>
      </c>
      <c r="AB288" s="55">
        <f>'Long-form'!BV288</f>
        <v>0.53635682152835529</v>
      </c>
      <c r="AC288" s="55" t="str">
        <f>'Long-form'!BW288</f>
        <v>nd</v>
      </c>
      <c r="AD288" s="55" t="str">
        <f>'Long-form'!BX288</f>
        <v>nd</v>
      </c>
      <c r="AE288" s="55" t="str">
        <f>'Long-form'!BY288</f>
        <v>nd</v>
      </c>
      <c r="AF288" t="str">
        <f>'Long-form'!BZ288</f>
        <v>nd</v>
      </c>
      <c r="AG288">
        <f>'Long-form'!CB288</f>
        <v>0</v>
      </c>
      <c r="AH288">
        <f>'Long-form'!CD288</f>
        <v>0</v>
      </c>
    </row>
    <row r="289" spans="1:34">
      <c r="A289" t="str">
        <f>'Long-form'!A289</f>
        <v>GZ775</v>
      </c>
      <c r="B289" t="str">
        <f>'Long-form'!B289</f>
        <v>Ding et al 2007; Zong et al. 2013</v>
      </c>
      <c r="C289" t="str">
        <f>'Long-form'!C289</f>
        <v>9a</v>
      </c>
      <c r="D289" t="str">
        <f>'Long-form'!D289</f>
        <v>N_PRD</v>
      </c>
      <c r="E289" s="55">
        <f>'Long-form'!E289</f>
        <v>23.26042</v>
      </c>
      <c r="F289" s="55">
        <f>'Long-form'!F289</f>
        <v>112.39035</v>
      </c>
      <c r="G289" t="str">
        <f>'Long-form'!G289</f>
        <v>1 = Radiocarbon</v>
      </c>
      <c r="H289" s="56">
        <f>'Long-form'!H289</f>
        <v>3375</v>
      </c>
      <c r="I289" s="56">
        <f>'Long-form'!I289</f>
        <v>45</v>
      </c>
      <c r="J289" s="56">
        <f>'Long-form'!J289</f>
        <v>3608</v>
      </c>
      <c r="K289" s="56">
        <f>'Long-form'!K289</f>
        <v>205</v>
      </c>
      <c r="L289" s="56">
        <f>'Long-form'!L289</f>
        <v>126</v>
      </c>
      <c r="M289" s="56" t="str">
        <f>'Long-form'!Q289</f>
        <v>transgressive</v>
      </c>
      <c r="N289" s="55">
        <f>'Long-form'!R289</f>
        <v>2.41</v>
      </c>
      <c r="O289" s="55" t="str">
        <f>'Long-form'!S289</f>
        <v>nd</v>
      </c>
      <c r="P289" s="55">
        <f>'Long-form'!T289</f>
        <v>1</v>
      </c>
      <c r="Q289" s="55">
        <f>'Long-form'!AM289</f>
        <v>7.59</v>
      </c>
      <c r="R289" s="55" t="str">
        <f>'Long-form'!AN289</f>
        <v>YSD</v>
      </c>
      <c r="S289" s="55">
        <f>'Long-form'!AP289</f>
        <v>0.5343671397082721</v>
      </c>
      <c r="T289" s="55">
        <f>'Long-form'!AQ289</f>
        <v>0.5343671397082721</v>
      </c>
      <c r="U289" t="str">
        <f>'Long-form'!BC289</f>
        <v>1</v>
      </c>
      <c r="V289" t="str">
        <f>'Long-form'!BD289</f>
        <v>5 = Sedimentary (e.g., deltaic, estuarine, wetland, lacustrine, marine facies)</v>
      </c>
      <c r="W289" t="str">
        <f>'Long-form'!BE289</f>
        <v>Freshwater swamp deposit</v>
      </c>
      <c r="X289" t="str">
        <f>'Long-form'!BF289</f>
        <v>Glyptostrobus pensilis</v>
      </c>
      <c r="Y289" t="str">
        <f>'Long-form'!BH289</f>
        <v>&gt;MTL</v>
      </c>
      <c r="Z289" s="55">
        <f>'Long-form'!BT289</f>
        <v>7.6310999859999997</v>
      </c>
      <c r="AA289" s="55">
        <f>'Long-form'!BU289</f>
        <v>0.53670125768438437</v>
      </c>
      <c r="AB289" s="55">
        <f>'Long-form'!BV289</f>
        <v>0.53670125768438437</v>
      </c>
      <c r="AC289" s="55" t="str">
        <f>'Long-form'!BW289</f>
        <v>nd</v>
      </c>
      <c r="AD289" s="55" t="str">
        <f>'Long-form'!BX289</f>
        <v>nd</v>
      </c>
      <c r="AE289" s="55" t="str">
        <f>'Long-form'!BY289</f>
        <v>nd</v>
      </c>
      <c r="AF289" t="str">
        <f>'Long-form'!BZ289</f>
        <v>nd</v>
      </c>
      <c r="AG289">
        <f>'Long-form'!CB289</f>
        <v>0</v>
      </c>
      <c r="AH289">
        <f>'Long-form'!CD289</f>
        <v>0</v>
      </c>
    </row>
    <row r="290" spans="1:34">
      <c r="A290" t="str">
        <f>'Long-form'!A290</f>
        <v>GZ777</v>
      </c>
      <c r="B290" t="str">
        <f>'Long-form'!B290</f>
        <v>Ding et al 2007; Zong et al. 2013</v>
      </c>
      <c r="C290" t="str">
        <f>'Long-form'!C290</f>
        <v>9a</v>
      </c>
      <c r="D290" t="str">
        <f>'Long-form'!D290</f>
        <v>N_PRD</v>
      </c>
      <c r="E290" s="55">
        <f>'Long-form'!E290</f>
        <v>23.26042</v>
      </c>
      <c r="F290" s="55">
        <f>'Long-form'!F290</f>
        <v>112.39035</v>
      </c>
      <c r="G290" t="str">
        <f>'Long-form'!G290</f>
        <v>1 = Radiocarbon</v>
      </c>
      <c r="H290" s="56">
        <f>'Long-form'!H290</f>
        <v>3456</v>
      </c>
      <c r="I290" s="56">
        <f>'Long-form'!I290</f>
        <v>28</v>
      </c>
      <c r="J290" s="56">
        <f>'Long-form'!J290</f>
        <v>3721</v>
      </c>
      <c r="K290" s="56">
        <f>'Long-form'!K290</f>
        <v>108</v>
      </c>
      <c r="L290" s="56">
        <f>'Long-form'!L290</f>
        <v>83</v>
      </c>
      <c r="M290" s="56" t="str">
        <f>'Long-form'!Q290</f>
        <v>transgressive</v>
      </c>
      <c r="N290" s="55">
        <f>'Long-form'!R290</f>
        <v>2.81</v>
      </c>
      <c r="O290" s="55" t="str">
        <f>'Long-form'!S290</f>
        <v>nd</v>
      </c>
      <c r="P290" s="55">
        <f>'Long-form'!T290</f>
        <v>1</v>
      </c>
      <c r="Q290" s="55">
        <f>'Long-form'!AM290</f>
        <v>7.19</v>
      </c>
      <c r="R290" s="55" t="str">
        <f>'Long-form'!AN290</f>
        <v>YSD</v>
      </c>
      <c r="S290" s="55">
        <f>'Long-form'!AP290</f>
        <v>0.53514805428030843</v>
      </c>
      <c r="T290" s="55">
        <f>'Long-form'!AQ290</f>
        <v>0.53514805428030843</v>
      </c>
      <c r="U290" t="str">
        <f>'Long-form'!BC290</f>
        <v>1</v>
      </c>
      <c r="V290" t="str">
        <f>'Long-form'!BD290</f>
        <v>5 = Sedimentary (e.g., deltaic, estuarine, wetland, lacustrine, marine facies)</v>
      </c>
      <c r="W290" t="str">
        <f>'Long-form'!BE290</f>
        <v>Freshwater swamp deposit</v>
      </c>
      <c r="X290" t="str">
        <f>'Long-form'!BF290</f>
        <v>Glyptostrobus pensilis</v>
      </c>
      <c r="Y290" t="str">
        <f>'Long-form'!BH290</f>
        <v>&gt;MTL</v>
      </c>
      <c r="Z290" s="55">
        <f>'Long-form'!BT290</f>
        <v>7.2310999860000003</v>
      </c>
      <c r="AA290" s="55">
        <f>'Long-form'!BU290</f>
        <v>0.53747878097651436</v>
      </c>
      <c r="AB290" s="55">
        <f>'Long-form'!BV290</f>
        <v>0.53747878097651436</v>
      </c>
      <c r="AC290" s="55" t="str">
        <f>'Long-form'!BW290</f>
        <v>nd</v>
      </c>
      <c r="AD290" s="55" t="str">
        <f>'Long-form'!BX290</f>
        <v>nd</v>
      </c>
      <c r="AE290" s="55" t="str">
        <f>'Long-form'!BY290</f>
        <v>nd</v>
      </c>
      <c r="AF290" t="str">
        <f>'Long-form'!BZ290</f>
        <v>nd</v>
      </c>
      <c r="AG290">
        <f>'Long-form'!CB290</f>
        <v>0</v>
      </c>
      <c r="AH290">
        <f>'Long-form'!CD290</f>
        <v>0</v>
      </c>
    </row>
    <row r="291" spans="1:34">
      <c r="A291" t="str">
        <f>'Long-form'!A291</f>
        <v>GZ779</v>
      </c>
      <c r="B291" t="str">
        <f>'Long-form'!B291</f>
        <v>Ding et al 2007; Zong et al. 2013</v>
      </c>
      <c r="C291" t="str">
        <f>'Long-form'!C291</f>
        <v>9a</v>
      </c>
      <c r="D291" t="str">
        <f>'Long-form'!D291</f>
        <v>N_PRD</v>
      </c>
      <c r="E291" s="55">
        <f>'Long-form'!E291</f>
        <v>23.26042</v>
      </c>
      <c r="F291" s="55">
        <f>'Long-form'!F291</f>
        <v>112.39035</v>
      </c>
      <c r="G291" t="str">
        <f>'Long-form'!G291</f>
        <v>1 = Radiocarbon</v>
      </c>
      <c r="H291" s="56">
        <f>'Long-form'!H291</f>
        <v>3537</v>
      </c>
      <c r="I291" s="56">
        <f>'Long-form'!I291</f>
        <v>30</v>
      </c>
      <c r="J291" s="56">
        <f>'Long-form'!J291</f>
        <v>3820</v>
      </c>
      <c r="K291" s="56">
        <f>'Long-form'!K291</f>
        <v>82</v>
      </c>
      <c r="L291" s="56">
        <f>'Long-form'!L291</f>
        <v>121</v>
      </c>
      <c r="M291" s="56" t="str">
        <f>'Long-form'!Q291</f>
        <v>transgressive</v>
      </c>
      <c r="N291" s="55">
        <f>'Long-form'!R291</f>
        <v>3.21</v>
      </c>
      <c r="O291" s="55" t="str">
        <f>'Long-form'!S291</f>
        <v>nd</v>
      </c>
      <c r="P291" s="55">
        <f>'Long-form'!T291</f>
        <v>1</v>
      </c>
      <c r="Q291" s="55">
        <f>'Long-form'!AM291</f>
        <v>6.79</v>
      </c>
      <c r="R291" s="55" t="str">
        <f>'Long-form'!AN291</f>
        <v>YSD</v>
      </c>
      <c r="S291" s="55">
        <f>'Long-form'!AP291</f>
        <v>0.53604723672452592</v>
      </c>
      <c r="T291" s="55">
        <f>'Long-form'!AQ291</f>
        <v>0.53604723672452592</v>
      </c>
      <c r="U291" t="str">
        <f>'Long-form'!BC291</f>
        <v>1</v>
      </c>
      <c r="V291" t="str">
        <f>'Long-form'!BD291</f>
        <v>5 = Sedimentary (e.g., deltaic, estuarine, wetland, lacustrine, marine facies)</v>
      </c>
      <c r="W291" t="str">
        <f>'Long-form'!BE291</f>
        <v>Freshwater swamp deposit</v>
      </c>
      <c r="X291" t="str">
        <f>'Long-form'!BF291</f>
        <v>Glyptostrobus pensilis</v>
      </c>
      <c r="Y291" t="str">
        <f>'Long-form'!BH291</f>
        <v>&gt;MTL</v>
      </c>
      <c r="Z291" s="55">
        <f>'Long-form'!BT291</f>
        <v>6.8310999859999999</v>
      </c>
      <c r="AA291" s="55">
        <f>'Long-form'!BU291</f>
        <v>0.5383740706980602</v>
      </c>
      <c r="AB291" s="55">
        <f>'Long-form'!BV291</f>
        <v>0.5383740706980602</v>
      </c>
      <c r="AC291" s="55" t="str">
        <f>'Long-form'!BW291</f>
        <v>nd</v>
      </c>
      <c r="AD291" s="55" t="str">
        <f>'Long-form'!BX291</f>
        <v>nd</v>
      </c>
      <c r="AE291" s="55" t="str">
        <f>'Long-form'!BY291</f>
        <v>nd</v>
      </c>
      <c r="AF291" t="str">
        <f>'Long-form'!BZ291</f>
        <v>nd</v>
      </c>
      <c r="AG291">
        <f>'Long-form'!CB291</f>
        <v>0</v>
      </c>
      <c r="AH291">
        <f>'Long-form'!CD291</f>
        <v>0</v>
      </c>
    </row>
    <row r="292" spans="1:34">
      <c r="A292" t="str">
        <f>'Long-form'!A292</f>
        <v>GZ781</v>
      </c>
      <c r="B292" t="str">
        <f>'Long-form'!B292</f>
        <v>Ding et al 2007; Zong et al. 2013</v>
      </c>
      <c r="C292" t="str">
        <f>'Long-form'!C292</f>
        <v>9a</v>
      </c>
      <c r="D292" t="str">
        <f>'Long-form'!D292</f>
        <v>N_PRD</v>
      </c>
      <c r="E292" s="55">
        <f>'Long-form'!E292</f>
        <v>23.26042</v>
      </c>
      <c r="F292" s="55">
        <f>'Long-form'!F292</f>
        <v>112.39035</v>
      </c>
      <c r="G292" t="str">
        <f>'Long-form'!G292</f>
        <v>1 = Radiocarbon</v>
      </c>
      <c r="H292" s="56">
        <f>'Long-form'!H292</f>
        <v>3642</v>
      </c>
      <c r="I292" s="56">
        <f>'Long-form'!I292</f>
        <v>30</v>
      </c>
      <c r="J292" s="56">
        <f>'Long-form'!J292</f>
        <v>3956</v>
      </c>
      <c r="K292" s="56">
        <f>'Long-form'!K292</f>
        <v>127</v>
      </c>
      <c r="L292" s="56">
        <f>'Long-form'!L292</f>
        <v>106</v>
      </c>
      <c r="M292" s="56" t="str">
        <f>'Long-form'!Q292</f>
        <v>transgressive</v>
      </c>
      <c r="N292" s="55">
        <f>'Long-form'!R292</f>
        <v>3.61</v>
      </c>
      <c r="O292" s="55" t="str">
        <f>'Long-form'!S292</f>
        <v>nd</v>
      </c>
      <c r="P292" s="55">
        <f>'Long-form'!T292</f>
        <v>1</v>
      </c>
      <c r="Q292" s="55">
        <f>'Long-form'!AM292</f>
        <v>6.39</v>
      </c>
      <c r="R292" s="55" t="str">
        <f>'Long-form'!AN292</f>
        <v>YSD</v>
      </c>
      <c r="S292" s="55">
        <f>'Long-form'!AP292</f>
        <v>0.53706409300939117</v>
      </c>
      <c r="T292" s="55">
        <f>'Long-form'!AQ292</f>
        <v>0.53706409300939117</v>
      </c>
      <c r="U292" t="str">
        <f>'Long-form'!BC292</f>
        <v>1</v>
      </c>
      <c r="V292" t="str">
        <f>'Long-form'!BD292</f>
        <v>5 = Sedimentary (e.g., deltaic, estuarine, wetland, lacustrine, marine facies)</v>
      </c>
      <c r="W292" t="str">
        <f>'Long-form'!BE292</f>
        <v>Freshwater swamp deposit</v>
      </c>
      <c r="X292" t="str">
        <f>'Long-form'!BF292</f>
        <v>Glyptostrobus pensilis</v>
      </c>
      <c r="Y292" t="str">
        <f>'Long-form'!BH292</f>
        <v>&gt;MTL</v>
      </c>
      <c r="Z292" s="55">
        <f>'Long-form'!BT292</f>
        <v>6.4310999859999995</v>
      </c>
      <c r="AA292" s="55">
        <f>'Long-form'!BU292</f>
        <v>0.53938654043274015</v>
      </c>
      <c r="AB292" s="55">
        <f>'Long-form'!BV292</f>
        <v>0.53938654043274015</v>
      </c>
      <c r="AC292" s="55" t="str">
        <f>'Long-form'!BW292</f>
        <v>nd</v>
      </c>
      <c r="AD292" s="55" t="str">
        <f>'Long-form'!BX292</f>
        <v>nd</v>
      </c>
      <c r="AE292" s="55" t="str">
        <f>'Long-form'!BY292</f>
        <v>nd</v>
      </c>
      <c r="AF292" t="str">
        <f>'Long-form'!BZ292</f>
        <v>nd</v>
      </c>
      <c r="AG292">
        <f>'Long-form'!CB292</f>
        <v>0</v>
      </c>
      <c r="AH292">
        <f>'Long-form'!CD292</f>
        <v>0</v>
      </c>
    </row>
    <row r="293" spans="1:34">
      <c r="A293" t="str">
        <f>'Long-form'!A293</f>
        <v>GZ783</v>
      </c>
      <c r="B293" t="str">
        <f>'Long-form'!B293</f>
        <v>Ding et al 2007; Zong et al. 2013</v>
      </c>
      <c r="C293" t="str">
        <f>'Long-form'!C293</f>
        <v>9a</v>
      </c>
      <c r="D293" t="str">
        <f>'Long-form'!D293</f>
        <v>N_PRD</v>
      </c>
      <c r="E293" s="55">
        <f>'Long-form'!E293</f>
        <v>23.26042</v>
      </c>
      <c r="F293" s="55">
        <f>'Long-form'!F293</f>
        <v>112.39035</v>
      </c>
      <c r="G293" t="str">
        <f>'Long-form'!G293</f>
        <v>1 = Radiocarbon</v>
      </c>
      <c r="H293" s="56">
        <f>'Long-form'!H293</f>
        <v>3665</v>
      </c>
      <c r="I293" s="56">
        <f>'Long-form'!I293</f>
        <v>30</v>
      </c>
      <c r="J293" s="56">
        <f>'Long-form'!J293</f>
        <v>3994</v>
      </c>
      <c r="K293" s="56">
        <f>'Long-form'!K293</f>
        <v>93</v>
      </c>
      <c r="L293" s="56">
        <f>'Long-form'!L293</f>
        <v>94</v>
      </c>
      <c r="M293" s="56" t="str">
        <f>'Long-form'!Q293</f>
        <v>transgressive</v>
      </c>
      <c r="N293" s="55">
        <f>'Long-form'!R293</f>
        <v>4.01</v>
      </c>
      <c r="O293" s="55" t="str">
        <f>'Long-form'!S293</f>
        <v>nd</v>
      </c>
      <c r="P293" s="55">
        <f>'Long-form'!T293</f>
        <v>1</v>
      </c>
      <c r="Q293" s="55">
        <f>'Long-form'!AM293</f>
        <v>5.99</v>
      </c>
      <c r="R293" s="55" t="str">
        <f>'Long-form'!AN293</f>
        <v>YSD</v>
      </c>
      <c r="S293" s="55">
        <f>'Long-form'!AP293</f>
        <v>0.53819795614624921</v>
      </c>
      <c r="T293" s="55">
        <f>'Long-form'!AQ293</f>
        <v>0.53819795614624921</v>
      </c>
      <c r="U293" t="str">
        <f>'Long-form'!BC293</f>
        <v>1</v>
      </c>
      <c r="V293" t="str">
        <f>'Long-form'!BD293</f>
        <v>5 = Sedimentary (e.g., deltaic, estuarine, wetland, lacustrine, marine facies)</v>
      </c>
      <c r="W293" t="str">
        <f>'Long-form'!BE293</f>
        <v>Freshwater swamp deposit</v>
      </c>
      <c r="X293" t="str">
        <f>'Long-form'!BF293</f>
        <v>Glyptostrobus pensilis</v>
      </c>
      <c r="Y293" t="str">
        <f>'Long-form'!BH293</f>
        <v>&gt;MTL</v>
      </c>
      <c r="Z293" s="55">
        <f>'Long-form'!BT293</f>
        <v>6.0310999860000001</v>
      </c>
      <c r="AA293" s="55">
        <f>'Long-form'!BU293</f>
        <v>0.54051553169173594</v>
      </c>
      <c r="AB293" s="55">
        <f>'Long-form'!BV293</f>
        <v>0.54051553169173594</v>
      </c>
      <c r="AC293" s="55" t="str">
        <f>'Long-form'!BW293</f>
        <v>nd</v>
      </c>
      <c r="AD293" s="55" t="str">
        <f>'Long-form'!BX293</f>
        <v>nd</v>
      </c>
      <c r="AE293" s="55" t="str">
        <f>'Long-form'!BY293</f>
        <v>nd</v>
      </c>
      <c r="AF293" t="str">
        <f>'Long-form'!BZ293</f>
        <v>nd</v>
      </c>
      <c r="AG293">
        <f>'Long-form'!CB293</f>
        <v>0</v>
      </c>
      <c r="AH293">
        <f>'Long-form'!CD293</f>
        <v>0</v>
      </c>
    </row>
    <row r="294" spans="1:34">
      <c r="A294" t="str">
        <f>'Long-form'!A294</f>
        <v>GZ785</v>
      </c>
      <c r="B294" t="str">
        <f>'Long-form'!B294</f>
        <v>Ding et al 2007; Zong et al. 2013</v>
      </c>
      <c r="C294" t="str">
        <f>'Long-form'!C294</f>
        <v>9a</v>
      </c>
      <c r="D294" t="str">
        <f>'Long-form'!D294</f>
        <v>N_PRD</v>
      </c>
      <c r="E294" s="55">
        <f>'Long-form'!E294</f>
        <v>23.26042</v>
      </c>
      <c r="F294" s="55">
        <f>'Long-form'!F294</f>
        <v>112.39035</v>
      </c>
      <c r="G294" t="str">
        <f>'Long-form'!G294</f>
        <v>1 = Radiocarbon</v>
      </c>
      <c r="H294" s="56">
        <f>'Long-form'!H294</f>
        <v>3813</v>
      </c>
      <c r="I294" s="56">
        <f>'Long-form'!I294</f>
        <v>31</v>
      </c>
      <c r="J294" s="56">
        <f>'Long-form'!J294</f>
        <v>4200</v>
      </c>
      <c r="K294" s="56">
        <f>'Long-form'!K294</f>
        <v>153</v>
      </c>
      <c r="L294" s="56">
        <f>'Long-form'!L294</f>
        <v>110</v>
      </c>
      <c r="M294" s="56" t="str">
        <f>'Long-form'!Q294</f>
        <v>transgressive</v>
      </c>
      <c r="N294" s="55">
        <f>'Long-form'!R294</f>
        <v>4.41</v>
      </c>
      <c r="O294" s="55" t="str">
        <f>'Long-form'!S294</f>
        <v>nd</v>
      </c>
      <c r="P294" s="55">
        <f>'Long-form'!T294</f>
        <v>1</v>
      </c>
      <c r="Q294" s="55">
        <f>'Long-form'!AM294</f>
        <v>5.59</v>
      </c>
      <c r="R294" s="55" t="str">
        <f>'Long-form'!AN294</f>
        <v>YSD</v>
      </c>
      <c r="S294" s="55">
        <f>'Long-form'!AP294</f>
        <v>0.53944808832731994</v>
      </c>
      <c r="T294" s="55">
        <f>'Long-form'!AQ294</f>
        <v>0.53944808832731994</v>
      </c>
      <c r="U294" t="str">
        <f>'Long-form'!BC294</f>
        <v>1</v>
      </c>
      <c r="V294" t="str">
        <f>'Long-form'!BD294</f>
        <v>5 = Sedimentary (e.g., deltaic, estuarine, wetland, lacustrine, marine facies)</v>
      </c>
      <c r="W294" t="str">
        <f>'Long-form'!BE294</f>
        <v>Freshwater swamp deposit</v>
      </c>
      <c r="X294" t="str">
        <f>'Long-form'!BF294</f>
        <v>Glyptostrobus pensilis</v>
      </c>
      <c r="Y294" t="str">
        <f>'Long-form'!BH294</f>
        <v>&gt;MTL</v>
      </c>
      <c r="Z294" s="55">
        <f>'Long-form'!BT294</f>
        <v>5.6310999859999997</v>
      </c>
      <c r="AA294" s="55">
        <f>'Long-form'!BU294</f>
        <v>0.54176031600699581</v>
      </c>
      <c r="AB294" s="55">
        <f>'Long-form'!BV294</f>
        <v>0.54176031600699581</v>
      </c>
      <c r="AC294" s="55" t="str">
        <f>'Long-form'!BW294</f>
        <v>nd</v>
      </c>
      <c r="AD294" s="55" t="str">
        <f>'Long-form'!BX294</f>
        <v>nd</v>
      </c>
      <c r="AE294" s="55" t="str">
        <f>'Long-form'!BY294</f>
        <v>nd</v>
      </c>
      <c r="AF294" t="str">
        <f>'Long-form'!BZ294</f>
        <v>nd</v>
      </c>
      <c r="AG294">
        <f>'Long-form'!CB294</f>
        <v>0</v>
      </c>
      <c r="AH294">
        <f>'Long-form'!CD294</f>
        <v>0</v>
      </c>
    </row>
    <row r="295" spans="1:34">
      <c r="A295" t="str">
        <f>'Long-form'!A295</f>
        <v>GZ787</v>
      </c>
      <c r="B295" t="str">
        <f>'Long-form'!B295</f>
        <v>Ding et al 2007; Zong et al. 2013</v>
      </c>
      <c r="C295" t="str">
        <f>'Long-form'!C295</f>
        <v>9a</v>
      </c>
      <c r="D295" t="str">
        <f>'Long-form'!D295</f>
        <v>N_PRD</v>
      </c>
      <c r="E295" s="55">
        <f>'Long-form'!E295</f>
        <v>23.26042</v>
      </c>
      <c r="F295" s="55">
        <f>'Long-form'!F295</f>
        <v>112.39035</v>
      </c>
      <c r="G295" t="str">
        <f>'Long-form'!G295</f>
        <v>1 = Radiocarbon</v>
      </c>
      <c r="H295" s="56">
        <f>'Long-form'!H295</f>
        <v>4544</v>
      </c>
      <c r="I295" s="56">
        <f>'Long-form'!I295</f>
        <v>33</v>
      </c>
      <c r="J295" s="56">
        <f>'Long-form'!J295</f>
        <v>5161</v>
      </c>
      <c r="K295" s="56">
        <f>'Long-form'!K295</f>
        <v>156</v>
      </c>
      <c r="L295" s="56">
        <f>'Long-form'!L295</f>
        <v>110</v>
      </c>
      <c r="M295" s="56" t="str">
        <f>'Long-form'!Q295</f>
        <v>transgressive</v>
      </c>
      <c r="N295" s="55">
        <f>'Long-form'!R295</f>
        <v>4.8099999999999996</v>
      </c>
      <c r="O295" s="55" t="str">
        <f>'Long-form'!S295</f>
        <v>nd</v>
      </c>
      <c r="P295" s="55">
        <f>'Long-form'!T295</f>
        <v>1</v>
      </c>
      <c r="Q295" s="55">
        <f>'Long-form'!AM295</f>
        <v>5.19</v>
      </c>
      <c r="R295" s="55" t="str">
        <f>'Long-form'!AN295</f>
        <v>YSD</v>
      </c>
      <c r="S295" s="55">
        <f>'Long-form'!AP295</f>
        <v>0.5408136832588466</v>
      </c>
      <c r="T295" s="55">
        <f>'Long-form'!AQ295</f>
        <v>0.5408136832588466</v>
      </c>
      <c r="U295" t="str">
        <f>'Long-form'!BC295</f>
        <v>1</v>
      </c>
      <c r="V295" t="str">
        <f>'Long-form'!BD295</f>
        <v>5 = Sedimentary (e.g., deltaic, estuarine, wetland, lacustrine, marine facies)</v>
      </c>
      <c r="W295" t="str">
        <f>'Long-form'!BE295</f>
        <v>Freshwater swamp deposit</v>
      </c>
      <c r="X295" t="str">
        <f>'Long-form'!BF295</f>
        <v>Glyptostrobus pensilis</v>
      </c>
      <c r="Y295" t="str">
        <f>'Long-form'!BH295</f>
        <v>&gt;MTL</v>
      </c>
      <c r="Z295" s="55">
        <f>'Long-form'!BT295</f>
        <v>5.2310999860000003</v>
      </c>
      <c r="AA295" s="55">
        <f>'Long-form'!BU295</f>
        <v>0.54312009721607613</v>
      </c>
      <c r="AB295" s="55">
        <f>'Long-form'!BV295</f>
        <v>0.54312009721607613</v>
      </c>
      <c r="AC295" s="55" t="str">
        <f>'Long-form'!BW295</f>
        <v>nd</v>
      </c>
      <c r="AD295" s="55" t="str">
        <f>'Long-form'!BX295</f>
        <v>nd</v>
      </c>
      <c r="AE295" s="55" t="str">
        <f>'Long-form'!BY295</f>
        <v>nd</v>
      </c>
      <c r="AF295" t="str">
        <f>'Long-form'!BZ295</f>
        <v>nd</v>
      </c>
      <c r="AG295">
        <f>'Long-form'!CB295</f>
        <v>0</v>
      </c>
      <c r="AH295">
        <f>'Long-form'!CD295</f>
        <v>0</v>
      </c>
    </row>
    <row r="296" spans="1:34">
      <c r="A296">
        <f>'Long-form'!A296</f>
        <v>0</v>
      </c>
      <c r="B296">
        <f>'Long-form'!B296</f>
        <v>0</v>
      </c>
      <c r="C296">
        <f>'Long-form'!C296</f>
        <v>0</v>
      </c>
      <c r="D296">
        <f>'Long-form'!D296</f>
        <v>0</v>
      </c>
      <c r="E296" s="55">
        <f>'Long-form'!E296</f>
        <v>0</v>
      </c>
      <c r="F296" s="55">
        <f>'Long-form'!F296</f>
        <v>0</v>
      </c>
      <c r="G296">
        <f>'Long-form'!G296</f>
        <v>0</v>
      </c>
      <c r="H296" s="56">
        <f>'Long-form'!H296</f>
        <v>0</v>
      </c>
      <c r="I296" s="56">
        <f>'Long-form'!I296</f>
        <v>0</v>
      </c>
      <c r="J296" s="56">
        <f>'Long-form'!J296</f>
        <v>0</v>
      </c>
      <c r="K296" s="56">
        <f>'Long-form'!K296</f>
        <v>0</v>
      </c>
      <c r="L296" s="56">
        <f>'Long-form'!L296</f>
        <v>0</v>
      </c>
      <c r="M296" s="56">
        <f>'Long-form'!Q296</f>
        <v>0</v>
      </c>
      <c r="N296" s="55">
        <f>'Long-form'!R296</f>
        <v>0</v>
      </c>
      <c r="O296" s="55">
        <f>'Long-form'!S296</f>
        <v>0</v>
      </c>
      <c r="P296" s="55">
        <f>'Long-form'!T296</f>
        <v>0</v>
      </c>
      <c r="Q296" s="55">
        <f>'Long-form'!AM296</f>
        <v>0</v>
      </c>
      <c r="R296" s="55">
        <f>'Long-form'!AN296</f>
        <v>0</v>
      </c>
      <c r="S296" s="55">
        <f>'Long-form'!AP296</f>
        <v>0</v>
      </c>
      <c r="T296" s="55">
        <f>'Long-form'!AQ296</f>
        <v>0</v>
      </c>
      <c r="U296">
        <f>'Long-form'!BC296</f>
        <v>0</v>
      </c>
      <c r="V296">
        <f>'Long-form'!BD296</f>
        <v>0</v>
      </c>
      <c r="W296">
        <f>'Long-form'!BE296</f>
        <v>0</v>
      </c>
      <c r="X296">
        <f>'Long-form'!BF296</f>
        <v>0</v>
      </c>
      <c r="Y296">
        <f>'Long-form'!BH296</f>
        <v>0</v>
      </c>
      <c r="Z296" s="55">
        <f>'Long-form'!BT296</f>
        <v>0</v>
      </c>
      <c r="AA296" s="55">
        <f>'Long-form'!BU296</f>
        <v>0</v>
      </c>
      <c r="AB296" s="55">
        <f>'Long-form'!BV296</f>
        <v>0</v>
      </c>
      <c r="AC296" s="55">
        <f>'Long-form'!BW296</f>
        <v>0</v>
      </c>
      <c r="AD296" s="55">
        <f>'Long-form'!BX296</f>
        <v>0</v>
      </c>
      <c r="AE296" s="55">
        <f>'Long-form'!BY296</f>
        <v>0</v>
      </c>
      <c r="AF296">
        <f>'Long-form'!BZ296</f>
        <v>0</v>
      </c>
      <c r="AG296">
        <f>'Long-form'!CB296</f>
        <v>0</v>
      </c>
      <c r="AH296">
        <f>'Long-form'!CD296</f>
        <v>0</v>
      </c>
    </row>
    <row r="297" spans="1:34">
      <c r="A297">
        <f>'Long-form'!A297</f>
        <v>0</v>
      </c>
      <c r="B297">
        <f>'Long-form'!B297</f>
        <v>0</v>
      </c>
      <c r="C297">
        <f>'Long-form'!C297</f>
        <v>0</v>
      </c>
      <c r="D297">
        <f>'Long-form'!D297</f>
        <v>0</v>
      </c>
      <c r="E297" s="55">
        <f>'Long-form'!E297</f>
        <v>0</v>
      </c>
      <c r="F297" s="55">
        <f>'Long-form'!F297</f>
        <v>0</v>
      </c>
      <c r="G297">
        <f>'Long-form'!G297</f>
        <v>0</v>
      </c>
      <c r="H297" s="56">
        <f>'Long-form'!H297</f>
        <v>0</v>
      </c>
      <c r="I297" s="56">
        <f>'Long-form'!I297</f>
        <v>0</v>
      </c>
      <c r="J297" s="56">
        <f>'Long-form'!J297</f>
        <v>0</v>
      </c>
      <c r="K297" s="56">
        <f>'Long-form'!K297</f>
        <v>0</v>
      </c>
      <c r="L297" s="56">
        <f>'Long-form'!L297</f>
        <v>0</v>
      </c>
      <c r="M297" s="56">
        <f>'Long-form'!Q297</f>
        <v>0</v>
      </c>
      <c r="N297" s="55">
        <f>'Long-form'!R297</f>
        <v>0</v>
      </c>
      <c r="O297" s="55">
        <f>'Long-form'!S297</f>
        <v>0</v>
      </c>
      <c r="P297" s="55">
        <f>'Long-form'!T297</f>
        <v>0</v>
      </c>
      <c r="Q297" s="55">
        <f>'Long-form'!AM297</f>
        <v>0</v>
      </c>
      <c r="R297" s="55">
        <f>'Long-form'!AN297</f>
        <v>0</v>
      </c>
      <c r="S297" s="55">
        <f>'Long-form'!AP297</f>
        <v>0</v>
      </c>
      <c r="T297" s="55">
        <f>'Long-form'!AQ297</f>
        <v>0</v>
      </c>
      <c r="U297">
        <f>'Long-form'!BC297</f>
        <v>0</v>
      </c>
      <c r="V297">
        <f>'Long-form'!BD297</f>
        <v>0</v>
      </c>
      <c r="W297">
        <f>'Long-form'!BE297</f>
        <v>0</v>
      </c>
      <c r="X297">
        <f>'Long-form'!BF297</f>
        <v>0</v>
      </c>
      <c r="Y297">
        <f>'Long-form'!BH297</f>
        <v>0</v>
      </c>
      <c r="Z297" s="55">
        <f>'Long-form'!BT297</f>
        <v>0</v>
      </c>
      <c r="AA297" s="55">
        <f>'Long-form'!BU297</f>
        <v>0</v>
      </c>
      <c r="AB297" s="55">
        <f>'Long-form'!BV297</f>
        <v>0</v>
      </c>
      <c r="AC297" s="55">
        <f>'Long-form'!BW297</f>
        <v>0</v>
      </c>
      <c r="AD297" s="55">
        <f>'Long-form'!BX297</f>
        <v>0</v>
      </c>
      <c r="AE297" s="55">
        <f>'Long-form'!BY297</f>
        <v>0</v>
      </c>
      <c r="AF297">
        <f>'Long-form'!BZ297</f>
        <v>0</v>
      </c>
      <c r="AG297">
        <f>'Long-form'!CB297</f>
        <v>0</v>
      </c>
      <c r="AH297">
        <f>'Long-form'!CD297</f>
        <v>0</v>
      </c>
    </row>
    <row r="298" spans="1:34">
      <c r="A298">
        <f>'Long-form'!A298</f>
        <v>0</v>
      </c>
      <c r="B298">
        <f>'Long-form'!B298</f>
        <v>0</v>
      </c>
      <c r="C298">
        <f>'Long-form'!C298</f>
        <v>0</v>
      </c>
      <c r="D298">
        <f>'Long-form'!D298</f>
        <v>0</v>
      </c>
      <c r="E298" s="55">
        <f>'Long-form'!E298</f>
        <v>0</v>
      </c>
      <c r="F298" s="55">
        <f>'Long-form'!F298</f>
        <v>0</v>
      </c>
      <c r="G298">
        <f>'Long-form'!G298</f>
        <v>0</v>
      </c>
      <c r="H298" s="56">
        <f>'Long-form'!H298</f>
        <v>0</v>
      </c>
      <c r="I298" s="56">
        <f>'Long-form'!I298</f>
        <v>0</v>
      </c>
      <c r="J298" s="56">
        <f>'Long-form'!J298</f>
        <v>0</v>
      </c>
      <c r="K298" s="56">
        <f>'Long-form'!K298</f>
        <v>0</v>
      </c>
      <c r="L298" s="56">
        <f>'Long-form'!L298</f>
        <v>0</v>
      </c>
      <c r="M298" s="56">
        <f>'Long-form'!Q298</f>
        <v>0</v>
      </c>
      <c r="N298" s="55">
        <f>'Long-form'!R298</f>
        <v>0</v>
      </c>
      <c r="O298" s="55">
        <f>'Long-form'!S298</f>
        <v>0</v>
      </c>
      <c r="P298" s="55">
        <f>'Long-form'!T298</f>
        <v>0</v>
      </c>
      <c r="Q298" s="55">
        <f>'Long-form'!AM298</f>
        <v>0</v>
      </c>
      <c r="R298" s="55">
        <f>'Long-form'!AN298</f>
        <v>0</v>
      </c>
      <c r="S298" s="55">
        <f>'Long-form'!AP298</f>
        <v>0</v>
      </c>
      <c r="T298" s="55">
        <f>'Long-form'!AQ298</f>
        <v>0</v>
      </c>
      <c r="U298">
        <f>'Long-form'!BC298</f>
        <v>0</v>
      </c>
      <c r="V298">
        <f>'Long-form'!BD298</f>
        <v>0</v>
      </c>
      <c r="W298">
        <f>'Long-form'!BE298</f>
        <v>0</v>
      </c>
      <c r="X298">
        <f>'Long-form'!BF298</f>
        <v>0</v>
      </c>
      <c r="Y298">
        <f>'Long-form'!BH298</f>
        <v>0</v>
      </c>
      <c r="Z298" s="55">
        <f>'Long-form'!BT298</f>
        <v>0</v>
      </c>
      <c r="AA298" s="55">
        <f>'Long-form'!BU298</f>
        <v>0</v>
      </c>
      <c r="AB298" s="55">
        <f>'Long-form'!BV298</f>
        <v>0</v>
      </c>
      <c r="AC298" s="55">
        <f>'Long-form'!BW298</f>
        <v>0</v>
      </c>
      <c r="AD298" s="55">
        <f>'Long-form'!BX298</f>
        <v>0</v>
      </c>
      <c r="AE298" s="55">
        <f>'Long-form'!BY298</f>
        <v>0</v>
      </c>
      <c r="AF298">
        <f>'Long-form'!BZ298</f>
        <v>0</v>
      </c>
      <c r="AG298">
        <f>'Long-form'!CB298</f>
        <v>0</v>
      </c>
      <c r="AH298">
        <f>'Long-form'!CD298</f>
        <v>0</v>
      </c>
    </row>
    <row r="299" spans="1:34">
      <c r="A299">
        <f>'Long-form'!A299</f>
        <v>0</v>
      </c>
      <c r="B299">
        <f>'Long-form'!B299</f>
        <v>0</v>
      </c>
      <c r="C299">
        <f>'Long-form'!C299</f>
        <v>0</v>
      </c>
      <c r="D299">
        <f>'Long-form'!D299</f>
        <v>0</v>
      </c>
      <c r="E299" s="55">
        <f>'Long-form'!E299</f>
        <v>0</v>
      </c>
      <c r="F299" s="55">
        <f>'Long-form'!F299</f>
        <v>0</v>
      </c>
      <c r="G299">
        <f>'Long-form'!G299</f>
        <v>0</v>
      </c>
      <c r="H299" s="56">
        <f>'Long-form'!H299</f>
        <v>0</v>
      </c>
      <c r="I299" s="56">
        <f>'Long-form'!I299</f>
        <v>0</v>
      </c>
      <c r="J299" s="56">
        <f>'Long-form'!J299</f>
        <v>0</v>
      </c>
      <c r="K299" s="56">
        <f>'Long-form'!K299</f>
        <v>0</v>
      </c>
      <c r="L299" s="56">
        <f>'Long-form'!L299</f>
        <v>0</v>
      </c>
      <c r="M299" s="56">
        <f>'Long-form'!Q299</f>
        <v>0</v>
      </c>
      <c r="N299" s="55">
        <f>'Long-form'!R299</f>
        <v>0</v>
      </c>
      <c r="O299" s="55">
        <f>'Long-form'!S299</f>
        <v>0</v>
      </c>
      <c r="P299" s="55">
        <f>'Long-form'!T299</f>
        <v>0</v>
      </c>
      <c r="Q299" s="55">
        <f>'Long-form'!AM299</f>
        <v>0</v>
      </c>
      <c r="R299" s="55">
        <f>'Long-form'!AN299</f>
        <v>0</v>
      </c>
      <c r="S299" s="55">
        <f>'Long-form'!AP299</f>
        <v>0</v>
      </c>
      <c r="T299" s="55">
        <f>'Long-form'!AQ299</f>
        <v>0</v>
      </c>
      <c r="U299">
        <f>'Long-form'!BC299</f>
        <v>0</v>
      </c>
      <c r="V299">
        <f>'Long-form'!BD299</f>
        <v>0</v>
      </c>
      <c r="W299">
        <f>'Long-form'!BE299</f>
        <v>0</v>
      </c>
      <c r="X299">
        <f>'Long-form'!BF299</f>
        <v>0</v>
      </c>
      <c r="Y299">
        <f>'Long-form'!BH299</f>
        <v>0</v>
      </c>
      <c r="Z299" s="55">
        <f>'Long-form'!BT299</f>
        <v>0</v>
      </c>
      <c r="AA299" s="55">
        <f>'Long-form'!BU299</f>
        <v>0</v>
      </c>
      <c r="AB299" s="55">
        <f>'Long-form'!BV299</f>
        <v>0</v>
      </c>
      <c r="AC299" s="55">
        <f>'Long-form'!BW299</f>
        <v>0</v>
      </c>
      <c r="AD299" s="55">
        <f>'Long-form'!BX299</f>
        <v>0</v>
      </c>
      <c r="AE299" s="55">
        <f>'Long-form'!BY299</f>
        <v>0</v>
      </c>
      <c r="AF299">
        <f>'Long-form'!BZ299</f>
        <v>0</v>
      </c>
      <c r="AG299">
        <f>'Long-form'!CB299</f>
        <v>0</v>
      </c>
      <c r="AH299">
        <f>'Long-form'!CD299</f>
        <v>0</v>
      </c>
    </row>
  </sheetData>
  <sheetProtection sort="0"/>
  <dataConsolidate link="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836"/>
  <sheetViews>
    <sheetView topLeftCell="A62" workbookViewId="0">
      <selection activeCell="R8" sqref="R8"/>
    </sheetView>
    <sheetView workbookViewId="1"/>
  </sheetViews>
  <sheetFormatPr baseColWidth="10" defaultColWidth="11" defaultRowHeight="16"/>
  <cols>
    <col min="1" max="1" width="21.5" style="20" customWidth="1"/>
    <col min="2" max="2" width="23" style="20" customWidth="1"/>
    <col min="3" max="3" width="12.6640625" style="20" customWidth="1"/>
    <col min="4" max="4" width="11.1640625" style="20" customWidth="1"/>
    <col min="5" max="5" width="12.1640625" style="20" customWidth="1"/>
    <col min="6" max="6" width="11" style="20"/>
    <col min="7" max="7" width="5.33203125" style="20" customWidth="1"/>
    <col min="8" max="8" width="11" style="20"/>
    <col min="9" max="9" width="13.6640625" style="20" customWidth="1"/>
    <col min="10" max="10" width="14.1640625" style="20" customWidth="1"/>
    <col min="11" max="12" width="12.1640625" style="1" customWidth="1"/>
    <col min="13" max="13" width="7" style="143" customWidth="1"/>
    <col min="14" max="14" width="12.1640625" style="20" customWidth="1"/>
    <col min="15" max="15" width="12" style="139" customWidth="1"/>
    <col min="16" max="16" width="11" style="139"/>
    <col min="17" max="17" width="12" style="139" customWidth="1"/>
    <col min="18" max="18" width="12.1640625" style="139" customWidth="1"/>
    <col min="20" max="20" width="18.83203125" customWidth="1"/>
  </cols>
  <sheetData>
    <row r="1" spans="1:33" ht="70">
      <c r="A1" s="18" t="s">
        <v>6</v>
      </c>
      <c r="B1" s="19" t="s">
        <v>639</v>
      </c>
      <c r="C1" s="19" t="s">
        <v>640</v>
      </c>
      <c r="D1" s="19" t="s">
        <v>641</v>
      </c>
      <c r="E1" s="19" t="s">
        <v>642</v>
      </c>
      <c r="F1" s="19" t="s">
        <v>643</v>
      </c>
      <c r="G1" s="19" t="s">
        <v>644</v>
      </c>
      <c r="H1" s="19" t="s">
        <v>645</v>
      </c>
      <c r="I1" s="19" t="s">
        <v>646</v>
      </c>
      <c r="J1" s="19" t="s">
        <v>647</v>
      </c>
      <c r="K1" s="4" t="s">
        <v>648</v>
      </c>
      <c r="L1" s="4" t="s">
        <v>112</v>
      </c>
      <c r="M1" s="19" t="s">
        <v>649</v>
      </c>
      <c r="N1" s="19" t="s">
        <v>650</v>
      </c>
      <c r="O1" s="19" t="s">
        <v>651</v>
      </c>
      <c r="P1" s="141" t="s">
        <v>113</v>
      </c>
      <c r="Q1" s="18" t="s">
        <v>114</v>
      </c>
      <c r="R1" s="18" t="s">
        <v>629</v>
      </c>
      <c r="S1" s="142" t="s">
        <v>686</v>
      </c>
    </row>
    <row r="2" spans="1:33">
      <c r="A2" s="18">
        <v>1</v>
      </c>
      <c r="B2" s="18">
        <v>2</v>
      </c>
      <c r="C2" s="18">
        <v>3</v>
      </c>
      <c r="D2" s="18">
        <v>4</v>
      </c>
      <c r="E2" s="18">
        <v>5</v>
      </c>
      <c r="F2" s="18">
        <v>6</v>
      </c>
      <c r="G2" s="18">
        <v>7</v>
      </c>
      <c r="H2" s="18">
        <v>8</v>
      </c>
      <c r="I2" s="18">
        <v>9</v>
      </c>
      <c r="J2" s="18">
        <v>10</v>
      </c>
      <c r="K2" s="3">
        <v>11</v>
      </c>
      <c r="L2" s="3">
        <v>12</v>
      </c>
      <c r="M2" s="18">
        <v>13</v>
      </c>
      <c r="N2" s="18">
        <v>14</v>
      </c>
      <c r="O2" s="18">
        <v>15</v>
      </c>
      <c r="P2" s="18">
        <v>16</v>
      </c>
      <c r="Q2" s="18">
        <v>17</v>
      </c>
      <c r="R2" s="18">
        <v>18</v>
      </c>
    </row>
    <row r="3" spans="1:33" ht="17">
      <c r="A3" s="20" t="s">
        <v>616</v>
      </c>
      <c r="B3" s="20" t="s">
        <v>616</v>
      </c>
      <c r="C3" s="20">
        <v>1</v>
      </c>
      <c r="D3" s="20">
        <v>8330</v>
      </c>
      <c r="E3" s="20">
        <v>170</v>
      </c>
      <c r="F3" s="20">
        <v>100</v>
      </c>
      <c r="G3" s="20">
        <v>-1</v>
      </c>
      <c r="H3" s="20" t="s">
        <v>652</v>
      </c>
      <c r="I3" s="20">
        <v>390.68186471624904</v>
      </c>
      <c r="J3" s="20">
        <v>48.197999999999993</v>
      </c>
      <c r="K3" s="166">
        <f t="shared" ref="K3:K16" si="0">IF(OR(D3="n/a",D3="nd"),0,D3)+IF(OR(I3="n/a",I3="nd"),0,I3)</f>
        <v>8720.681864716249</v>
      </c>
      <c r="L3" s="166">
        <f t="shared" ref="L3:L16" si="1">SQRT(SUMSQ(IF(OR(E3="n/a",E3="nd"),0,E3),IF(OR(F3="n/a",F3="nd"),0,F3),IF(OR(J3="n/a",J3="nd"),0,J3)))</f>
        <v>203.03459607662927</v>
      </c>
      <c r="M3" s="143">
        <v>110</v>
      </c>
      <c r="N3" s="20">
        <v>33</v>
      </c>
      <c r="O3" s="167" t="s">
        <v>654</v>
      </c>
      <c r="P3" s="167">
        <v>9315</v>
      </c>
      <c r="Q3" s="167">
        <v>576</v>
      </c>
      <c r="R3" s="167">
        <v>565</v>
      </c>
    </row>
    <row r="4" spans="1:33" ht="17">
      <c r="A4" s="20" t="s">
        <v>620</v>
      </c>
      <c r="B4" s="20" t="s">
        <v>620</v>
      </c>
      <c r="C4" s="20">
        <v>1</v>
      </c>
      <c r="D4" s="20">
        <v>3980</v>
      </c>
      <c r="E4" s="20">
        <v>145</v>
      </c>
      <c r="F4" s="20">
        <v>100</v>
      </c>
      <c r="G4" s="20">
        <v>-1</v>
      </c>
      <c r="H4" s="20" t="s">
        <v>652</v>
      </c>
      <c r="I4" s="20">
        <v>390.68186471624813</v>
      </c>
      <c r="J4" s="20">
        <v>48.197999999999993</v>
      </c>
      <c r="K4" s="166">
        <f t="shared" si="0"/>
        <v>4370.6818647162481</v>
      </c>
      <c r="L4" s="166">
        <f t="shared" si="1"/>
        <v>182.61447698361707</v>
      </c>
      <c r="M4" s="143">
        <v>110</v>
      </c>
      <c r="N4" s="20">
        <v>33</v>
      </c>
      <c r="O4" s="167" t="s">
        <v>654</v>
      </c>
      <c r="P4" s="167">
        <v>4463</v>
      </c>
      <c r="Q4" s="167">
        <v>489</v>
      </c>
      <c r="R4" s="167">
        <v>516</v>
      </c>
    </row>
    <row r="5" spans="1:33" ht="17">
      <c r="A5" s="20" t="s">
        <v>621</v>
      </c>
      <c r="B5" s="20" t="s">
        <v>621</v>
      </c>
      <c r="C5" s="20">
        <v>1</v>
      </c>
      <c r="D5" s="20">
        <v>1830</v>
      </c>
      <c r="E5" s="20">
        <v>100</v>
      </c>
      <c r="F5" s="20">
        <v>100</v>
      </c>
      <c r="G5" s="20">
        <v>-23.1</v>
      </c>
      <c r="H5" s="20" t="s">
        <v>652</v>
      </c>
      <c r="I5" s="20">
        <v>31.277636806423743</v>
      </c>
      <c r="J5" s="20">
        <v>9.6395999999999997</v>
      </c>
      <c r="K5" s="166">
        <f t="shared" si="0"/>
        <v>1861.2776368064237</v>
      </c>
      <c r="L5" s="166">
        <f t="shared" si="1"/>
        <v>141.74950401380599</v>
      </c>
      <c r="M5" s="143" t="s">
        <v>8</v>
      </c>
      <c r="N5" s="20" t="s">
        <v>8</v>
      </c>
      <c r="O5" s="167" t="s">
        <v>654</v>
      </c>
      <c r="P5" s="167">
        <v>1779</v>
      </c>
      <c r="Q5" s="167">
        <v>342</v>
      </c>
      <c r="R5" s="167">
        <v>365</v>
      </c>
    </row>
    <row r="6" spans="1:33" ht="17">
      <c r="A6" s="20" t="s">
        <v>407</v>
      </c>
      <c r="B6" s="20" t="s">
        <v>407</v>
      </c>
      <c r="C6" s="20">
        <v>1</v>
      </c>
      <c r="D6" s="20">
        <v>2170</v>
      </c>
      <c r="E6" s="20">
        <v>85</v>
      </c>
      <c r="F6" s="20">
        <v>0</v>
      </c>
      <c r="G6" s="20">
        <v>-1</v>
      </c>
      <c r="H6" s="20" t="s">
        <v>652</v>
      </c>
      <c r="I6" s="20">
        <v>390.68186471624813</v>
      </c>
      <c r="J6" s="20">
        <v>48.197999999999993</v>
      </c>
      <c r="K6" s="166">
        <f t="shared" si="0"/>
        <v>2560.6818647162481</v>
      </c>
      <c r="L6" s="166">
        <f t="shared" si="1"/>
        <v>97.714109544118543</v>
      </c>
      <c r="M6" s="143">
        <v>110</v>
      </c>
      <c r="N6" s="20">
        <v>33</v>
      </c>
      <c r="O6" s="167" t="s">
        <v>654</v>
      </c>
      <c r="P6" s="167">
        <v>2195</v>
      </c>
      <c r="Q6" s="167">
        <v>300</v>
      </c>
      <c r="R6" s="167">
        <v>306</v>
      </c>
    </row>
    <row r="7" spans="1:33" ht="17">
      <c r="A7" s="20" t="s">
        <v>745</v>
      </c>
      <c r="B7" s="20" t="s">
        <v>745</v>
      </c>
      <c r="C7" s="20">
        <v>1</v>
      </c>
      <c r="D7" s="20">
        <v>3360</v>
      </c>
      <c r="E7" s="20">
        <v>120</v>
      </c>
      <c r="F7" s="20">
        <v>0</v>
      </c>
      <c r="G7" s="20">
        <v>-1</v>
      </c>
      <c r="H7" s="20" t="s">
        <v>652</v>
      </c>
      <c r="I7" s="20">
        <v>390.68186471624813</v>
      </c>
      <c r="J7" s="20">
        <v>48.197999999999993</v>
      </c>
      <c r="K7" s="166">
        <f t="shared" si="0"/>
        <v>3750.6818647162481</v>
      </c>
      <c r="L7" s="166">
        <f t="shared" si="1"/>
        <v>129.317621397859</v>
      </c>
      <c r="M7" s="143">
        <v>110</v>
      </c>
      <c r="N7" s="20">
        <v>33</v>
      </c>
      <c r="O7" s="167" t="s">
        <v>654</v>
      </c>
      <c r="P7" s="167">
        <v>3654</v>
      </c>
      <c r="Q7" s="167">
        <v>388</v>
      </c>
      <c r="R7" s="167">
        <v>338</v>
      </c>
    </row>
    <row r="8" spans="1:33" ht="17">
      <c r="A8" s="20" t="s">
        <v>746</v>
      </c>
      <c r="B8" s="20" t="s">
        <v>746</v>
      </c>
      <c r="C8" s="20">
        <v>1</v>
      </c>
      <c r="D8" s="20">
        <v>4340</v>
      </c>
      <c r="E8" s="20">
        <v>140</v>
      </c>
      <c r="F8" s="20">
        <v>100</v>
      </c>
      <c r="G8" s="20">
        <v>-23.25</v>
      </c>
      <c r="H8" s="20" t="s">
        <v>652</v>
      </c>
      <c r="I8" s="20">
        <v>28.810562351190129</v>
      </c>
      <c r="J8" s="20">
        <v>8.0330000938744099</v>
      </c>
      <c r="K8" s="166">
        <f t="shared" si="0"/>
        <v>4368.8105623511901</v>
      </c>
      <c r="L8" s="166">
        <f t="shared" si="1"/>
        <v>172.23393710447482</v>
      </c>
      <c r="M8" s="143">
        <v>110</v>
      </c>
      <c r="N8" s="20">
        <v>33</v>
      </c>
      <c r="O8" s="167" t="s">
        <v>654</v>
      </c>
      <c r="P8" s="167">
        <v>4461</v>
      </c>
      <c r="Q8" s="167">
        <v>456</v>
      </c>
      <c r="R8" s="167">
        <v>495</v>
      </c>
    </row>
    <row r="9" spans="1:33" ht="17">
      <c r="A9" s="20" t="s">
        <v>446</v>
      </c>
      <c r="B9" s="20" t="s">
        <v>446</v>
      </c>
      <c r="C9" s="20">
        <v>1</v>
      </c>
      <c r="D9" s="20">
        <v>3860</v>
      </c>
      <c r="E9" s="20">
        <v>110</v>
      </c>
      <c r="F9" s="20">
        <v>100</v>
      </c>
      <c r="G9" s="20">
        <v>-23.25</v>
      </c>
      <c r="H9" s="20" t="s">
        <v>652</v>
      </c>
      <c r="I9" s="20">
        <v>28.81056235118831</v>
      </c>
      <c r="J9" s="20">
        <v>8.0330000938744099</v>
      </c>
      <c r="K9" s="166">
        <f t="shared" si="0"/>
        <v>3888.8105623511883</v>
      </c>
      <c r="L9" s="166">
        <f t="shared" si="1"/>
        <v>148.87756409381564</v>
      </c>
      <c r="M9" s="143" t="s">
        <v>8</v>
      </c>
      <c r="N9" s="20" t="s">
        <v>8</v>
      </c>
      <c r="O9" s="167" t="s">
        <v>654</v>
      </c>
      <c r="P9" s="167">
        <v>4310</v>
      </c>
      <c r="Q9" s="167">
        <v>503</v>
      </c>
      <c r="R9" s="167">
        <v>407</v>
      </c>
    </row>
    <row r="10" spans="1:33" s="121" customFormat="1" ht="17">
      <c r="A10" s="20" t="s">
        <v>253</v>
      </c>
      <c r="B10" s="20" t="s">
        <v>253</v>
      </c>
      <c r="C10" s="20">
        <v>1</v>
      </c>
      <c r="D10" s="20">
        <v>2025</v>
      </c>
      <c r="E10" s="20">
        <v>65</v>
      </c>
      <c r="F10" s="20">
        <v>0</v>
      </c>
      <c r="G10" s="20" t="s">
        <v>175</v>
      </c>
      <c r="H10" s="20" t="s">
        <v>175</v>
      </c>
      <c r="I10" s="20" t="s">
        <v>8</v>
      </c>
      <c r="J10" s="20" t="s">
        <v>8</v>
      </c>
      <c r="K10" s="166">
        <f>IF(OR(D10="n/a",D10="nd"),0,D10)+IF(OR(I10="n/a",I10="nd"),0,I10)</f>
        <v>2025</v>
      </c>
      <c r="L10" s="166">
        <f t="shared" si="1"/>
        <v>65</v>
      </c>
      <c r="M10" s="143">
        <v>110</v>
      </c>
      <c r="N10" s="20">
        <v>33</v>
      </c>
      <c r="O10" s="167" t="s">
        <v>654</v>
      </c>
      <c r="P10" s="167">
        <v>1544</v>
      </c>
      <c r="Q10" s="167">
        <v>204</v>
      </c>
      <c r="R10" s="167">
        <v>209</v>
      </c>
      <c r="T10"/>
      <c r="U10"/>
      <c r="V10"/>
      <c r="W10"/>
      <c r="X10"/>
      <c r="Y10"/>
      <c r="Z10"/>
      <c r="AA10"/>
      <c r="AB10"/>
      <c r="AC10"/>
      <c r="AD10"/>
      <c r="AE10"/>
      <c r="AF10"/>
      <c r="AG10"/>
    </row>
    <row r="11" spans="1:33" s="121" customFormat="1" ht="17">
      <c r="A11" s="20" t="s">
        <v>256</v>
      </c>
      <c r="B11" s="20" t="s">
        <v>256</v>
      </c>
      <c r="C11" s="20">
        <v>1</v>
      </c>
      <c r="D11" s="20">
        <v>3575</v>
      </c>
      <c r="E11" s="20">
        <v>60</v>
      </c>
      <c r="F11" s="20">
        <v>0</v>
      </c>
      <c r="G11" s="20" t="s">
        <v>175</v>
      </c>
      <c r="H11" s="20" t="s">
        <v>175</v>
      </c>
      <c r="I11" s="20" t="s">
        <v>8</v>
      </c>
      <c r="J11" s="20" t="s">
        <v>8</v>
      </c>
      <c r="K11" s="166">
        <f t="shared" si="0"/>
        <v>3575</v>
      </c>
      <c r="L11" s="166">
        <f t="shared" si="1"/>
        <v>60</v>
      </c>
      <c r="M11" s="143">
        <v>110</v>
      </c>
      <c r="N11" s="20">
        <v>33</v>
      </c>
      <c r="O11" s="167" t="s">
        <v>654</v>
      </c>
      <c r="P11" s="167">
        <v>3435</v>
      </c>
      <c r="Q11" s="167">
        <v>216</v>
      </c>
      <c r="R11" s="167">
        <v>217</v>
      </c>
      <c r="T11"/>
      <c r="U11"/>
      <c r="V11"/>
      <c r="W11"/>
      <c r="X11"/>
      <c r="Y11"/>
      <c r="Z11"/>
      <c r="AA11"/>
      <c r="AB11"/>
      <c r="AC11"/>
      <c r="AD11"/>
      <c r="AE11"/>
      <c r="AF11"/>
      <c r="AG11"/>
    </row>
    <row r="12" spans="1:33" s="121" customFormat="1" ht="17">
      <c r="A12" s="20" t="s">
        <v>258</v>
      </c>
      <c r="B12" s="20" t="s">
        <v>258</v>
      </c>
      <c r="C12" s="20">
        <v>1</v>
      </c>
      <c r="D12" s="20">
        <v>4870</v>
      </c>
      <c r="E12" s="20">
        <v>75</v>
      </c>
      <c r="F12" s="20">
        <v>0</v>
      </c>
      <c r="G12" s="20" t="s">
        <v>175</v>
      </c>
      <c r="H12" s="20" t="s">
        <v>175</v>
      </c>
      <c r="I12" s="20" t="s">
        <v>8</v>
      </c>
      <c r="J12" s="20" t="s">
        <v>8</v>
      </c>
      <c r="K12" s="166">
        <f t="shared" si="0"/>
        <v>4870</v>
      </c>
      <c r="L12" s="166">
        <f t="shared" si="1"/>
        <v>75</v>
      </c>
      <c r="M12" s="143">
        <v>110</v>
      </c>
      <c r="N12" s="20">
        <v>33</v>
      </c>
      <c r="O12" s="167" t="s">
        <v>654</v>
      </c>
      <c r="P12" s="167">
        <v>5099</v>
      </c>
      <c r="Q12" s="167">
        <v>225</v>
      </c>
      <c r="R12" s="167">
        <v>263</v>
      </c>
      <c r="T12"/>
      <c r="U12"/>
      <c r="V12"/>
      <c r="W12"/>
      <c r="X12"/>
      <c r="Y12"/>
      <c r="Z12"/>
      <c r="AA12"/>
      <c r="AB12"/>
      <c r="AC12"/>
      <c r="AD12"/>
      <c r="AE12"/>
      <c r="AF12"/>
      <c r="AG12"/>
    </row>
    <row r="13" spans="1:33" ht="17">
      <c r="A13" s="20" t="s">
        <v>221</v>
      </c>
      <c r="B13" s="20" t="s">
        <v>221</v>
      </c>
      <c r="C13" s="20">
        <v>1</v>
      </c>
      <c r="D13" s="20">
        <v>4130</v>
      </c>
      <c r="E13" s="20">
        <v>50</v>
      </c>
      <c r="F13" s="20">
        <v>0</v>
      </c>
      <c r="G13" s="20">
        <v>-1</v>
      </c>
      <c r="H13" s="20" t="s">
        <v>652</v>
      </c>
      <c r="I13" s="20">
        <v>390.68186471624904</v>
      </c>
      <c r="J13" s="20">
        <v>438.87986471624902</v>
      </c>
      <c r="K13" s="166">
        <f t="shared" si="0"/>
        <v>4520.681864716249</v>
      </c>
      <c r="L13" s="166">
        <f t="shared" si="1"/>
        <v>441.71884231188625</v>
      </c>
      <c r="M13" s="143">
        <v>110</v>
      </c>
      <c r="N13" s="20">
        <v>33</v>
      </c>
      <c r="O13" s="167" t="s">
        <v>654</v>
      </c>
      <c r="P13" s="167">
        <v>4635</v>
      </c>
      <c r="Q13" s="167">
        <v>1044</v>
      </c>
      <c r="R13" s="167">
        <v>1127</v>
      </c>
    </row>
    <row r="14" spans="1:33" ht="17">
      <c r="A14" s="20" t="s">
        <v>293</v>
      </c>
      <c r="B14" s="20" t="s">
        <v>293</v>
      </c>
      <c r="C14" s="20">
        <v>1</v>
      </c>
      <c r="D14" s="20">
        <v>5980</v>
      </c>
      <c r="E14" s="20">
        <v>180</v>
      </c>
      <c r="F14" s="20">
        <v>0</v>
      </c>
      <c r="G14" s="20">
        <v>-29</v>
      </c>
      <c r="H14" s="20" t="s">
        <v>652</v>
      </c>
      <c r="I14" s="20">
        <v>-66.047369482987051</v>
      </c>
      <c r="J14" s="20">
        <v>28.918799999999997</v>
      </c>
      <c r="K14" s="166">
        <f t="shared" si="0"/>
        <v>5913.9526305170129</v>
      </c>
      <c r="L14" s="166">
        <f t="shared" si="1"/>
        <v>182.3082471898625</v>
      </c>
      <c r="M14" s="143" t="s">
        <v>8</v>
      </c>
      <c r="N14" s="20" t="s">
        <v>8</v>
      </c>
      <c r="O14" s="167" t="s">
        <v>654</v>
      </c>
      <c r="P14" s="167">
        <v>6750</v>
      </c>
      <c r="Q14" s="167">
        <v>415</v>
      </c>
      <c r="R14" s="167">
        <v>435</v>
      </c>
    </row>
    <row r="15" spans="1:33" ht="17">
      <c r="A15" s="20" t="s">
        <v>303</v>
      </c>
      <c r="B15" s="20" t="s">
        <v>303</v>
      </c>
      <c r="C15" s="20">
        <v>1</v>
      </c>
      <c r="D15" s="20">
        <v>6640</v>
      </c>
      <c r="E15" s="20">
        <v>100</v>
      </c>
      <c r="F15" s="20">
        <v>0</v>
      </c>
      <c r="G15" s="20">
        <v>-27.7</v>
      </c>
      <c r="H15" s="20" t="s">
        <v>653</v>
      </c>
      <c r="I15" s="20">
        <v>-44.552177679800479</v>
      </c>
      <c r="J15" s="20">
        <v>28.918799999999997</v>
      </c>
      <c r="K15" s="166">
        <f t="shared" si="0"/>
        <v>6595.4478223201995</v>
      </c>
      <c r="L15" s="166">
        <f t="shared" si="1"/>
        <v>104.09753596238481</v>
      </c>
      <c r="M15" s="143" t="s">
        <v>8</v>
      </c>
      <c r="N15" s="20" t="s">
        <v>8</v>
      </c>
      <c r="O15" s="167" t="s">
        <v>654</v>
      </c>
      <c r="P15" s="167">
        <v>7486</v>
      </c>
      <c r="Q15" s="167">
        <v>178</v>
      </c>
      <c r="R15" s="167">
        <v>174</v>
      </c>
    </row>
    <row r="16" spans="1:33" ht="17">
      <c r="A16" s="20" t="s">
        <v>308</v>
      </c>
      <c r="B16" s="20" t="s">
        <v>308</v>
      </c>
      <c r="C16" s="20">
        <v>1</v>
      </c>
      <c r="D16" s="20">
        <v>7830</v>
      </c>
      <c r="E16" s="20">
        <v>140</v>
      </c>
      <c r="F16" s="20">
        <v>0</v>
      </c>
      <c r="G16" s="20">
        <v>-29.2</v>
      </c>
      <c r="H16" s="20" t="s">
        <v>653</v>
      </c>
      <c r="I16" s="20">
        <v>-69.356876138011103</v>
      </c>
      <c r="J16" s="20">
        <v>28.918799999999997</v>
      </c>
      <c r="K16" s="166">
        <f t="shared" si="0"/>
        <v>7760.6431238619889</v>
      </c>
      <c r="L16" s="166">
        <f t="shared" si="1"/>
        <v>142.95557699313449</v>
      </c>
      <c r="M16" s="143" t="s">
        <v>8</v>
      </c>
      <c r="N16" s="20" t="s">
        <v>8</v>
      </c>
      <c r="O16" s="167" t="s">
        <v>654</v>
      </c>
      <c r="P16" s="167">
        <v>8580</v>
      </c>
      <c r="Q16" s="167">
        <v>417</v>
      </c>
      <c r="R16" s="167">
        <v>252</v>
      </c>
    </row>
    <row r="17" spans="1:33" ht="17">
      <c r="A17" s="20" t="s">
        <v>309</v>
      </c>
      <c r="B17" s="20" t="s">
        <v>309</v>
      </c>
      <c r="C17" s="20">
        <v>1</v>
      </c>
      <c r="D17" s="20">
        <v>7790</v>
      </c>
      <c r="E17" s="20">
        <v>90</v>
      </c>
      <c r="F17" s="20">
        <v>0</v>
      </c>
      <c r="G17" s="20">
        <v>-1</v>
      </c>
      <c r="H17" s="20" t="s">
        <v>653</v>
      </c>
      <c r="I17" s="20">
        <v>390.68186471624722</v>
      </c>
      <c r="J17" s="20">
        <v>438.8798647162472</v>
      </c>
      <c r="K17" s="166">
        <f t="shared" ref="K17:K82" si="2">IF(OR(D17="n/a",D17="nd"),0,D17)+IF(OR(I17="n/a",I17="nd"),0,I17)</f>
        <v>8180.6818647162472</v>
      </c>
      <c r="L17" s="166">
        <f t="shared" ref="L17:L83" si="3">SQRT(SUMSQ(IF(OR(E17="n/a",E17="nd"),0,E17),IF(OR(F17="n/a",F17="nd"),0,F17),IF(OR(J17="n/a",J17="nd"),0,J17)))</f>
        <v>448.0128744281256</v>
      </c>
      <c r="M17" s="143">
        <v>110</v>
      </c>
      <c r="N17" s="20">
        <v>33</v>
      </c>
      <c r="O17" s="167" t="s">
        <v>654</v>
      </c>
      <c r="P17" s="167">
        <v>8685</v>
      </c>
      <c r="Q17" s="167">
        <v>1067</v>
      </c>
      <c r="R17" s="167">
        <v>1028</v>
      </c>
    </row>
    <row r="18" spans="1:33" ht="17">
      <c r="A18" s="20" t="s">
        <v>310</v>
      </c>
      <c r="B18" s="20" t="s">
        <v>310</v>
      </c>
      <c r="C18" s="20">
        <v>1</v>
      </c>
      <c r="D18" s="20">
        <v>7920</v>
      </c>
      <c r="E18" s="20">
        <v>110</v>
      </c>
      <c r="F18" s="20">
        <v>0</v>
      </c>
      <c r="G18" s="20">
        <v>-2.2999999999999998</v>
      </c>
      <c r="H18" s="20" t="s">
        <v>653</v>
      </c>
      <c r="I18" s="20">
        <v>369.76154323465744</v>
      </c>
      <c r="J18" s="20">
        <v>417.95954323465742</v>
      </c>
      <c r="K18" s="166">
        <f t="shared" si="2"/>
        <v>8289.7615432346574</v>
      </c>
      <c r="L18" s="166">
        <f t="shared" si="3"/>
        <v>432.19229491156301</v>
      </c>
      <c r="M18" s="143">
        <v>110</v>
      </c>
      <c r="N18" s="20">
        <v>33</v>
      </c>
      <c r="O18" s="167" t="s">
        <v>654</v>
      </c>
      <c r="P18" s="167">
        <v>8806</v>
      </c>
      <c r="Q18" s="167">
        <v>1076</v>
      </c>
      <c r="R18" s="167">
        <v>992</v>
      </c>
    </row>
    <row r="19" spans="1:33" ht="17">
      <c r="A19" s="20" t="s">
        <v>166</v>
      </c>
      <c r="B19" s="20" t="s">
        <v>166</v>
      </c>
      <c r="C19" s="20">
        <v>1</v>
      </c>
      <c r="D19" s="20">
        <v>8080</v>
      </c>
      <c r="E19" s="20">
        <v>130</v>
      </c>
      <c r="F19" s="20">
        <v>0</v>
      </c>
      <c r="G19" s="20">
        <v>-1</v>
      </c>
      <c r="H19" s="20" t="s">
        <v>652</v>
      </c>
      <c r="I19" s="20">
        <v>390.68186471624898</v>
      </c>
      <c r="J19" s="20">
        <v>438.87986471624902</v>
      </c>
      <c r="K19" s="166">
        <f t="shared" si="2"/>
        <v>8470.681864716249</v>
      </c>
      <c r="L19" s="166">
        <f t="shared" si="3"/>
        <v>457.72867034232519</v>
      </c>
      <c r="M19" s="143">
        <v>110</v>
      </c>
      <c r="N19" s="20">
        <v>33</v>
      </c>
      <c r="O19" s="167" t="s">
        <v>654</v>
      </c>
      <c r="P19" s="167">
        <v>9021</v>
      </c>
      <c r="Q19" s="167">
        <v>1152</v>
      </c>
      <c r="R19" s="167">
        <v>1063</v>
      </c>
    </row>
    <row r="20" spans="1:33" ht="17">
      <c r="A20" s="20" t="s">
        <v>737</v>
      </c>
      <c r="B20" s="20" t="s">
        <v>737</v>
      </c>
      <c r="C20" s="20">
        <v>1</v>
      </c>
      <c r="D20" s="20">
        <v>4217</v>
      </c>
      <c r="E20" s="20">
        <v>33</v>
      </c>
      <c r="F20" s="20">
        <v>0</v>
      </c>
      <c r="G20" s="20" t="s">
        <v>175</v>
      </c>
      <c r="H20" s="20" t="s">
        <v>175</v>
      </c>
      <c r="I20" s="20" t="s">
        <v>8</v>
      </c>
      <c r="J20" s="20" t="s">
        <v>8</v>
      </c>
      <c r="K20" s="166">
        <f t="shared" si="2"/>
        <v>4217</v>
      </c>
      <c r="L20" s="166">
        <f t="shared" si="3"/>
        <v>33</v>
      </c>
      <c r="M20" s="143">
        <v>110</v>
      </c>
      <c r="N20" s="20">
        <v>33</v>
      </c>
      <c r="O20" s="167" t="s">
        <v>654</v>
      </c>
      <c r="P20" s="167">
        <v>4266</v>
      </c>
      <c r="Q20" s="167">
        <v>186</v>
      </c>
      <c r="R20" s="167">
        <v>200</v>
      </c>
    </row>
    <row r="21" spans="1:33" ht="17">
      <c r="A21" s="20" t="s">
        <v>738</v>
      </c>
      <c r="B21" s="20" t="s">
        <v>738</v>
      </c>
      <c r="C21" s="20">
        <v>1</v>
      </c>
      <c r="D21" s="20">
        <v>3827</v>
      </c>
      <c r="E21" s="20">
        <v>27</v>
      </c>
      <c r="F21" s="20">
        <v>0</v>
      </c>
      <c r="G21" s="20" t="s">
        <v>175</v>
      </c>
      <c r="H21" s="20" t="s">
        <v>175</v>
      </c>
      <c r="I21" s="20" t="s">
        <v>8</v>
      </c>
      <c r="J21" s="20" t="s">
        <v>8</v>
      </c>
      <c r="K21" s="166">
        <f t="shared" si="2"/>
        <v>3827</v>
      </c>
      <c r="L21" s="166">
        <f t="shared" si="3"/>
        <v>27</v>
      </c>
      <c r="M21" s="143">
        <v>110</v>
      </c>
      <c r="N21" s="20">
        <v>33</v>
      </c>
      <c r="O21" s="167" t="s">
        <v>654</v>
      </c>
      <c r="P21" s="167">
        <v>3746</v>
      </c>
      <c r="Q21" s="167">
        <v>178</v>
      </c>
      <c r="R21" s="167">
        <v>185</v>
      </c>
    </row>
    <row r="22" spans="1:33" ht="17">
      <c r="A22" s="20" t="s">
        <v>984</v>
      </c>
      <c r="B22" s="20" t="s">
        <v>984</v>
      </c>
      <c r="C22" s="20">
        <v>1</v>
      </c>
      <c r="D22" s="20">
        <v>3489</v>
      </c>
      <c r="E22" s="20">
        <v>19</v>
      </c>
      <c r="F22" s="20">
        <v>0</v>
      </c>
      <c r="G22" s="20" t="s">
        <v>175</v>
      </c>
      <c r="H22" s="20" t="s">
        <v>175</v>
      </c>
      <c r="I22" s="20" t="s">
        <v>8</v>
      </c>
      <c r="J22" s="20" t="s">
        <v>8</v>
      </c>
      <c r="K22" s="166">
        <f t="shared" ref="K22:K25" si="4">IF(OR(D22="n/a",D22="nd"),0,D22)+IF(OR(I22="n/a",I22="nd"),0,I22)</f>
        <v>3489</v>
      </c>
      <c r="L22" s="166">
        <f t="shared" ref="L22:L25" si="5">SQRT(SUMSQ(IF(OR(E22="n/a",E22="nd"),0,E22),IF(OR(F22="n/a",F22="nd"),0,F22),IF(OR(J22="n/a",J22="nd"),0,J22)))</f>
        <v>19</v>
      </c>
      <c r="M22" s="143">
        <v>110</v>
      </c>
      <c r="N22" s="20">
        <v>33</v>
      </c>
      <c r="O22" s="167" t="s">
        <v>654</v>
      </c>
      <c r="P22" s="167">
        <v>3332</v>
      </c>
      <c r="Q22" s="167">
        <v>144</v>
      </c>
      <c r="R22" s="167">
        <v>162</v>
      </c>
    </row>
    <row r="23" spans="1:33" ht="17">
      <c r="A23" s="20" t="s">
        <v>985</v>
      </c>
      <c r="B23" s="20" t="s">
        <v>985</v>
      </c>
      <c r="C23" s="20">
        <v>1</v>
      </c>
      <c r="D23" s="20">
        <v>4960</v>
      </c>
      <c r="E23" s="20">
        <v>21</v>
      </c>
      <c r="F23" s="20">
        <v>0</v>
      </c>
      <c r="G23" s="20" t="s">
        <v>175</v>
      </c>
      <c r="H23" s="20" t="s">
        <v>175</v>
      </c>
      <c r="I23" s="20" t="s">
        <v>8</v>
      </c>
      <c r="J23" s="20" t="s">
        <v>8</v>
      </c>
      <c r="K23" s="166">
        <f t="shared" si="4"/>
        <v>4960</v>
      </c>
      <c r="L23" s="166">
        <f t="shared" si="5"/>
        <v>21</v>
      </c>
      <c r="M23" s="143">
        <v>110</v>
      </c>
      <c r="N23" s="20">
        <v>33</v>
      </c>
      <c r="O23" s="167" t="s">
        <v>654</v>
      </c>
      <c r="P23" s="167">
        <v>5213</v>
      </c>
      <c r="Q23" s="167">
        <v>193</v>
      </c>
      <c r="R23" s="167">
        <v>189</v>
      </c>
    </row>
    <row r="24" spans="1:33" ht="17">
      <c r="A24" s="20" t="s">
        <v>986</v>
      </c>
      <c r="B24" s="20" t="s">
        <v>986</v>
      </c>
      <c r="C24" s="20">
        <v>1</v>
      </c>
      <c r="D24" s="20">
        <v>4975</v>
      </c>
      <c r="E24" s="20">
        <v>23</v>
      </c>
      <c r="F24" s="20">
        <v>0</v>
      </c>
      <c r="G24" s="20" t="s">
        <v>175</v>
      </c>
      <c r="H24" s="20" t="s">
        <v>175</v>
      </c>
      <c r="I24" s="20" t="s">
        <v>8</v>
      </c>
      <c r="J24" s="20" t="s">
        <v>8</v>
      </c>
      <c r="K24" s="166">
        <f t="shared" si="4"/>
        <v>4975</v>
      </c>
      <c r="L24" s="166">
        <f t="shared" si="5"/>
        <v>23</v>
      </c>
      <c r="M24" s="143">
        <v>110</v>
      </c>
      <c r="N24" s="20">
        <v>33</v>
      </c>
      <c r="O24" s="167" t="s">
        <v>654</v>
      </c>
      <c r="P24" s="167">
        <v>5233</v>
      </c>
      <c r="Q24" s="167">
        <v>190</v>
      </c>
      <c r="R24" s="167">
        <v>191</v>
      </c>
    </row>
    <row r="25" spans="1:33" ht="17">
      <c r="A25" s="20" t="s">
        <v>987</v>
      </c>
      <c r="B25" s="20" t="s">
        <v>987</v>
      </c>
      <c r="C25" s="20">
        <v>1</v>
      </c>
      <c r="D25" s="20">
        <v>5110</v>
      </c>
      <c r="E25" s="20">
        <v>24</v>
      </c>
      <c r="F25" s="20">
        <v>0</v>
      </c>
      <c r="G25" s="20" t="s">
        <v>175</v>
      </c>
      <c r="H25" s="20" t="s">
        <v>175</v>
      </c>
      <c r="I25" s="20" t="s">
        <v>8</v>
      </c>
      <c r="J25" s="20" t="s">
        <v>8</v>
      </c>
      <c r="K25" s="166">
        <f t="shared" si="4"/>
        <v>5110</v>
      </c>
      <c r="L25" s="166">
        <f t="shared" si="5"/>
        <v>24</v>
      </c>
      <c r="M25" s="143">
        <v>110</v>
      </c>
      <c r="N25" s="20">
        <v>33</v>
      </c>
      <c r="O25" s="167" t="s">
        <v>654</v>
      </c>
      <c r="P25" s="167">
        <v>5391</v>
      </c>
      <c r="Q25" s="167">
        <v>167</v>
      </c>
      <c r="R25" s="167">
        <v>136</v>
      </c>
    </row>
    <row r="26" spans="1:33" ht="17">
      <c r="A26" s="20" t="s">
        <v>278</v>
      </c>
      <c r="B26" s="20" t="s">
        <v>278</v>
      </c>
      <c r="C26" s="20">
        <v>1</v>
      </c>
      <c r="D26" s="20">
        <v>5140</v>
      </c>
      <c r="E26" s="20">
        <v>50</v>
      </c>
      <c r="F26" s="20">
        <v>0</v>
      </c>
      <c r="G26" s="20" t="s">
        <v>175</v>
      </c>
      <c r="H26" s="20" t="s">
        <v>175</v>
      </c>
      <c r="I26" s="20" t="s">
        <v>8</v>
      </c>
      <c r="J26" s="20" t="s">
        <v>8</v>
      </c>
      <c r="K26" s="166">
        <f t="shared" si="2"/>
        <v>5140</v>
      </c>
      <c r="L26" s="166">
        <f t="shared" si="3"/>
        <v>50</v>
      </c>
      <c r="M26" s="143">
        <v>110</v>
      </c>
      <c r="N26" s="20">
        <v>33</v>
      </c>
      <c r="O26" s="167" t="s">
        <v>654</v>
      </c>
      <c r="P26" s="167">
        <v>5420</v>
      </c>
      <c r="Q26" s="167">
        <v>173</v>
      </c>
      <c r="R26" s="167">
        <v>177</v>
      </c>
    </row>
    <row r="27" spans="1:33" ht="17">
      <c r="A27" s="20" t="s">
        <v>260</v>
      </c>
      <c r="B27" s="20" t="s">
        <v>260</v>
      </c>
      <c r="C27" s="20">
        <v>1</v>
      </c>
      <c r="D27" s="20">
        <v>610</v>
      </c>
      <c r="E27" s="20">
        <v>50</v>
      </c>
      <c r="F27" s="20">
        <v>100</v>
      </c>
      <c r="G27" s="20">
        <v>-24</v>
      </c>
      <c r="H27" s="20" t="s">
        <v>652</v>
      </c>
      <c r="I27" s="20">
        <v>16.46950426133219</v>
      </c>
      <c r="J27" s="20">
        <v>46.994904261332188</v>
      </c>
      <c r="K27" s="166">
        <f t="shared" si="2"/>
        <v>626.46950426133219</v>
      </c>
      <c r="L27" s="166">
        <f t="shared" si="3"/>
        <v>121.27869156010786</v>
      </c>
      <c r="M27" s="143" t="s">
        <v>8</v>
      </c>
      <c r="N27" s="20" t="s">
        <v>8</v>
      </c>
      <c r="O27" s="167" t="s">
        <v>654</v>
      </c>
      <c r="P27" s="167">
        <v>605</v>
      </c>
      <c r="Q27" s="167">
        <v>186</v>
      </c>
      <c r="R27" s="167">
        <v>275</v>
      </c>
    </row>
    <row r="28" spans="1:33" ht="17">
      <c r="A28" s="20" t="s">
        <v>264</v>
      </c>
      <c r="B28" s="20" t="s">
        <v>264</v>
      </c>
      <c r="C28" s="20">
        <v>1</v>
      </c>
      <c r="D28" s="20">
        <v>610</v>
      </c>
      <c r="E28" s="20">
        <v>50</v>
      </c>
      <c r="F28" s="20">
        <v>0</v>
      </c>
      <c r="G28" s="20">
        <v>-1</v>
      </c>
      <c r="H28" s="20" t="s">
        <v>652</v>
      </c>
      <c r="I28" s="20">
        <v>390.68186471624949</v>
      </c>
      <c r="J28" s="20">
        <v>438.87986471624947</v>
      </c>
      <c r="K28" s="166">
        <f t="shared" si="2"/>
        <v>1000.6818647162495</v>
      </c>
      <c r="L28" s="166">
        <f t="shared" si="3"/>
        <v>441.7188423118867</v>
      </c>
      <c r="M28" s="143">
        <v>110</v>
      </c>
      <c r="N28" s="20">
        <v>33</v>
      </c>
      <c r="O28" s="167" t="s">
        <v>654</v>
      </c>
      <c r="P28" s="167">
        <v>594</v>
      </c>
      <c r="Q28" s="167">
        <v>711</v>
      </c>
      <c r="R28" s="167">
        <v>593</v>
      </c>
    </row>
    <row r="29" spans="1:33" ht="17">
      <c r="A29" s="20" t="s">
        <v>187</v>
      </c>
      <c r="B29" s="20" t="s">
        <v>187</v>
      </c>
      <c r="C29" s="20">
        <v>1</v>
      </c>
      <c r="D29" s="20">
        <v>5455</v>
      </c>
      <c r="E29" s="20">
        <v>105</v>
      </c>
      <c r="F29" s="20">
        <v>0</v>
      </c>
      <c r="G29" s="20">
        <v>-29</v>
      </c>
      <c r="H29" s="20" t="s">
        <v>652</v>
      </c>
      <c r="I29" s="20">
        <v>-66.047369482986142</v>
      </c>
      <c r="J29" s="20">
        <v>-37.128569482986144</v>
      </c>
      <c r="K29" s="166">
        <f t="shared" si="2"/>
        <v>5388.9526305170139</v>
      </c>
      <c r="L29" s="166">
        <f t="shared" si="3"/>
        <v>111.37113931289798</v>
      </c>
      <c r="M29" s="143" t="s">
        <v>8</v>
      </c>
      <c r="N29" s="20" t="s">
        <v>8</v>
      </c>
      <c r="O29" s="167" t="s">
        <v>654</v>
      </c>
      <c r="P29" s="167">
        <v>6161</v>
      </c>
      <c r="Q29" s="167">
        <v>232</v>
      </c>
      <c r="R29" s="167">
        <v>231</v>
      </c>
    </row>
    <row r="30" spans="1:33" ht="17">
      <c r="A30" s="20" t="s">
        <v>311</v>
      </c>
      <c r="B30" s="20" t="s">
        <v>311</v>
      </c>
      <c r="C30" s="20">
        <v>1</v>
      </c>
      <c r="D30" s="20">
        <v>7020</v>
      </c>
      <c r="E30" s="20">
        <v>160</v>
      </c>
      <c r="F30" s="20">
        <v>0</v>
      </c>
      <c r="G30" s="20">
        <v>-1</v>
      </c>
      <c r="H30" s="20" t="s">
        <v>652</v>
      </c>
      <c r="I30" s="20">
        <v>391</v>
      </c>
      <c r="J30" s="20">
        <v>438.87986471624993</v>
      </c>
      <c r="K30" s="166">
        <f t="shared" si="2"/>
        <v>7411</v>
      </c>
      <c r="L30" s="166">
        <f t="shared" si="3"/>
        <v>467.13545749959275</v>
      </c>
      <c r="M30" s="143">
        <v>110</v>
      </c>
      <c r="N30" s="20">
        <v>33</v>
      </c>
      <c r="O30" s="167" t="s">
        <v>654</v>
      </c>
      <c r="P30" s="167">
        <v>7831</v>
      </c>
      <c r="Q30" s="167">
        <v>1097</v>
      </c>
      <c r="R30" s="167">
        <v>992</v>
      </c>
    </row>
    <row r="31" spans="1:33" ht="17">
      <c r="A31" s="20" t="s">
        <v>302</v>
      </c>
      <c r="B31" s="20" t="s">
        <v>302</v>
      </c>
      <c r="C31" s="20">
        <v>1</v>
      </c>
      <c r="D31" s="20">
        <v>6580</v>
      </c>
      <c r="E31" s="20">
        <v>130</v>
      </c>
      <c r="F31" s="20">
        <v>0</v>
      </c>
      <c r="G31" s="20">
        <v>-1</v>
      </c>
      <c r="H31" s="20" t="s">
        <v>652</v>
      </c>
      <c r="I31" s="20">
        <v>390.68186471624995</v>
      </c>
      <c r="J31" s="20">
        <v>438.87986471624993</v>
      </c>
      <c r="K31" s="166">
        <f t="shared" si="2"/>
        <v>6970.6818647162499</v>
      </c>
      <c r="L31" s="166">
        <f t="shared" si="3"/>
        <v>457.7286703423261</v>
      </c>
      <c r="M31" s="143">
        <v>110</v>
      </c>
      <c r="N31" s="20">
        <v>33</v>
      </c>
      <c r="O31" s="167" t="s">
        <v>654</v>
      </c>
      <c r="P31" s="167">
        <v>7361</v>
      </c>
      <c r="Q31" s="167">
        <v>960</v>
      </c>
      <c r="R31" s="167">
        <v>981</v>
      </c>
    </row>
    <row r="32" spans="1:33" s="121" customFormat="1" ht="17">
      <c r="A32" s="20" t="s">
        <v>239</v>
      </c>
      <c r="B32" s="20" t="s">
        <v>239</v>
      </c>
      <c r="C32" s="20">
        <v>1</v>
      </c>
      <c r="D32" s="20">
        <v>825</v>
      </c>
      <c r="E32" s="20">
        <v>65</v>
      </c>
      <c r="F32" s="20">
        <v>0</v>
      </c>
      <c r="G32" s="20" t="s">
        <v>175</v>
      </c>
      <c r="H32" s="20" t="s">
        <v>175</v>
      </c>
      <c r="I32" s="20" t="s">
        <v>8</v>
      </c>
      <c r="J32" s="20" t="s">
        <v>8</v>
      </c>
      <c r="K32" s="166">
        <f>IF(OR(D32="n/a",D32="nd"),0,D32)+IF(OR(I32="n/a",I32="nd"),0,I32)</f>
        <v>825</v>
      </c>
      <c r="L32" s="166">
        <f t="shared" si="3"/>
        <v>65</v>
      </c>
      <c r="M32" s="143">
        <v>110</v>
      </c>
      <c r="N32" s="20">
        <v>33</v>
      </c>
      <c r="O32" s="167" t="s">
        <v>654</v>
      </c>
      <c r="P32" s="167">
        <v>386</v>
      </c>
      <c r="Q32" s="167">
        <v>161</v>
      </c>
      <c r="R32" s="167">
        <v>192</v>
      </c>
      <c r="T32"/>
      <c r="U32"/>
      <c r="V32"/>
      <c r="W32"/>
      <c r="X32"/>
      <c r="Y32"/>
      <c r="Z32"/>
      <c r="AA32"/>
      <c r="AB32"/>
      <c r="AC32"/>
      <c r="AD32"/>
      <c r="AE32"/>
      <c r="AF32"/>
      <c r="AG32"/>
    </row>
    <row r="33" spans="1:33" s="121" customFormat="1" ht="17">
      <c r="A33" s="20" t="s">
        <v>243</v>
      </c>
      <c r="B33" s="20" t="s">
        <v>243</v>
      </c>
      <c r="C33" s="20">
        <v>1</v>
      </c>
      <c r="D33" s="20">
        <v>3935</v>
      </c>
      <c r="E33" s="20">
        <v>65</v>
      </c>
      <c r="F33" s="20">
        <v>0</v>
      </c>
      <c r="G33" s="20" t="s">
        <v>175</v>
      </c>
      <c r="H33" s="20" t="s">
        <v>175</v>
      </c>
      <c r="I33" s="20" t="s">
        <v>8</v>
      </c>
      <c r="J33" s="20" t="s">
        <v>8</v>
      </c>
      <c r="K33" s="166">
        <f t="shared" si="2"/>
        <v>3935</v>
      </c>
      <c r="L33" s="166">
        <f t="shared" si="3"/>
        <v>65</v>
      </c>
      <c r="M33" s="143">
        <v>110</v>
      </c>
      <c r="N33" s="20">
        <v>33</v>
      </c>
      <c r="O33" s="167" t="s">
        <v>654</v>
      </c>
      <c r="P33" s="167">
        <v>3890</v>
      </c>
      <c r="Q33" s="167">
        <v>246</v>
      </c>
      <c r="R33" s="167">
        <v>245</v>
      </c>
      <c r="T33"/>
      <c r="U33"/>
      <c r="V33"/>
      <c r="W33"/>
      <c r="X33"/>
      <c r="Y33"/>
      <c r="Z33"/>
      <c r="AA33"/>
      <c r="AB33"/>
      <c r="AC33"/>
      <c r="AD33"/>
      <c r="AE33"/>
      <c r="AF33"/>
      <c r="AG33"/>
    </row>
    <row r="34" spans="1:33" s="121" customFormat="1" ht="17">
      <c r="A34" s="20" t="s">
        <v>245</v>
      </c>
      <c r="B34" s="20" t="s">
        <v>245</v>
      </c>
      <c r="C34" s="20">
        <v>1</v>
      </c>
      <c r="D34" s="20">
        <v>5425</v>
      </c>
      <c r="E34" s="20">
        <v>85</v>
      </c>
      <c r="F34" s="20">
        <v>0</v>
      </c>
      <c r="G34" s="20" t="s">
        <v>175</v>
      </c>
      <c r="H34" s="20" t="s">
        <v>175</v>
      </c>
      <c r="I34" s="20" t="s">
        <v>8</v>
      </c>
      <c r="J34" s="20" t="s">
        <v>8</v>
      </c>
      <c r="K34" s="166">
        <f t="shared" si="2"/>
        <v>5425</v>
      </c>
      <c r="L34" s="166">
        <f t="shared" si="3"/>
        <v>85</v>
      </c>
      <c r="M34" s="143">
        <v>110</v>
      </c>
      <c r="N34" s="20">
        <v>33</v>
      </c>
      <c r="O34" s="167" t="s">
        <v>654</v>
      </c>
      <c r="P34" s="167">
        <v>5724</v>
      </c>
      <c r="Q34" s="167">
        <v>224</v>
      </c>
      <c r="R34" s="167">
        <v>245</v>
      </c>
      <c r="T34"/>
      <c r="U34"/>
      <c r="V34"/>
      <c r="W34"/>
      <c r="X34"/>
      <c r="Y34"/>
      <c r="Z34"/>
      <c r="AA34"/>
      <c r="AB34"/>
      <c r="AC34"/>
      <c r="AD34"/>
      <c r="AE34"/>
      <c r="AF34"/>
      <c r="AG34"/>
    </row>
    <row r="35" spans="1:33" s="121" customFormat="1" ht="17">
      <c r="A35" s="20" t="s">
        <v>247</v>
      </c>
      <c r="B35" s="20" t="s">
        <v>247</v>
      </c>
      <c r="C35" s="20">
        <v>1</v>
      </c>
      <c r="D35" s="20">
        <v>8920</v>
      </c>
      <c r="E35" s="20">
        <v>90</v>
      </c>
      <c r="F35" s="20">
        <v>0</v>
      </c>
      <c r="G35" s="20" t="s">
        <v>175</v>
      </c>
      <c r="H35" s="20" t="s">
        <v>175</v>
      </c>
      <c r="I35" s="20" t="s">
        <v>8</v>
      </c>
      <c r="J35" s="20" t="s">
        <v>8</v>
      </c>
      <c r="K35" s="166">
        <f t="shared" si="2"/>
        <v>8920</v>
      </c>
      <c r="L35" s="166">
        <f t="shared" si="3"/>
        <v>90</v>
      </c>
      <c r="M35" s="143">
        <v>110</v>
      </c>
      <c r="N35" s="20">
        <v>33</v>
      </c>
      <c r="O35" s="167" t="s">
        <v>654</v>
      </c>
      <c r="P35" s="167">
        <v>9559</v>
      </c>
      <c r="Q35" s="167">
        <v>315</v>
      </c>
      <c r="R35" s="167">
        <v>256</v>
      </c>
      <c r="T35"/>
      <c r="U35"/>
      <c r="V35"/>
      <c r="W35"/>
      <c r="X35"/>
      <c r="Y35"/>
      <c r="Z35"/>
      <c r="AA35"/>
      <c r="AB35"/>
      <c r="AC35"/>
      <c r="AD35"/>
      <c r="AE35"/>
      <c r="AF35"/>
      <c r="AG35"/>
    </row>
    <row r="36" spans="1:33" s="121" customFormat="1" ht="17">
      <c r="A36" s="20" t="s">
        <v>251</v>
      </c>
      <c r="B36" s="20" t="s">
        <v>251</v>
      </c>
      <c r="C36" s="20">
        <v>1</v>
      </c>
      <c r="D36" s="20">
        <v>9310</v>
      </c>
      <c r="E36" s="20">
        <v>80</v>
      </c>
      <c r="F36" s="20">
        <v>0</v>
      </c>
      <c r="G36" s="20" t="s">
        <v>175</v>
      </c>
      <c r="H36" s="20" t="s">
        <v>175</v>
      </c>
      <c r="I36" s="20" t="s">
        <v>8</v>
      </c>
      <c r="J36" s="20" t="s">
        <v>8</v>
      </c>
      <c r="K36" s="166">
        <f t="shared" si="2"/>
        <v>9310</v>
      </c>
      <c r="L36" s="166">
        <f t="shared" si="3"/>
        <v>80</v>
      </c>
      <c r="M36" s="143">
        <v>110</v>
      </c>
      <c r="N36" s="20">
        <v>33</v>
      </c>
      <c r="O36" s="167" t="s">
        <v>654</v>
      </c>
      <c r="P36" s="167">
        <v>10073</v>
      </c>
      <c r="Q36" s="167">
        <v>271</v>
      </c>
      <c r="R36" s="167">
        <v>312</v>
      </c>
      <c r="T36"/>
      <c r="U36"/>
      <c r="V36"/>
      <c r="W36"/>
      <c r="X36"/>
      <c r="Y36"/>
      <c r="Z36"/>
      <c r="AA36"/>
      <c r="AB36"/>
      <c r="AC36"/>
      <c r="AD36"/>
      <c r="AE36"/>
      <c r="AF36"/>
      <c r="AG36"/>
    </row>
    <row r="37" spans="1:33" ht="17">
      <c r="A37" s="20" t="s">
        <v>298</v>
      </c>
      <c r="B37" s="20" t="s">
        <v>298</v>
      </c>
      <c r="C37" s="20">
        <v>1</v>
      </c>
      <c r="D37" s="20">
        <v>6520</v>
      </c>
      <c r="E37" s="20">
        <v>130</v>
      </c>
      <c r="F37" s="20">
        <v>0</v>
      </c>
      <c r="G37" s="20">
        <v>-29</v>
      </c>
      <c r="H37" s="20" t="s">
        <v>652</v>
      </c>
      <c r="I37" s="20">
        <v>-66.047369482986142</v>
      </c>
      <c r="J37" s="20">
        <v>-37.128569480000003</v>
      </c>
      <c r="K37" s="166">
        <f t="shared" si="2"/>
        <v>6453.9526305170139</v>
      </c>
      <c r="L37" s="166">
        <f t="shared" si="3"/>
        <v>135.19811637604715</v>
      </c>
      <c r="M37" s="143" t="s">
        <v>8</v>
      </c>
      <c r="N37" s="20" t="s">
        <v>8</v>
      </c>
      <c r="O37" s="167" t="s">
        <v>654</v>
      </c>
      <c r="P37" s="167">
        <v>7355</v>
      </c>
      <c r="Q37" s="167">
        <v>227</v>
      </c>
      <c r="R37" s="167">
        <v>336</v>
      </c>
    </row>
    <row r="38" spans="1:33" ht="17">
      <c r="A38" s="20" t="s">
        <v>204</v>
      </c>
      <c r="B38" s="20" t="s">
        <v>204</v>
      </c>
      <c r="C38" s="20">
        <v>1</v>
      </c>
      <c r="D38" s="20">
        <v>8520</v>
      </c>
      <c r="E38" s="20">
        <v>270</v>
      </c>
      <c r="F38" s="20">
        <v>100</v>
      </c>
      <c r="G38" s="20">
        <v>-28.3</v>
      </c>
      <c r="H38" s="20" t="s">
        <v>652</v>
      </c>
      <c r="I38" s="20">
        <v>-54.469461945322109</v>
      </c>
      <c r="J38" s="20">
        <v>12.8528</v>
      </c>
      <c r="K38" s="166">
        <f t="shared" si="2"/>
        <v>8465.5305380546779</v>
      </c>
      <c r="L38" s="166">
        <f t="shared" si="3"/>
        <v>288.21033025871924</v>
      </c>
      <c r="M38" s="143" t="s">
        <v>8</v>
      </c>
      <c r="N38" s="20" t="s">
        <v>8</v>
      </c>
      <c r="O38" s="167" t="s">
        <v>654</v>
      </c>
      <c r="P38" s="167">
        <v>9452</v>
      </c>
      <c r="Q38" s="167">
        <v>747</v>
      </c>
      <c r="R38" s="167">
        <v>800</v>
      </c>
    </row>
    <row r="39" spans="1:33" ht="17">
      <c r="A39" s="20" t="s">
        <v>210</v>
      </c>
      <c r="B39" s="20" t="s">
        <v>210</v>
      </c>
      <c r="C39" s="20">
        <v>1</v>
      </c>
      <c r="D39" s="20">
        <v>8600</v>
      </c>
      <c r="E39" s="20">
        <v>270</v>
      </c>
      <c r="F39" s="20">
        <v>0</v>
      </c>
      <c r="G39" s="20">
        <v>-29</v>
      </c>
      <c r="H39" s="20" t="s">
        <v>652</v>
      </c>
      <c r="I39" s="20">
        <v>-66.04736948298887</v>
      </c>
      <c r="J39" s="20">
        <v>12.8528</v>
      </c>
      <c r="K39" s="166">
        <f t="shared" si="2"/>
        <v>8533.9526305170111</v>
      </c>
      <c r="L39" s="166">
        <f t="shared" si="3"/>
        <v>270.3057425728133</v>
      </c>
      <c r="M39" s="143" t="s">
        <v>8</v>
      </c>
      <c r="N39" s="20" t="s">
        <v>8</v>
      </c>
      <c r="O39" s="167" t="s">
        <v>654</v>
      </c>
      <c r="P39" s="167">
        <v>9550</v>
      </c>
      <c r="Q39" s="167">
        <v>690</v>
      </c>
      <c r="R39" s="167">
        <v>770</v>
      </c>
    </row>
    <row r="40" spans="1:33" ht="17">
      <c r="A40" s="20" t="s">
        <v>180</v>
      </c>
      <c r="B40" s="20" t="s">
        <v>180</v>
      </c>
      <c r="C40" s="20">
        <v>1</v>
      </c>
      <c r="D40" s="20">
        <v>8785</v>
      </c>
      <c r="E40" s="20">
        <v>125</v>
      </c>
      <c r="F40" s="20">
        <v>0</v>
      </c>
      <c r="G40" s="20">
        <v>-29</v>
      </c>
      <c r="H40" s="20" t="s">
        <v>652</v>
      </c>
      <c r="I40" s="20">
        <v>-66.047369482987051</v>
      </c>
      <c r="J40" s="20">
        <v>28.918799999999997</v>
      </c>
      <c r="K40" s="166">
        <f t="shared" si="2"/>
        <v>8718.9526305170129</v>
      </c>
      <c r="L40" s="166">
        <f t="shared" si="3"/>
        <v>128.30158609089756</v>
      </c>
      <c r="M40" s="143" t="s">
        <v>8</v>
      </c>
      <c r="N40" s="20" t="s">
        <v>8</v>
      </c>
      <c r="O40" s="167" t="s">
        <v>654</v>
      </c>
      <c r="P40" s="167">
        <v>9766</v>
      </c>
      <c r="Q40" s="167">
        <v>401</v>
      </c>
      <c r="R40" s="167">
        <v>238</v>
      </c>
    </row>
    <row r="41" spans="1:33" ht="17">
      <c r="A41" s="20" t="s">
        <v>195</v>
      </c>
      <c r="B41" s="20" t="s">
        <v>195</v>
      </c>
      <c r="C41" s="20">
        <v>1</v>
      </c>
      <c r="D41" s="20">
        <v>7970</v>
      </c>
      <c r="E41" s="20">
        <v>150</v>
      </c>
      <c r="F41" s="20">
        <v>0</v>
      </c>
      <c r="G41" s="20">
        <v>-1</v>
      </c>
      <c r="H41" s="20" t="s">
        <v>652</v>
      </c>
      <c r="I41" s="20">
        <v>390.68186471625086</v>
      </c>
      <c r="J41" s="20">
        <v>438.87986471625084</v>
      </c>
      <c r="K41" s="166">
        <f t="shared" si="2"/>
        <v>8360.6818647162509</v>
      </c>
      <c r="L41" s="166">
        <f t="shared" si="3"/>
        <v>463.80549334107138</v>
      </c>
      <c r="M41" s="143">
        <v>110</v>
      </c>
      <c r="N41" s="20">
        <v>33</v>
      </c>
      <c r="O41" s="167" t="s">
        <v>654</v>
      </c>
      <c r="P41" s="167">
        <v>8892</v>
      </c>
      <c r="Q41" s="167">
        <v>1182</v>
      </c>
      <c r="R41" s="167">
        <v>1046</v>
      </c>
    </row>
    <row r="42" spans="1:33" ht="17">
      <c r="A42" s="20" t="s">
        <v>290</v>
      </c>
      <c r="B42" s="20" t="s">
        <v>290</v>
      </c>
      <c r="C42" s="20">
        <v>1</v>
      </c>
      <c r="D42" s="20">
        <v>5520</v>
      </c>
      <c r="E42" s="20">
        <v>110</v>
      </c>
      <c r="F42" s="20">
        <v>0</v>
      </c>
      <c r="G42" s="20">
        <v>-1</v>
      </c>
      <c r="H42" s="20" t="s">
        <v>652</v>
      </c>
      <c r="I42" s="20">
        <v>390.68186471624904</v>
      </c>
      <c r="J42" s="20">
        <v>438.87986471624902</v>
      </c>
      <c r="K42" s="166">
        <f t="shared" si="2"/>
        <v>5910.681864716249</v>
      </c>
      <c r="L42" s="166">
        <f t="shared" si="3"/>
        <v>452.45500953503989</v>
      </c>
      <c r="M42" s="143">
        <v>110</v>
      </c>
      <c r="N42" s="20">
        <v>33</v>
      </c>
      <c r="O42" s="167" t="s">
        <v>654</v>
      </c>
      <c r="P42" s="167">
        <v>6249</v>
      </c>
      <c r="Q42" s="167">
        <v>1012</v>
      </c>
      <c r="R42" s="167">
        <v>976</v>
      </c>
    </row>
    <row r="43" spans="1:33" ht="17">
      <c r="A43" s="20" t="s">
        <v>284</v>
      </c>
      <c r="B43" s="20" t="s">
        <v>284</v>
      </c>
      <c r="C43" s="20">
        <v>1</v>
      </c>
      <c r="D43" s="20">
        <v>3360</v>
      </c>
      <c r="E43" s="20">
        <v>80</v>
      </c>
      <c r="F43" s="20">
        <v>0</v>
      </c>
      <c r="G43" s="20">
        <v>-1</v>
      </c>
      <c r="H43" s="20" t="s">
        <v>652</v>
      </c>
      <c r="I43" s="20">
        <v>390.68186471624813</v>
      </c>
      <c r="J43" s="20">
        <v>438.87986471624811</v>
      </c>
      <c r="K43" s="166">
        <f t="shared" si="2"/>
        <v>3750.6818647162481</v>
      </c>
      <c r="L43" s="166">
        <f t="shared" si="3"/>
        <v>446.11157309954677</v>
      </c>
      <c r="M43" s="143">
        <v>110</v>
      </c>
      <c r="N43" s="20">
        <v>33</v>
      </c>
      <c r="O43" s="167" t="s">
        <v>654</v>
      </c>
      <c r="P43" s="167">
        <v>3676</v>
      </c>
      <c r="Q43" s="167">
        <v>1151</v>
      </c>
      <c r="R43" s="167">
        <v>1101</v>
      </c>
    </row>
    <row r="44" spans="1:33" ht="17">
      <c r="A44" s="20" t="s">
        <v>275</v>
      </c>
      <c r="B44" s="20" t="s">
        <v>275</v>
      </c>
      <c r="C44" s="20">
        <v>1</v>
      </c>
      <c r="D44" s="20">
        <v>5475</v>
      </c>
      <c r="E44" s="20">
        <v>155</v>
      </c>
      <c r="F44" s="20">
        <v>0</v>
      </c>
      <c r="G44" s="20">
        <v>-27.1</v>
      </c>
      <c r="H44" s="20" t="s">
        <v>652</v>
      </c>
      <c r="I44" s="20">
        <v>-34.641011418528251</v>
      </c>
      <c r="J44" s="20">
        <v>27.312199999999997</v>
      </c>
      <c r="K44" s="166">
        <f t="shared" si="2"/>
        <v>5440.3589885814717</v>
      </c>
      <c r="L44" s="166">
        <f t="shared" si="3"/>
        <v>157.38791652741324</v>
      </c>
      <c r="M44" s="143" t="s">
        <v>8</v>
      </c>
      <c r="N44" s="20" t="s">
        <v>8</v>
      </c>
      <c r="O44" s="167" t="s">
        <v>654</v>
      </c>
      <c r="P44" s="167">
        <v>6215</v>
      </c>
      <c r="Q44" s="167">
        <v>405</v>
      </c>
      <c r="R44" s="167">
        <v>315</v>
      </c>
    </row>
    <row r="45" spans="1:33" ht="17">
      <c r="A45" s="20" t="s">
        <v>273</v>
      </c>
      <c r="B45" s="20" t="s">
        <v>273</v>
      </c>
      <c r="C45" s="20">
        <v>1</v>
      </c>
      <c r="D45" s="20">
        <v>5093</v>
      </c>
      <c r="E45" s="20">
        <v>130</v>
      </c>
      <c r="F45" s="20">
        <v>0</v>
      </c>
      <c r="G45" s="20">
        <v>-27.1</v>
      </c>
      <c r="H45" s="20" t="s">
        <v>652</v>
      </c>
      <c r="I45" s="20">
        <v>-34.641011418531889</v>
      </c>
      <c r="J45" s="20">
        <v>27.312199999999997</v>
      </c>
      <c r="K45" s="166">
        <f t="shared" si="2"/>
        <v>5058.3589885814681</v>
      </c>
      <c r="L45" s="166">
        <f t="shared" si="3"/>
        <v>132.83808290110181</v>
      </c>
      <c r="M45" s="143" t="s">
        <v>8</v>
      </c>
      <c r="N45" s="20" t="s">
        <v>8</v>
      </c>
      <c r="O45" s="167" t="s">
        <v>654</v>
      </c>
      <c r="P45" s="167">
        <v>5803</v>
      </c>
      <c r="Q45" s="167">
        <v>377</v>
      </c>
      <c r="R45" s="167">
        <v>317</v>
      </c>
    </row>
    <row r="46" spans="1:33" ht="17">
      <c r="A46" s="20" t="s">
        <v>265</v>
      </c>
      <c r="B46" s="20" t="s">
        <v>265</v>
      </c>
      <c r="C46" s="20">
        <v>1</v>
      </c>
      <c r="D46" s="20">
        <v>520</v>
      </c>
      <c r="E46" s="20">
        <v>112</v>
      </c>
      <c r="F46" s="20">
        <v>0</v>
      </c>
      <c r="G46" s="20">
        <v>-24</v>
      </c>
      <c r="H46" s="20" t="s">
        <v>652</v>
      </c>
      <c r="I46" s="20">
        <v>16.469504261331053</v>
      </c>
      <c r="J46" s="20">
        <v>30.525399999999998</v>
      </c>
      <c r="K46" s="166">
        <f t="shared" si="2"/>
        <v>536.46950426133105</v>
      </c>
      <c r="L46" s="166">
        <f t="shared" si="3"/>
        <v>116.08531364974641</v>
      </c>
      <c r="M46" s="143" t="s">
        <v>8</v>
      </c>
      <c r="N46" s="20" t="s">
        <v>8</v>
      </c>
      <c r="O46" s="167" t="s">
        <v>654</v>
      </c>
      <c r="P46" s="167">
        <v>548</v>
      </c>
      <c r="Q46" s="167">
        <v>133</v>
      </c>
      <c r="R46" s="167">
        <v>234</v>
      </c>
    </row>
    <row r="47" spans="1:33" ht="17">
      <c r="A47" s="20" t="s">
        <v>521</v>
      </c>
      <c r="B47" s="20" t="s">
        <v>521</v>
      </c>
      <c r="C47" s="20">
        <v>1</v>
      </c>
      <c r="D47" s="20">
        <v>5090</v>
      </c>
      <c r="E47" s="20">
        <v>160</v>
      </c>
      <c r="F47" s="20">
        <v>0</v>
      </c>
      <c r="G47" s="20">
        <v>-1</v>
      </c>
      <c r="H47" s="20" t="s">
        <v>652</v>
      </c>
      <c r="I47" s="20">
        <v>390.68186471624813</v>
      </c>
      <c r="J47" s="20">
        <v>48.197999999999993</v>
      </c>
      <c r="K47" s="166">
        <f t="shared" si="2"/>
        <v>5480.6818647162481</v>
      </c>
      <c r="L47" s="166">
        <f t="shared" si="3"/>
        <v>167.1019066438202</v>
      </c>
      <c r="M47" s="143">
        <v>110</v>
      </c>
      <c r="N47" s="20">
        <v>33</v>
      </c>
      <c r="O47" s="167" t="s">
        <v>654</v>
      </c>
      <c r="P47" s="167">
        <v>5785</v>
      </c>
      <c r="Q47" s="167">
        <v>408</v>
      </c>
      <c r="R47" s="167">
        <v>378</v>
      </c>
    </row>
    <row r="48" spans="1:33" ht="17">
      <c r="A48" s="20" t="s">
        <v>272</v>
      </c>
      <c r="B48" s="20" t="s">
        <v>272</v>
      </c>
      <c r="C48" s="20">
        <v>1</v>
      </c>
      <c r="D48" s="20">
        <v>3220</v>
      </c>
      <c r="E48" s="20">
        <v>95</v>
      </c>
      <c r="F48" s="20">
        <v>100</v>
      </c>
      <c r="G48" s="20">
        <v>-24</v>
      </c>
      <c r="H48" s="20" t="s">
        <v>652</v>
      </c>
      <c r="I48" s="20">
        <v>16.469504261330712</v>
      </c>
      <c r="J48" s="20">
        <v>46.99490426133071</v>
      </c>
      <c r="K48" s="166">
        <f t="shared" si="2"/>
        <v>3236.4695042613307</v>
      </c>
      <c r="L48" s="166">
        <f t="shared" si="3"/>
        <v>145.71726399617734</v>
      </c>
      <c r="M48" s="143" t="s">
        <v>8</v>
      </c>
      <c r="N48" s="20" t="s">
        <v>8</v>
      </c>
      <c r="O48" s="167" t="s">
        <v>654</v>
      </c>
      <c r="P48" s="167">
        <v>3461</v>
      </c>
      <c r="Q48" s="167">
        <v>373</v>
      </c>
      <c r="R48" s="167">
        <v>385</v>
      </c>
    </row>
    <row r="49" spans="1:18" ht="17">
      <c r="A49" s="20" t="s">
        <v>271</v>
      </c>
      <c r="B49" s="20" t="s">
        <v>271</v>
      </c>
      <c r="C49" s="20">
        <v>1</v>
      </c>
      <c r="D49" s="20">
        <v>3160</v>
      </c>
      <c r="E49" s="20">
        <v>100</v>
      </c>
      <c r="F49" s="20">
        <v>100</v>
      </c>
      <c r="G49" s="20">
        <v>-24</v>
      </c>
      <c r="H49" s="20" t="s">
        <v>652</v>
      </c>
      <c r="I49" s="20">
        <v>16.469504261331622</v>
      </c>
      <c r="J49" s="20">
        <v>46.994904261331619</v>
      </c>
      <c r="K49" s="166">
        <f t="shared" si="2"/>
        <v>3176.4695042613316</v>
      </c>
      <c r="L49" s="166">
        <f t="shared" si="3"/>
        <v>149.02523620693148</v>
      </c>
      <c r="M49" s="143" t="s">
        <v>8</v>
      </c>
      <c r="N49" s="20" t="s">
        <v>8</v>
      </c>
      <c r="O49" s="167" t="s">
        <v>654</v>
      </c>
      <c r="P49" s="167">
        <v>3383</v>
      </c>
      <c r="Q49" s="167">
        <v>437</v>
      </c>
      <c r="R49" s="167">
        <v>417</v>
      </c>
    </row>
    <row r="50" spans="1:18" ht="17">
      <c r="A50" s="20" t="s">
        <v>277</v>
      </c>
      <c r="B50" s="20" t="s">
        <v>277</v>
      </c>
      <c r="C50" s="20">
        <v>1</v>
      </c>
      <c r="D50" s="20">
        <v>6670</v>
      </c>
      <c r="E50" s="20">
        <v>130</v>
      </c>
      <c r="F50" s="20">
        <v>0</v>
      </c>
      <c r="G50" s="20">
        <v>-27.1</v>
      </c>
      <c r="H50" s="20" t="s">
        <v>652</v>
      </c>
      <c r="I50" s="20">
        <v>-34.64101141853007</v>
      </c>
      <c r="J50" s="20">
        <v>-7.3288114185300728</v>
      </c>
      <c r="K50" s="166">
        <f t="shared" si="2"/>
        <v>6635.3589885814699</v>
      </c>
      <c r="L50" s="166">
        <f t="shared" si="3"/>
        <v>130.20641872353443</v>
      </c>
      <c r="M50" s="143" t="s">
        <v>8</v>
      </c>
      <c r="N50" s="20" t="s">
        <v>8</v>
      </c>
      <c r="O50" s="167" t="s">
        <v>654</v>
      </c>
      <c r="P50" s="167">
        <v>7514</v>
      </c>
      <c r="Q50" s="167">
        <v>209</v>
      </c>
      <c r="R50" s="167">
        <v>245</v>
      </c>
    </row>
    <row r="51" spans="1:18" ht="17">
      <c r="A51" s="20" t="s">
        <v>519</v>
      </c>
      <c r="B51" s="20" t="s">
        <v>519</v>
      </c>
      <c r="C51" s="20">
        <v>1</v>
      </c>
      <c r="D51" s="20">
        <v>5530</v>
      </c>
      <c r="E51" s="20">
        <v>160</v>
      </c>
      <c r="F51" s="20">
        <v>0</v>
      </c>
      <c r="G51" s="20">
        <v>-1</v>
      </c>
      <c r="H51" s="20" t="s">
        <v>652</v>
      </c>
      <c r="I51" s="20">
        <v>390.68186471624995</v>
      </c>
      <c r="J51" s="20">
        <v>48.197999999999993</v>
      </c>
      <c r="K51" s="166">
        <f t="shared" si="2"/>
        <v>5920.6818647162499</v>
      </c>
      <c r="L51" s="166">
        <f t="shared" si="3"/>
        <v>167.1019066438202</v>
      </c>
      <c r="M51" s="143">
        <v>110</v>
      </c>
      <c r="N51" s="20">
        <v>33</v>
      </c>
      <c r="O51" s="167" t="s">
        <v>654</v>
      </c>
      <c r="P51" s="167">
        <v>6257</v>
      </c>
      <c r="Q51" s="167">
        <v>403</v>
      </c>
      <c r="R51" s="167">
        <v>385</v>
      </c>
    </row>
    <row r="52" spans="1:18" ht="17">
      <c r="A52" s="20" t="s">
        <v>211</v>
      </c>
      <c r="B52" s="20" t="s">
        <v>211</v>
      </c>
      <c r="C52" s="20">
        <v>1</v>
      </c>
      <c r="D52" s="20">
        <v>3950</v>
      </c>
      <c r="E52" s="20">
        <v>95</v>
      </c>
      <c r="F52" s="20">
        <v>0</v>
      </c>
      <c r="G52" s="20">
        <v>-1</v>
      </c>
      <c r="H52" s="20" t="s">
        <v>652</v>
      </c>
      <c r="I52" s="20">
        <v>390.68186471624904</v>
      </c>
      <c r="J52" s="20">
        <v>438.87986471624902</v>
      </c>
      <c r="K52" s="166">
        <f t="shared" si="2"/>
        <v>4340.681864716249</v>
      </c>
      <c r="L52" s="166">
        <f t="shared" si="3"/>
        <v>449.04402418176443</v>
      </c>
      <c r="M52" s="143">
        <v>110</v>
      </c>
      <c r="N52" s="20">
        <v>33</v>
      </c>
      <c r="O52" s="167" t="s">
        <v>654</v>
      </c>
      <c r="P52" s="167">
        <v>4412</v>
      </c>
      <c r="Q52" s="167">
        <v>1116</v>
      </c>
      <c r="R52" s="167">
        <v>1100</v>
      </c>
    </row>
    <row r="53" spans="1:18" ht="17">
      <c r="A53" s="20" t="s">
        <v>217</v>
      </c>
      <c r="B53" s="20" t="s">
        <v>217</v>
      </c>
      <c r="C53" s="20">
        <v>1</v>
      </c>
      <c r="D53" s="20">
        <v>7840</v>
      </c>
      <c r="E53" s="20">
        <v>120</v>
      </c>
      <c r="F53" s="20">
        <v>0</v>
      </c>
      <c r="G53" s="20">
        <v>-1</v>
      </c>
      <c r="H53" s="20" t="s">
        <v>652</v>
      </c>
      <c r="I53" s="20">
        <v>390.68186471624904</v>
      </c>
      <c r="J53" s="20">
        <v>438.87986471624902</v>
      </c>
      <c r="K53" s="166">
        <f t="shared" si="2"/>
        <v>8230.681864716249</v>
      </c>
      <c r="L53" s="166">
        <f t="shared" si="3"/>
        <v>454.98959950020071</v>
      </c>
      <c r="M53" s="143">
        <v>110</v>
      </c>
      <c r="N53" s="20">
        <v>33</v>
      </c>
      <c r="O53" s="167" t="s">
        <v>654</v>
      </c>
      <c r="P53" s="167">
        <v>8743</v>
      </c>
      <c r="Q53" s="167">
        <v>1107</v>
      </c>
      <c r="R53" s="167">
        <v>1044</v>
      </c>
    </row>
    <row r="54" spans="1:18" ht="17">
      <c r="A54" s="20" t="s">
        <v>424</v>
      </c>
      <c r="B54" s="20" t="s">
        <v>424</v>
      </c>
      <c r="C54" s="20">
        <v>1</v>
      </c>
      <c r="D54" s="20">
        <v>2530</v>
      </c>
      <c r="E54" s="20">
        <v>90</v>
      </c>
      <c r="F54" s="20">
        <v>0</v>
      </c>
      <c r="G54" s="20">
        <v>-1</v>
      </c>
      <c r="H54" s="20" t="s">
        <v>652</v>
      </c>
      <c r="I54" s="20">
        <v>390.68186471624858</v>
      </c>
      <c r="J54" s="20">
        <v>48.197999999999993</v>
      </c>
      <c r="K54" s="166">
        <f t="shared" si="2"/>
        <v>2920.6818647162486</v>
      </c>
      <c r="L54" s="166">
        <f t="shared" si="3"/>
        <v>102.09332595228739</v>
      </c>
      <c r="M54" s="143">
        <v>110</v>
      </c>
      <c r="N54" s="20">
        <v>33</v>
      </c>
      <c r="O54" s="167" t="s">
        <v>654</v>
      </c>
      <c r="P54" s="167">
        <v>2635</v>
      </c>
      <c r="Q54" s="167">
        <v>280</v>
      </c>
      <c r="R54" s="167">
        <v>298</v>
      </c>
    </row>
    <row r="55" spans="1:18" ht="17">
      <c r="A55" s="20" t="s">
        <v>337</v>
      </c>
      <c r="B55" s="20" t="s">
        <v>337</v>
      </c>
      <c r="C55" s="20">
        <v>1</v>
      </c>
      <c r="D55" s="20">
        <v>1500</v>
      </c>
      <c r="E55" s="20">
        <v>30</v>
      </c>
      <c r="F55" s="20">
        <v>0</v>
      </c>
      <c r="G55" s="20">
        <v>-2.7</v>
      </c>
      <c r="H55" s="20" t="s">
        <v>653</v>
      </c>
      <c r="I55" s="20" t="s">
        <v>8</v>
      </c>
      <c r="J55" s="20" t="s">
        <v>8</v>
      </c>
      <c r="K55" s="166">
        <f t="shared" si="2"/>
        <v>1500</v>
      </c>
      <c r="L55" s="166">
        <f t="shared" si="3"/>
        <v>30</v>
      </c>
      <c r="M55" s="143">
        <v>110</v>
      </c>
      <c r="N55" s="20">
        <v>33</v>
      </c>
      <c r="O55" s="167" t="s">
        <v>654</v>
      </c>
      <c r="P55" s="167">
        <v>1002</v>
      </c>
      <c r="Q55" s="167">
        <v>165</v>
      </c>
      <c r="R55" s="167">
        <v>155</v>
      </c>
    </row>
    <row r="56" spans="1:18" ht="17">
      <c r="A56" s="20" t="s">
        <v>340</v>
      </c>
      <c r="B56" s="20" t="s">
        <v>340</v>
      </c>
      <c r="C56" s="20">
        <v>1</v>
      </c>
      <c r="D56" s="20">
        <v>970</v>
      </c>
      <c r="E56" s="20">
        <v>30</v>
      </c>
      <c r="F56" s="20">
        <v>100</v>
      </c>
      <c r="G56" s="20">
        <v>-23.7</v>
      </c>
      <c r="H56" s="20" t="s">
        <v>653</v>
      </c>
      <c r="I56" s="20" t="s">
        <v>8</v>
      </c>
      <c r="J56" s="20" t="s">
        <v>8</v>
      </c>
      <c r="K56" s="166">
        <f t="shared" si="2"/>
        <v>970</v>
      </c>
      <c r="L56" s="166">
        <f t="shared" si="3"/>
        <v>104.4030650891055</v>
      </c>
      <c r="M56" s="143" t="s">
        <v>8</v>
      </c>
      <c r="N56" s="20" t="s">
        <v>8</v>
      </c>
      <c r="O56" s="167" t="s">
        <v>654</v>
      </c>
      <c r="P56" s="167">
        <v>869</v>
      </c>
      <c r="Q56" s="167">
        <v>305</v>
      </c>
      <c r="R56" s="167">
        <v>191</v>
      </c>
    </row>
    <row r="57" spans="1:18" ht="17">
      <c r="A57" s="20" t="s">
        <v>330</v>
      </c>
      <c r="B57" s="20" t="s">
        <v>330</v>
      </c>
      <c r="C57" s="20">
        <v>1</v>
      </c>
      <c r="D57" s="20">
        <v>1080</v>
      </c>
      <c r="E57" s="20">
        <v>30</v>
      </c>
      <c r="F57" s="20">
        <v>100</v>
      </c>
      <c r="G57" s="20">
        <v>-23.2</v>
      </c>
      <c r="H57" s="20" t="s">
        <v>653</v>
      </c>
      <c r="I57" s="20" t="s">
        <v>8</v>
      </c>
      <c r="J57" s="20" t="s">
        <v>8</v>
      </c>
      <c r="K57" s="166">
        <f t="shared" si="2"/>
        <v>1080</v>
      </c>
      <c r="L57" s="166">
        <f t="shared" si="3"/>
        <v>104.4030650891055</v>
      </c>
      <c r="M57" s="143" t="s">
        <v>8</v>
      </c>
      <c r="N57" s="20" t="s">
        <v>8</v>
      </c>
      <c r="O57" s="167" t="s">
        <v>654</v>
      </c>
      <c r="P57" s="167">
        <v>997</v>
      </c>
      <c r="Q57" s="167">
        <v>266</v>
      </c>
      <c r="R57" s="167">
        <v>247</v>
      </c>
    </row>
    <row r="58" spans="1:18" ht="17">
      <c r="A58" s="20" t="s">
        <v>342</v>
      </c>
      <c r="B58" s="20" t="s">
        <v>342</v>
      </c>
      <c r="C58" s="20">
        <v>1</v>
      </c>
      <c r="D58" s="20">
        <v>1270</v>
      </c>
      <c r="E58" s="20">
        <v>30</v>
      </c>
      <c r="F58" s="20">
        <v>0</v>
      </c>
      <c r="G58" s="20">
        <v>-1</v>
      </c>
      <c r="H58" s="20" t="s">
        <v>653</v>
      </c>
      <c r="I58" s="20" t="s">
        <v>8</v>
      </c>
      <c r="J58" s="20" t="s">
        <v>8</v>
      </c>
      <c r="K58" s="166">
        <f t="shared" si="2"/>
        <v>1270</v>
      </c>
      <c r="L58" s="166">
        <f t="shared" si="3"/>
        <v>30</v>
      </c>
      <c r="M58" s="143">
        <v>110</v>
      </c>
      <c r="N58" s="20">
        <v>33</v>
      </c>
      <c r="O58" s="167" t="s">
        <v>654</v>
      </c>
      <c r="P58" s="167">
        <v>766</v>
      </c>
      <c r="Q58" s="167">
        <v>145</v>
      </c>
      <c r="R58" s="167">
        <v>125</v>
      </c>
    </row>
    <row r="59" spans="1:18" ht="17">
      <c r="A59" s="20" t="s">
        <v>276</v>
      </c>
      <c r="B59" s="20" t="s">
        <v>276</v>
      </c>
      <c r="C59" s="20">
        <v>1</v>
      </c>
      <c r="D59" s="20">
        <v>6760</v>
      </c>
      <c r="E59" s="20">
        <v>130</v>
      </c>
      <c r="F59" s="20">
        <v>100</v>
      </c>
      <c r="G59" s="20">
        <v>-24</v>
      </c>
      <c r="H59" s="20" t="s">
        <v>652</v>
      </c>
      <c r="I59" s="20">
        <v>16.469504261331167</v>
      </c>
      <c r="J59" s="20">
        <v>46.994904261331165</v>
      </c>
      <c r="K59" s="166">
        <f t="shared" si="2"/>
        <v>6776.4695042613312</v>
      </c>
      <c r="L59" s="166">
        <f t="shared" si="3"/>
        <v>170.61219483533901</v>
      </c>
      <c r="M59" s="143" t="s">
        <v>8</v>
      </c>
      <c r="N59" s="20" t="s">
        <v>8</v>
      </c>
      <c r="O59" s="167" t="s">
        <v>654</v>
      </c>
      <c r="P59" s="167">
        <v>7639</v>
      </c>
      <c r="Q59" s="167">
        <v>316</v>
      </c>
      <c r="R59" s="167">
        <v>310</v>
      </c>
    </row>
    <row r="60" spans="1:18" ht="17">
      <c r="A60" s="20" t="s">
        <v>269</v>
      </c>
      <c r="B60" s="20" t="s">
        <v>269</v>
      </c>
      <c r="C60" s="20">
        <v>1</v>
      </c>
      <c r="D60" s="20">
        <v>1900</v>
      </c>
      <c r="E60" s="20">
        <v>93</v>
      </c>
      <c r="F60" s="20">
        <v>0</v>
      </c>
      <c r="G60" s="20">
        <v>-27.1</v>
      </c>
      <c r="H60" s="20" t="s">
        <v>652</v>
      </c>
      <c r="I60" s="20">
        <v>-34.64101141853007</v>
      </c>
      <c r="J60" s="20">
        <v>27.312199999999997</v>
      </c>
      <c r="K60" s="166">
        <f t="shared" si="2"/>
        <v>1865.3589885814699</v>
      </c>
      <c r="L60" s="166">
        <f t="shared" si="3"/>
        <v>96.92758260082627</v>
      </c>
      <c r="M60" s="143" t="s">
        <v>8</v>
      </c>
      <c r="N60" s="20" t="s">
        <v>8</v>
      </c>
      <c r="O60" s="167" t="s">
        <v>654</v>
      </c>
      <c r="P60" s="167">
        <v>1780</v>
      </c>
      <c r="Q60" s="167">
        <v>213</v>
      </c>
      <c r="R60" s="167">
        <v>233</v>
      </c>
    </row>
    <row r="61" spans="1:18" ht="17">
      <c r="A61" s="20" t="s">
        <v>267</v>
      </c>
      <c r="B61" s="20" t="s">
        <v>267</v>
      </c>
      <c r="C61" s="20">
        <v>1</v>
      </c>
      <c r="D61" s="20">
        <v>1630</v>
      </c>
      <c r="E61" s="20">
        <v>70</v>
      </c>
      <c r="F61" s="20">
        <v>0</v>
      </c>
      <c r="G61" s="20">
        <v>-29</v>
      </c>
      <c r="H61" s="20" t="s">
        <v>652</v>
      </c>
      <c r="I61" s="20">
        <v>-66.047369482987733</v>
      </c>
      <c r="J61" s="20">
        <v>28.918799999999997</v>
      </c>
      <c r="K61" s="166">
        <f t="shared" si="2"/>
        <v>1563.9526305170123</v>
      </c>
      <c r="L61" s="166">
        <f t="shared" si="3"/>
        <v>75.738345594817417</v>
      </c>
      <c r="M61" s="143" t="s">
        <v>8</v>
      </c>
      <c r="N61" s="20" t="s">
        <v>8</v>
      </c>
      <c r="O61" s="167" t="s">
        <v>654</v>
      </c>
      <c r="P61" s="167">
        <v>1451</v>
      </c>
      <c r="Q61" s="167">
        <v>233</v>
      </c>
      <c r="R61" s="167">
        <v>145</v>
      </c>
    </row>
    <row r="62" spans="1:18" ht="17">
      <c r="A62" s="20" t="s">
        <v>270</v>
      </c>
      <c r="B62" s="20" t="s">
        <v>270</v>
      </c>
      <c r="C62" s="20">
        <v>1</v>
      </c>
      <c r="D62" s="20">
        <v>3110</v>
      </c>
      <c r="E62" s="20">
        <v>185</v>
      </c>
      <c r="F62" s="20">
        <v>100</v>
      </c>
      <c r="G62" s="20">
        <v>-24</v>
      </c>
      <c r="H62" s="20" t="s">
        <v>652</v>
      </c>
      <c r="I62" s="20">
        <v>16.469504261331622</v>
      </c>
      <c r="J62" s="20">
        <v>30.525399999999998</v>
      </c>
      <c r="K62" s="166">
        <f t="shared" si="2"/>
        <v>3126.4695042613316</v>
      </c>
      <c r="L62" s="166">
        <f t="shared" si="3"/>
        <v>212.50129421996471</v>
      </c>
      <c r="M62" s="143" t="s">
        <v>8</v>
      </c>
      <c r="N62" s="20" t="s">
        <v>8</v>
      </c>
      <c r="O62" s="167" t="s">
        <v>654</v>
      </c>
      <c r="P62" s="167">
        <v>3316</v>
      </c>
      <c r="Q62" s="167">
        <v>514</v>
      </c>
      <c r="R62" s="167">
        <v>529</v>
      </c>
    </row>
    <row r="63" spans="1:18" ht="17">
      <c r="A63" s="20" t="s">
        <v>200</v>
      </c>
      <c r="B63" s="20" t="s">
        <v>200</v>
      </c>
      <c r="C63" s="20">
        <v>1</v>
      </c>
      <c r="D63" s="20">
        <v>10060</v>
      </c>
      <c r="E63" s="20">
        <v>130</v>
      </c>
      <c r="F63" s="20">
        <v>100</v>
      </c>
      <c r="G63" s="20">
        <v>-28.3</v>
      </c>
      <c r="H63" s="20" t="s">
        <v>652</v>
      </c>
      <c r="I63" s="20">
        <v>-54.46946194532029</v>
      </c>
      <c r="J63" s="20">
        <v>12.8528</v>
      </c>
      <c r="K63" s="166">
        <f t="shared" si="2"/>
        <v>10005.53053805468</v>
      </c>
      <c r="L63" s="166">
        <f t="shared" si="3"/>
        <v>164.51502809117468</v>
      </c>
      <c r="M63" s="143" t="s">
        <v>8</v>
      </c>
      <c r="N63" s="20" t="s">
        <v>8</v>
      </c>
      <c r="O63" s="167" t="s">
        <v>654</v>
      </c>
      <c r="P63" s="167">
        <v>11558</v>
      </c>
      <c r="Q63" s="167">
        <v>877</v>
      </c>
      <c r="R63" s="167">
        <v>456</v>
      </c>
    </row>
    <row r="64" spans="1:18" ht="17">
      <c r="A64" s="20" t="s">
        <v>450</v>
      </c>
      <c r="B64" s="20" t="s">
        <v>450</v>
      </c>
      <c r="C64" s="20">
        <v>1</v>
      </c>
      <c r="D64" s="20">
        <v>3980</v>
      </c>
      <c r="E64" s="20">
        <v>110</v>
      </c>
      <c r="F64" s="20">
        <v>0</v>
      </c>
      <c r="G64" s="20">
        <v>-1</v>
      </c>
      <c r="H64" s="20" t="s">
        <v>652</v>
      </c>
      <c r="I64" s="20">
        <v>390.68186471624813</v>
      </c>
      <c r="J64" s="20">
        <v>48.197999999999993</v>
      </c>
      <c r="K64" s="166">
        <f t="shared" si="2"/>
        <v>4370.6818647162481</v>
      </c>
      <c r="L64" s="166">
        <f t="shared" si="3"/>
        <v>120.09599162336768</v>
      </c>
      <c r="M64" s="143">
        <v>110</v>
      </c>
      <c r="N64" s="20">
        <v>33</v>
      </c>
      <c r="O64" s="167" t="s">
        <v>654</v>
      </c>
      <c r="P64" s="167">
        <v>4468</v>
      </c>
      <c r="Q64" s="167">
        <v>349</v>
      </c>
      <c r="R64" s="167">
        <v>351</v>
      </c>
    </row>
    <row r="65" spans="1:18" ht="17">
      <c r="A65" s="20" t="s">
        <v>404</v>
      </c>
      <c r="B65" s="20" t="s">
        <v>404</v>
      </c>
      <c r="C65" s="20">
        <v>1</v>
      </c>
      <c r="D65" s="20">
        <v>2150</v>
      </c>
      <c r="E65" s="20">
        <v>90</v>
      </c>
      <c r="F65" s="20">
        <v>100</v>
      </c>
      <c r="G65" s="20">
        <v>-23.25</v>
      </c>
      <c r="H65" s="20" t="s">
        <v>652</v>
      </c>
      <c r="I65" s="20">
        <v>28.810562351189219</v>
      </c>
      <c r="J65" s="20">
        <v>8.0330000938744099</v>
      </c>
      <c r="K65" s="166">
        <f t="shared" si="2"/>
        <v>2178.8105623511892</v>
      </c>
      <c r="L65" s="166">
        <f t="shared" si="3"/>
        <v>134.77584757851901</v>
      </c>
      <c r="M65" s="143" t="s">
        <v>8</v>
      </c>
      <c r="N65" s="20" t="s">
        <v>8</v>
      </c>
      <c r="O65" s="167" t="s">
        <v>654</v>
      </c>
      <c r="P65" s="167">
        <v>2165</v>
      </c>
      <c r="Q65" s="167">
        <v>522</v>
      </c>
      <c r="R65" s="167">
        <v>367</v>
      </c>
    </row>
    <row r="66" spans="1:18" ht="17">
      <c r="A66" s="20" t="s">
        <v>435</v>
      </c>
      <c r="B66" s="20" t="s">
        <v>435</v>
      </c>
      <c r="C66" s="20">
        <v>1</v>
      </c>
      <c r="D66" s="20">
        <v>2896</v>
      </c>
      <c r="E66" s="20">
        <v>120</v>
      </c>
      <c r="F66" s="20">
        <v>100</v>
      </c>
      <c r="G66" s="20">
        <v>-23.25</v>
      </c>
      <c r="H66" s="20" t="s">
        <v>652</v>
      </c>
      <c r="I66" s="20">
        <v>28.810562351188764</v>
      </c>
      <c r="J66" s="20">
        <v>8.0330000938744099</v>
      </c>
      <c r="K66" s="166">
        <f t="shared" si="2"/>
        <v>2924.8105623511888</v>
      </c>
      <c r="L66" s="166">
        <f t="shared" si="3"/>
        <v>156.41140971971382</v>
      </c>
      <c r="M66" s="143" t="s">
        <v>8</v>
      </c>
      <c r="N66" s="20" t="s">
        <v>8</v>
      </c>
      <c r="O66" s="167" t="s">
        <v>654</v>
      </c>
      <c r="P66" s="167">
        <v>3084</v>
      </c>
      <c r="Q66" s="167">
        <v>360</v>
      </c>
      <c r="R66" s="167">
        <v>328</v>
      </c>
    </row>
    <row r="67" spans="1:18" ht="17">
      <c r="A67" s="20" t="s">
        <v>328</v>
      </c>
      <c r="B67" s="20" t="s">
        <v>328</v>
      </c>
      <c r="C67" s="20">
        <v>1</v>
      </c>
      <c r="D67" s="20">
        <v>9290</v>
      </c>
      <c r="E67" s="20">
        <v>40</v>
      </c>
      <c r="F67" s="20">
        <v>0</v>
      </c>
      <c r="G67" s="20">
        <v>-29.4</v>
      </c>
      <c r="H67" s="20" t="s">
        <v>653</v>
      </c>
      <c r="I67" s="20" t="s">
        <v>8</v>
      </c>
      <c r="J67" s="20" t="s">
        <v>8</v>
      </c>
      <c r="K67" s="166">
        <f t="shared" si="2"/>
        <v>9290</v>
      </c>
      <c r="L67" s="166">
        <f t="shared" si="3"/>
        <v>40</v>
      </c>
      <c r="M67" s="143" t="s">
        <v>8</v>
      </c>
      <c r="N67" s="20" t="s">
        <v>8</v>
      </c>
      <c r="O67" s="167" t="s">
        <v>654</v>
      </c>
      <c r="P67" s="167">
        <v>10480</v>
      </c>
      <c r="Q67" s="167">
        <v>161</v>
      </c>
      <c r="R67" s="167">
        <v>182</v>
      </c>
    </row>
    <row r="68" spans="1:18" ht="17">
      <c r="A68" s="20" t="s">
        <v>324</v>
      </c>
      <c r="B68" s="20" t="s">
        <v>324</v>
      </c>
      <c r="C68" s="20">
        <v>1</v>
      </c>
      <c r="D68" s="20">
        <v>9230</v>
      </c>
      <c r="E68" s="20">
        <v>30</v>
      </c>
      <c r="F68" s="20">
        <v>0</v>
      </c>
      <c r="G68" s="20">
        <v>-28.7</v>
      </c>
      <c r="H68" s="20" t="s">
        <v>653</v>
      </c>
      <c r="I68" s="20" t="s">
        <v>8</v>
      </c>
      <c r="J68" s="20" t="s">
        <v>8</v>
      </c>
      <c r="K68" s="166">
        <f t="shared" si="2"/>
        <v>9230</v>
      </c>
      <c r="L68" s="166">
        <f t="shared" si="3"/>
        <v>30</v>
      </c>
      <c r="M68" s="143" t="s">
        <v>8</v>
      </c>
      <c r="N68" s="20" t="s">
        <v>8</v>
      </c>
      <c r="O68" s="167" t="s">
        <v>654</v>
      </c>
      <c r="P68" s="167">
        <v>10390</v>
      </c>
      <c r="Q68" s="167">
        <v>110</v>
      </c>
      <c r="R68" s="167">
        <v>126</v>
      </c>
    </row>
    <row r="69" spans="1:18" ht="17">
      <c r="A69" s="20" t="s">
        <v>329</v>
      </c>
      <c r="B69" s="20" t="s">
        <v>329</v>
      </c>
      <c r="C69" s="20">
        <v>1</v>
      </c>
      <c r="D69" s="20">
        <v>9350</v>
      </c>
      <c r="E69" s="20">
        <v>30</v>
      </c>
      <c r="F69" s="20">
        <v>0</v>
      </c>
      <c r="G69" s="20">
        <v>-30.6</v>
      </c>
      <c r="H69" s="20" t="s">
        <v>653</v>
      </c>
      <c r="I69" s="20" t="s">
        <v>8</v>
      </c>
      <c r="J69" s="20" t="s">
        <v>8</v>
      </c>
      <c r="K69" s="166">
        <f t="shared" si="2"/>
        <v>9350</v>
      </c>
      <c r="L69" s="166">
        <f t="shared" si="3"/>
        <v>30</v>
      </c>
      <c r="M69" s="143" t="s">
        <v>8</v>
      </c>
      <c r="N69" s="20" t="s">
        <v>8</v>
      </c>
      <c r="O69" s="167" t="s">
        <v>654</v>
      </c>
      <c r="P69" s="167">
        <v>10560</v>
      </c>
      <c r="Q69" s="167">
        <v>101</v>
      </c>
      <c r="R69" s="167">
        <v>123</v>
      </c>
    </row>
    <row r="70" spans="1:18" ht="17">
      <c r="A70" s="20" t="s">
        <v>323</v>
      </c>
      <c r="B70" s="20" t="s">
        <v>323</v>
      </c>
      <c r="C70" s="20">
        <v>1</v>
      </c>
      <c r="D70" s="20">
        <v>8910</v>
      </c>
      <c r="E70" s="20">
        <v>40</v>
      </c>
      <c r="F70" s="20">
        <v>0</v>
      </c>
      <c r="G70" s="20">
        <v>-27.1</v>
      </c>
      <c r="H70" s="20" t="s">
        <v>653</v>
      </c>
      <c r="I70" s="20" t="s">
        <v>8</v>
      </c>
      <c r="J70" s="20" t="s">
        <v>8</v>
      </c>
      <c r="K70" s="166">
        <f t="shared" si="2"/>
        <v>8910</v>
      </c>
      <c r="L70" s="166">
        <f t="shared" si="3"/>
        <v>40</v>
      </c>
      <c r="M70" s="143" t="s">
        <v>8</v>
      </c>
      <c r="N70" s="20" t="s">
        <v>8</v>
      </c>
      <c r="O70" s="167" t="s">
        <v>654</v>
      </c>
      <c r="P70" s="167">
        <v>10037</v>
      </c>
      <c r="Q70" s="167">
        <v>153</v>
      </c>
      <c r="R70" s="167">
        <v>137</v>
      </c>
    </row>
    <row r="71" spans="1:18" ht="17">
      <c r="A71" s="20" t="s">
        <v>319</v>
      </c>
      <c r="B71" s="20" t="s">
        <v>319</v>
      </c>
      <c r="C71" s="20">
        <v>1</v>
      </c>
      <c r="D71" s="20">
        <v>8880</v>
      </c>
      <c r="E71" s="20">
        <v>30</v>
      </c>
      <c r="F71" s="20">
        <v>0</v>
      </c>
      <c r="G71" s="20">
        <v>-28.7</v>
      </c>
      <c r="H71" s="20" t="s">
        <v>653</v>
      </c>
      <c r="I71" s="20" t="s">
        <v>8</v>
      </c>
      <c r="J71" s="20" t="s">
        <v>8</v>
      </c>
      <c r="K71" s="166">
        <f t="shared" si="2"/>
        <v>8880</v>
      </c>
      <c r="L71" s="166">
        <f t="shared" si="3"/>
        <v>30</v>
      </c>
      <c r="M71" s="143" t="s">
        <v>8</v>
      </c>
      <c r="N71" s="20" t="s">
        <v>8</v>
      </c>
      <c r="O71" s="167" t="s">
        <v>654</v>
      </c>
      <c r="P71" s="167">
        <v>10024</v>
      </c>
      <c r="Q71" s="167">
        <v>152</v>
      </c>
      <c r="R71" s="167">
        <v>203</v>
      </c>
    </row>
    <row r="72" spans="1:18" ht="17">
      <c r="A72" s="20" t="s">
        <v>313</v>
      </c>
      <c r="B72" s="20" t="s">
        <v>313</v>
      </c>
      <c r="C72" s="20">
        <v>1</v>
      </c>
      <c r="D72" s="20">
        <v>8570</v>
      </c>
      <c r="E72" s="20">
        <v>40</v>
      </c>
      <c r="F72" s="20">
        <v>0</v>
      </c>
      <c r="G72" s="20">
        <v>-28.4</v>
      </c>
      <c r="H72" s="20" t="s">
        <v>653</v>
      </c>
      <c r="I72" s="20" t="s">
        <v>8</v>
      </c>
      <c r="J72" s="20" t="s">
        <v>8</v>
      </c>
      <c r="K72" s="166">
        <f t="shared" si="2"/>
        <v>8570</v>
      </c>
      <c r="L72" s="166">
        <f t="shared" si="3"/>
        <v>40</v>
      </c>
      <c r="M72" s="143" t="s">
        <v>8</v>
      </c>
      <c r="N72" s="20" t="s">
        <v>8</v>
      </c>
      <c r="O72" s="167" t="s">
        <v>654</v>
      </c>
      <c r="P72" s="167">
        <v>9536</v>
      </c>
      <c r="Q72" s="167">
        <v>121</v>
      </c>
      <c r="R72" s="167">
        <v>59</v>
      </c>
    </row>
    <row r="73" spans="1:18" ht="17">
      <c r="A73" s="20" t="s">
        <v>317</v>
      </c>
      <c r="B73" s="20" t="s">
        <v>317</v>
      </c>
      <c r="C73" s="20">
        <v>1</v>
      </c>
      <c r="D73" s="20">
        <v>8710</v>
      </c>
      <c r="E73" s="20">
        <v>30</v>
      </c>
      <c r="F73" s="20">
        <v>0</v>
      </c>
      <c r="G73" s="20">
        <v>-30.1</v>
      </c>
      <c r="H73" s="20" t="s">
        <v>653</v>
      </c>
      <c r="I73" s="20" t="s">
        <v>8</v>
      </c>
      <c r="J73" s="20" t="s">
        <v>8</v>
      </c>
      <c r="K73" s="166">
        <f t="shared" si="2"/>
        <v>8710</v>
      </c>
      <c r="L73" s="166">
        <f t="shared" si="3"/>
        <v>30</v>
      </c>
      <c r="M73" s="143" t="s">
        <v>8</v>
      </c>
      <c r="N73" s="20" t="s">
        <v>8</v>
      </c>
      <c r="O73" s="167" t="s">
        <v>654</v>
      </c>
      <c r="P73" s="167">
        <v>9641</v>
      </c>
      <c r="Q73" s="167">
        <v>238</v>
      </c>
      <c r="R73" s="167">
        <v>93</v>
      </c>
    </row>
    <row r="74" spans="1:18" ht="17">
      <c r="A74" s="20" t="s">
        <v>488</v>
      </c>
      <c r="B74" s="20" t="s">
        <v>488</v>
      </c>
      <c r="C74" s="20">
        <v>1</v>
      </c>
      <c r="D74" s="20">
        <v>6470</v>
      </c>
      <c r="E74" s="20">
        <v>180</v>
      </c>
      <c r="F74" s="20">
        <v>100</v>
      </c>
      <c r="G74" s="20">
        <v>-23.25</v>
      </c>
      <c r="H74" s="20" t="s">
        <v>652</v>
      </c>
      <c r="I74" s="20">
        <v>28.81056235118831</v>
      </c>
      <c r="J74" s="20">
        <v>8.0330000938744099</v>
      </c>
      <c r="K74" s="166">
        <f t="shared" si="2"/>
        <v>6498.8105623511883</v>
      </c>
      <c r="L74" s="166">
        <f t="shared" si="3"/>
        <v>206.06923373106474</v>
      </c>
      <c r="M74" s="143" t="s">
        <v>8</v>
      </c>
      <c r="N74" s="20" t="s">
        <v>8</v>
      </c>
      <c r="O74" s="167" t="s">
        <v>654</v>
      </c>
      <c r="P74" s="167">
        <v>7378</v>
      </c>
      <c r="Q74" s="167">
        <v>397</v>
      </c>
      <c r="R74" s="167">
        <v>476</v>
      </c>
    </row>
    <row r="75" spans="1:18" ht="17">
      <c r="A75" s="20" t="s">
        <v>497</v>
      </c>
      <c r="B75" s="20" t="s">
        <v>497</v>
      </c>
      <c r="C75" s="20">
        <v>1</v>
      </c>
      <c r="D75" s="20">
        <v>7080</v>
      </c>
      <c r="E75" s="20">
        <v>160</v>
      </c>
      <c r="F75" s="20">
        <v>100</v>
      </c>
      <c r="G75" s="20">
        <v>-23.25</v>
      </c>
      <c r="H75" s="20" t="s">
        <v>652</v>
      </c>
      <c r="I75" s="20">
        <v>28.810562351191038</v>
      </c>
      <c r="J75" s="20">
        <v>8.0330000938744099</v>
      </c>
      <c r="K75" s="166">
        <f t="shared" si="2"/>
        <v>7108.810562351191</v>
      </c>
      <c r="L75" s="166">
        <f t="shared" si="3"/>
        <v>188.85054696904689</v>
      </c>
      <c r="M75" s="143" t="s">
        <v>8</v>
      </c>
      <c r="N75" s="20" t="s">
        <v>8</v>
      </c>
      <c r="O75" s="167" t="s">
        <v>654</v>
      </c>
      <c r="P75" s="167">
        <v>7931</v>
      </c>
      <c r="Q75" s="167">
        <v>394</v>
      </c>
      <c r="R75" s="167">
        <v>325</v>
      </c>
    </row>
    <row r="76" spans="1:18" ht="17">
      <c r="A76" s="20" t="s">
        <v>375</v>
      </c>
      <c r="B76" s="20" t="s">
        <v>375</v>
      </c>
      <c r="C76" s="20">
        <v>1</v>
      </c>
      <c r="D76" s="20">
        <v>1280</v>
      </c>
      <c r="E76" s="20">
        <v>70</v>
      </c>
      <c r="F76" s="20">
        <v>100</v>
      </c>
      <c r="G76" s="20">
        <v>-23.25</v>
      </c>
      <c r="H76" s="20" t="s">
        <v>652</v>
      </c>
      <c r="I76" s="20">
        <v>28.810562351188082</v>
      </c>
      <c r="J76" s="20">
        <v>8.0330000938744099</v>
      </c>
      <c r="K76" s="166">
        <f t="shared" si="2"/>
        <v>1308.8105623511881</v>
      </c>
      <c r="L76" s="166">
        <f t="shared" si="3"/>
        <v>122.32959204750168</v>
      </c>
      <c r="M76" s="143" t="s">
        <v>8</v>
      </c>
      <c r="N76" s="20" t="s">
        <v>8</v>
      </c>
      <c r="O76" s="167" t="s">
        <v>654</v>
      </c>
      <c r="P76" s="167">
        <v>1206</v>
      </c>
      <c r="Q76" s="167">
        <v>205</v>
      </c>
      <c r="R76" s="167">
        <v>269</v>
      </c>
    </row>
    <row r="77" spans="1:18" ht="17">
      <c r="A77" s="20" t="s">
        <v>227</v>
      </c>
      <c r="B77" s="20" t="s">
        <v>227</v>
      </c>
      <c r="C77" s="20">
        <v>1</v>
      </c>
      <c r="D77" s="20" t="s">
        <v>8</v>
      </c>
      <c r="E77" s="20" t="s">
        <v>8</v>
      </c>
      <c r="F77" s="20">
        <v>0</v>
      </c>
      <c r="G77" s="20">
        <v>-1</v>
      </c>
      <c r="H77" s="20" t="s">
        <v>652</v>
      </c>
      <c r="I77" s="20">
        <v>390.68186471624904</v>
      </c>
      <c r="J77" s="20">
        <v>438.87986471624902</v>
      </c>
      <c r="K77" s="166">
        <f>IF(OR(D77="n/a",D77="nd"),0,D77)+IF(OR(I77="n/a",I77="nd"),0,I77)</f>
        <v>390.68186471624904</v>
      </c>
      <c r="L77" s="166">
        <f t="shared" si="3"/>
        <v>438.87986471624902</v>
      </c>
      <c r="M77" s="143">
        <v>110</v>
      </c>
      <c r="N77" s="20">
        <v>33</v>
      </c>
      <c r="O77" s="167" t="s">
        <v>654</v>
      </c>
      <c r="P77" s="167">
        <v>269</v>
      </c>
      <c r="Q77" s="167">
        <v>531</v>
      </c>
      <c r="R77" s="167">
        <v>268</v>
      </c>
    </row>
    <row r="78" spans="1:18" ht="17">
      <c r="A78" s="20" t="s">
        <v>233</v>
      </c>
      <c r="B78" s="20" t="s">
        <v>233</v>
      </c>
      <c r="C78" s="20">
        <v>1</v>
      </c>
      <c r="D78" s="20" t="s">
        <v>8</v>
      </c>
      <c r="E78" s="20" t="s">
        <v>8</v>
      </c>
      <c r="F78" s="20">
        <v>0</v>
      </c>
      <c r="G78" s="20">
        <v>-1</v>
      </c>
      <c r="H78" s="20" t="s">
        <v>652</v>
      </c>
      <c r="I78" s="20">
        <v>390.68186471624813</v>
      </c>
      <c r="J78" s="20">
        <v>438.87986471624811</v>
      </c>
      <c r="K78" s="166">
        <f t="shared" si="2"/>
        <v>390.68186471624813</v>
      </c>
      <c r="L78" s="166">
        <f t="shared" si="3"/>
        <v>438.87986471624811</v>
      </c>
      <c r="M78" s="143">
        <v>110</v>
      </c>
      <c r="N78" s="20">
        <v>33</v>
      </c>
      <c r="O78" s="167" t="s">
        <v>654</v>
      </c>
      <c r="P78" s="167">
        <v>269</v>
      </c>
      <c r="Q78" s="167">
        <v>531</v>
      </c>
      <c r="R78" s="167">
        <v>268</v>
      </c>
    </row>
    <row r="79" spans="1:18" ht="17">
      <c r="A79" s="20" t="s">
        <v>236</v>
      </c>
      <c r="B79" s="20" t="s">
        <v>236</v>
      </c>
      <c r="C79" s="20">
        <v>1</v>
      </c>
      <c r="D79" s="20" t="s">
        <v>8</v>
      </c>
      <c r="E79" s="20" t="s">
        <v>8</v>
      </c>
      <c r="F79" s="20">
        <v>0</v>
      </c>
      <c r="G79" s="20">
        <v>-1</v>
      </c>
      <c r="H79" s="20" t="s">
        <v>652</v>
      </c>
      <c r="I79" s="20">
        <v>390.68186471624904</v>
      </c>
      <c r="J79" s="20">
        <v>438.87986471624902</v>
      </c>
      <c r="K79" s="166">
        <f t="shared" si="2"/>
        <v>390.68186471624904</v>
      </c>
      <c r="L79" s="166">
        <f t="shared" si="3"/>
        <v>438.87986471624902</v>
      </c>
      <c r="M79" s="143">
        <v>110</v>
      </c>
      <c r="N79" s="20">
        <v>33</v>
      </c>
      <c r="O79" s="167" t="s">
        <v>654</v>
      </c>
      <c r="P79" s="167">
        <v>269</v>
      </c>
      <c r="Q79" s="167">
        <v>531</v>
      </c>
      <c r="R79" s="167">
        <v>268</v>
      </c>
    </row>
    <row r="80" spans="1:18" ht="17">
      <c r="A80" s="20" t="s">
        <v>750</v>
      </c>
      <c r="B80" s="20" t="s">
        <v>750</v>
      </c>
      <c r="C80" s="20">
        <v>1</v>
      </c>
      <c r="D80" s="20">
        <v>2820</v>
      </c>
      <c r="E80" s="20">
        <v>95</v>
      </c>
      <c r="F80" s="20">
        <v>0</v>
      </c>
      <c r="G80" s="20">
        <v>-1</v>
      </c>
      <c r="H80" s="20" t="s">
        <v>652</v>
      </c>
      <c r="I80" s="20">
        <v>390.68186471624722</v>
      </c>
      <c r="J80" s="20">
        <v>438.8798647162472</v>
      </c>
      <c r="K80" s="166">
        <f t="shared" si="2"/>
        <v>3210.6818647162472</v>
      </c>
      <c r="L80" s="166">
        <f t="shared" si="3"/>
        <v>449.04402418176261</v>
      </c>
      <c r="M80" s="143">
        <v>110</v>
      </c>
      <c r="N80" s="20">
        <v>33</v>
      </c>
      <c r="O80" s="167" t="s">
        <v>654</v>
      </c>
      <c r="P80" s="167">
        <v>2998</v>
      </c>
      <c r="Q80" s="167">
        <v>1138</v>
      </c>
      <c r="R80" s="167">
        <v>1126</v>
      </c>
    </row>
    <row r="81" spans="1:18" ht="17">
      <c r="A81" s="20" t="s">
        <v>751</v>
      </c>
      <c r="B81" s="20" t="s">
        <v>751</v>
      </c>
      <c r="C81" s="20">
        <v>1</v>
      </c>
      <c r="D81" s="20">
        <v>2380</v>
      </c>
      <c r="E81" s="20">
        <v>90</v>
      </c>
      <c r="F81" s="20">
        <v>0</v>
      </c>
      <c r="G81" s="20">
        <v>-1</v>
      </c>
      <c r="H81" s="20" t="s">
        <v>652</v>
      </c>
      <c r="I81" s="20">
        <v>390.68186471624858</v>
      </c>
      <c r="J81" s="20">
        <v>438.87986471624856</v>
      </c>
      <c r="K81" s="166">
        <f t="shared" si="2"/>
        <v>2770.6818647162486</v>
      </c>
      <c r="L81" s="166">
        <f t="shared" si="3"/>
        <v>448.01287442812696</v>
      </c>
      <c r="M81" s="143">
        <v>110</v>
      </c>
      <c r="N81" s="20">
        <v>33</v>
      </c>
      <c r="O81" s="167" t="s">
        <v>654</v>
      </c>
      <c r="P81" s="167">
        <v>2457</v>
      </c>
      <c r="Q81" s="167">
        <v>1070</v>
      </c>
      <c r="R81" s="167">
        <v>1081</v>
      </c>
    </row>
    <row r="82" spans="1:18" ht="17">
      <c r="A82" s="20" t="s">
        <v>752</v>
      </c>
      <c r="B82" s="20" t="s">
        <v>752</v>
      </c>
      <c r="C82" s="20">
        <v>1</v>
      </c>
      <c r="D82" s="20">
        <v>1700</v>
      </c>
      <c r="E82" s="20">
        <v>80</v>
      </c>
      <c r="F82" s="20">
        <v>0</v>
      </c>
      <c r="G82" s="20">
        <v>-1</v>
      </c>
      <c r="H82" s="20" t="s">
        <v>652</v>
      </c>
      <c r="I82" s="20">
        <v>390.68186471624858</v>
      </c>
      <c r="J82" s="20">
        <v>438.87986471624856</v>
      </c>
      <c r="K82" s="166">
        <f t="shared" si="2"/>
        <v>2090.6818647162486</v>
      </c>
      <c r="L82" s="166">
        <f t="shared" si="3"/>
        <v>446.11157309954723</v>
      </c>
      <c r="M82" s="143">
        <v>110</v>
      </c>
      <c r="N82" s="20">
        <v>33</v>
      </c>
      <c r="O82" s="167" t="s">
        <v>654</v>
      </c>
      <c r="P82" s="167">
        <v>1673</v>
      </c>
      <c r="Q82" s="167">
        <v>1032</v>
      </c>
      <c r="R82" s="167">
        <v>955</v>
      </c>
    </row>
    <row r="83" spans="1:18" ht="17">
      <c r="A83" s="20" t="s">
        <v>754</v>
      </c>
      <c r="B83" s="20" t="s">
        <v>754</v>
      </c>
      <c r="C83" s="20">
        <v>1</v>
      </c>
      <c r="D83" s="20">
        <v>1300</v>
      </c>
      <c r="E83" s="20">
        <v>60</v>
      </c>
      <c r="F83" s="20">
        <v>0</v>
      </c>
      <c r="G83" s="20">
        <v>-1</v>
      </c>
      <c r="H83" s="20" t="s">
        <v>652</v>
      </c>
      <c r="I83" s="20">
        <v>390.68186471624801</v>
      </c>
      <c r="J83" s="20">
        <v>438.87986471624788</v>
      </c>
      <c r="K83" s="166">
        <f>IF(OR(D83="n/a",D83="nd"),0,D83)+IF(OR(I83="n/a",I83="nd"),0,I83)</f>
        <v>1690.6818647162481</v>
      </c>
      <c r="L83" s="166">
        <f t="shared" si="3"/>
        <v>442.96222824677955</v>
      </c>
      <c r="M83" s="143">
        <v>110</v>
      </c>
      <c r="N83" s="20">
        <v>33</v>
      </c>
      <c r="O83" s="167" t="s">
        <v>654</v>
      </c>
      <c r="P83" s="167">
        <v>1236</v>
      </c>
      <c r="Q83" s="167">
        <v>1016</v>
      </c>
      <c r="R83" s="167">
        <v>862</v>
      </c>
    </row>
    <row r="84" spans="1:18" ht="17">
      <c r="A84" s="20" t="s">
        <v>768</v>
      </c>
      <c r="B84" s="20" t="s">
        <v>768</v>
      </c>
      <c r="C84" s="20">
        <v>1</v>
      </c>
      <c r="D84" s="20">
        <v>4480</v>
      </c>
      <c r="E84" s="20">
        <v>140</v>
      </c>
      <c r="F84" s="20">
        <v>100</v>
      </c>
      <c r="G84" s="20" t="s">
        <v>175</v>
      </c>
      <c r="H84" s="20" t="s">
        <v>175</v>
      </c>
      <c r="I84" s="20" t="s">
        <v>8</v>
      </c>
      <c r="J84" s="20" t="s">
        <v>8</v>
      </c>
      <c r="K84" s="166">
        <f>IF(OR(D84="n/a",D84="nd"),0,D84)+IF(OR(I84="n/a",I84="nd"),0,I84)</f>
        <v>4480</v>
      </c>
      <c r="L84" s="166">
        <f>SQRT(SUMSQ(IF(OR(E84="n/a",E84="nd"),0,E84),IF(OR(F84="n/a",F84="nd"),0,F84),IF(OR(J84="n/a",J84="nd"),0,J84)))</f>
        <v>172.04650534085255</v>
      </c>
      <c r="M84" s="143" t="s">
        <v>8</v>
      </c>
      <c r="N84" s="20" t="s">
        <v>8</v>
      </c>
      <c r="O84" s="167" t="s">
        <v>654</v>
      </c>
      <c r="P84" s="167">
        <v>5124</v>
      </c>
      <c r="Q84" s="167">
        <v>459</v>
      </c>
      <c r="R84" s="167">
        <v>477</v>
      </c>
    </row>
    <row r="85" spans="1:18" ht="17">
      <c r="A85" s="20" t="s">
        <v>769</v>
      </c>
      <c r="B85" s="20" t="s">
        <v>769</v>
      </c>
      <c r="C85" s="20">
        <v>1</v>
      </c>
      <c r="D85" s="20">
        <v>4540</v>
      </c>
      <c r="E85" s="20">
        <v>190</v>
      </c>
      <c r="F85" s="20">
        <v>100</v>
      </c>
      <c r="G85" s="20" t="s">
        <v>175</v>
      </c>
      <c r="H85" s="20" t="s">
        <v>175</v>
      </c>
      <c r="I85" s="20" t="s">
        <v>8</v>
      </c>
      <c r="J85" s="20" t="s">
        <v>8</v>
      </c>
      <c r="K85" s="166">
        <f t="shared" ref="K85:K145" si="6">IF(OR(D85="n/a",D85="nd"),0,D85)+IF(OR(I85="n/a",I85="nd"),0,I85)</f>
        <v>4540</v>
      </c>
      <c r="L85" s="166">
        <f t="shared" ref="L85:L145" si="7">SQRT(SUMSQ(IF(OR(E85="n/a",E85="nd"),0,E85),IF(OR(F85="n/a",F85="nd"),0,F85),IF(OR(J85="n/a",J85="nd"),0,J85)))</f>
        <v>214.70910553583889</v>
      </c>
      <c r="M85" s="143" t="s">
        <v>8</v>
      </c>
      <c r="N85" s="20" t="s">
        <v>8</v>
      </c>
      <c r="O85" s="167" t="s">
        <v>654</v>
      </c>
      <c r="P85" s="167">
        <v>5182</v>
      </c>
      <c r="Q85" s="167">
        <v>523</v>
      </c>
      <c r="R85" s="167">
        <v>602</v>
      </c>
    </row>
    <row r="86" spans="1:18" ht="17">
      <c r="A86" s="20" t="s">
        <v>770</v>
      </c>
      <c r="B86" s="20" t="s">
        <v>770</v>
      </c>
      <c r="C86" s="20">
        <v>1</v>
      </c>
      <c r="D86" s="20">
        <v>4740</v>
      </c>
      <c r="E86" s="20">
        <v>30</v>
      </c>
      <c r="F86" s="20">
        <v>0</v>
      </c>
      <c r="G86" s="20" t="s">
        <v>175</v>
      </c>
      <c r="H86" s="20" t="s">
        <v>175</v>
      </c>
      <c r="I86" s="20" t="s">
        <v>8</v>
      </c>
      <c r="J86" s="20" t="s">
        <v>8</v>
      </c>
      <c r="K86" s="166">
        <f t="shared" si="6"/>
        <v>4740</v>
      </c>
      <c r="L86" s="166">
        <f t="shared" si="7"/>
        <v>30</v>
      </c>
      <c r="M86" s="143">
        <v>110</v>
      </c>
      <c r="N86" s="20">
        <v>33</v>
      </c>
      <c r="O86" s="167" t="s">
        <v>654</v>
      </c>
      <c r="P86" s="167">
        <v>4933</v>
      </c>
      <c r="Q86" s="167">
        <v>242</v>
      </c>
      <c r="R86" s="167">
        <v>164</v>
      </c>
    </row>
    <row r="87" spans="1:18" ht="17">
      <c r="A87" s="20" t="s">
        <v>771</v>
      </c>
      <c r="B87" s="20" t="s">
        <v>771</v>
      </c>
      <c r="C87" s="20">
        <v>1</v>
      </c>
      <c r="D87" s="20">
        <v>5440</v>
      </c>
      <c r="E87" s="20">
        <v>100</v>
      </c>
      <c r="F87" s="20">
        <v>100</v>
      </c>
      <c r="G87" s="20" t="s">
        <v>175</v>
      </c>
      <c r="H87" s="20" t="s">
        <v>175</v>
      </c>
      <c r="I87" s="20" t="s">
        <v>8</v>
      </c>
      <c r="J87" s="20" t="s">
        <v>8</v>
      </c>
      <c r="K87" s="166">
        <f t="shared" si="6"/>
        <v>5440</v>
      </c>
      <c r="L87" s="166">
        <f t="shared" si="7"/>
        <v>141.42135623730951</v>
      </c>
      <c r="M87" s="143" t="s">
        <v>8</v>
      </c>
      <c r="N87" s="20" t="s">
        <v>8</v>
      </c>
      <c r="O87" s="167" t="s">
        <v>654</v>
      </c>
      <c r="P87" s="167">
        <v>6216</v>
      </c>
      <c r="Q87" s="167">
        <v>314</v>
      </c>
      <c r="R87" s="167">
        <v>306</v>
      </c>
    </row>
    <row r="88" spans="1:18" ht="17">
      <c r="A88" s="20" t="s">
        <v>772</v>
      </c>
      <c r="B88" s="20" t="s">
        <v>772</v>
      </c>
      <c r="C88" s="20">
        <v>1</v>
      </c>
      <c r="D88" s="20">
        <v>19430</v>
      </c>
      <c r="E88" s="20">
        <v>380</v>
      </c>
      <c r="F88" s="20">
        <v>100</v>
      </c>
      <c r="G88" s="20" t="s">
        <v>175</v>
      </c>
      <c r="H88" s="20" t="s">
        <v>175</v>
      </c>
      <c r="I88" s="20" t="s">
        <v>8</v>
      </c>
      <c r="J88" s="20" t="s">
        <v>8</v>
      </c>
      <c r="K88" s="166">
        <f t="shared" si="6"/>
        <v>19430</v>
      </c>
      <c r="L88" s="166">
        <f t="shared" si="7"/>
        <v>392.93765408777</v>
      </c>
      <c r="M88" s="143" t="s">
        <v>8</v>
      </c>
      <c r="N88" s="20" t="s">
        <v>8</v>
      </c>
      <c r="O88" s="167" t="s">
        <v>654</v>
      </c>
      <c r="P88" s="167">
        <v>23409</v>
      </c>
      <c r="Q88" s="167">
        <v>825</v>
      </c>
      <c r="R88" s="167">
        <v>909</v>
      </c>
    </row>
    <row r="89" spans="1:18" ht="17">
      <c r="A89" s="20" t="s">
        <v>773</v>
      </c>
      <c r="B89" s="20" t="s">
        <v>773</v>
      </c>
      <c r="C89" s="20">
        <v>1</v>
      </c>
      <c r="D89" s="20">
        <v>780</v>
      </c>
      <c r="E89" s="20">
        <v>30</v>
      </c>
      <c r="F89" s="20">
        <v>0</v>
      </c>
      <c r="G89" s="20" t="s">
        <v>175</v>
      </c>
      <c r="H89" s="20" t="s">
        <v>175</v>
      </c>
      <c r="I89" s="20" t="s">
        <v>8</v>
      </c>
      <c r="J89" s="20" t="s">
        <v>8</v>
      </c>
      <c r="K89" s="166">
        <f t="shared" si="6"/>
        <v>780</v>
      </c>
      <c r="L89" s="166">
        <f t="shared" si="7"/>
        <v>30</v>
      </c>
      <c r="M89" s="143">
        <v>110</v>
      </c>
      <c r="N89" s="20">
        <v>33</v>
      </c>
      <c r="O89" s="167" t="s">
        <v>654</v>
      </c>
      <c r="P89" s="167">
        <v>354</v>
      </c>
      <c r="Q89" s="167">
        <v>139</v>
      </c>
      <c r="R89" s="167">
        <v>152</v>
      </c>
    </row>
    <row r="90" spans="1:18" ht="17">
      <c r="A90" s="20" t="s">
        <v>774</v>
      </c>
      <c r="B90" s="20" t="s">
        <v>774</v>
      </c>
      <c r="C90" s="20">
        <v>1</v>
      </c>
      <c r="D90" s="20">
        <v>1880</v>
      </c>
      <c r="E90" s="20">
        <v>30</v>
      </c>
      <c r="F90" s="20">
        <v>0</v>
      </c>
      <c r="G90" s="20" t="s">
        <v>175</v>
      </c>
      <c r="H90" s="20" t="s">
        <v>175</v>
      </c>
      <c r="I90" s="20" t="s">
        <v>8</v>
      </c>
      <c r="J90" s="20" t="s">
        <v>8</v>
      </c>
      <c r="K90" s="166">
        <f t="shared" si="6"/>
        <v>1880</v>
      </c>
      <c r="L90" s="166">
        <f t="shared" si="7"/>
        <v>30</v>
      </c>
      <c r="M90" s="143">
        <v>110</v>
      </c>
      <c r="N90" s="20">
        <v>33</v>
      </c>
      <c r="O90" s="167" t="s">
        <v>654</v>
      </c>
      <c r="P90" s="167">
        <v>1386</v>
      </c>
      <c r="Q90" s="167">
        <v>149</v>
      </c>
      <c r="R90" s="167">
        <v>133</v>
      </c>
    </row>
    <row r="91" spans="1:18" ht="17">
      <c r="A91" s="20" t="s">
        <v>775</v>
      </c>
      <c r="B91" s="20" t="s">
        <v>775</v>
      </c>
      <c r="C91" s="20">
        <v>1</v>
      </c>
      <c r="D91" s="20">
        <v>2940</v>
      </c>
      <c r="E91" s="20">
        <v>30</v>
      </c>
      <c r="F91" s="20">
        <v>0</v>
      </c>
      <c r="G91" s="20" t="s">
        <v>175</v>
      </c>
      <c r="H91" s="20" t="s">
        <v>175</v>
      </c>
      <c r="I91" s="20" t="s">
        <v>8</v>
      </c>
      <c r="J91" s="20" t="s">
        <v>8</v>
      </c>
      <c r="K91" s="166">
        <f t="shared" si="6"/>
        <v>2940</v>
      </c>
      <c r="L91" s="166">
        <f t="shared" si="7"/>
        <v>30</v>
      </c>
      <c r="M91" s="143">
        <v>110</v>
      </c>
      <c r="N91" s="20">
        <v>33</v>
      </c>
      <c r="O91" s="167" t="s">
        <v>654</v>
      </c>
      <c r="P91" s="167">
        <v>2672</v>
      </c>
      <c r="Q91" s="167">
        <v>159</v>
      </c>
      <c r="R91" s="167">
        <v>188</v>
      </c>
    </row>
    <row r="92" spans="1:18" ht="17">
      <c r="A92" s="20" t="s">
        <v>776</v>
      </c>
      <c r="B92" s="20" t="s">
        <v>776</v>
      </c>
      <c r="C92" s="20">
        <v>1</v>
      </c>
      <c r="D92" s="20">
        <v>7490</v>
      </c>
      <c r="E92" s="20">
        <v>50</v>
      </c>
      <c r="F92" s="20">
        <v>0</v>
      </c>
      <c r="G92" s="20" t="s">
        <v>175</v>
      </c>
      <c r="H92" s="20" t="s">
        <v>175</v>
      </c>
      <c r="I92" s="20" t="s">
        <v>8</v>
      </c>
      <c r="J92" s="20" t="s">
        <v>8</v>
      </c>
      <c r="K92" s="166">
        <f t="shared" si="6"/>
        <v>7490</v>
      </c>
      <c r="L92" s="166">
        <f t="shared" si="7"/>
        <v>50</v>
      </c>
      <c r="M92" s="143">
        <v>110</v>
      </c>
      <c r="N92" s="20">
        <v>33</v>
      </c>
      <c r="O92" s="167" t="s">
        <v>654</v>
      </c>
      <c r="P92" s="167">
        <v>7874</v>
      </c>
      <c r="Q92" s="167">
        <v>159</v>
      </c>
      <c r="R92" s="167">
        <v>189</v>
      </c>
    </row>
    <row r="93" spans="1:18" ht="17">
      <c r="A93" s="20" t="s">
        <v>777</v>
      </c>
      <c r="B93" s="20" t="s">
        <v>777</v>
      </c>
      <c r="C93" s="20">
        <v>1</v>
      </c>
      <c r="D93" s="20">
        <v>5820</v>
      </c>
      <c r="E93" s="20">
        <v>70</v>
      </c>
      <c r="F93" s="20">
        <v>0</v>
      </c>
      <c r="G93" s="20" t="s">
        <v>175</v>
      </c>
      <c r="H93" s="20" t="s">
        <v>175</v>
      </c>
      <c r="I93" s="20" t="s">
        <v>8</v>
      </c>
      <c r="J93" s="20" t="s">
        <v>8</v>
      </c>
      <c r="K93" s="166">
        <f t="shared" si="6"/>
        <v>5820</v>
      </c>
      <c r="L93" s="166">
        <f t="shared" si="7"/>
        <v>70</v>
      </c>
      <c r="M93" s="143">
        <v>110</v>
      </c>
      <c r="N93" s="20">
        <v>33</v>
      </c>
      <c r="O93" s="167" t="s">
        <v>654</v>
      </c>
      <c r="P93" s="167">
        <v>6149</v>
      </c>
      <c r="Q93" s="167">
        <v>200</v>
      </c>
      <c r="R93" s="167">
        <v>225</v>
      </c>
    </row>
    <row r="94" spans="1:18" ht="17">
      <c r="A94" s="20" t="s">
        <v>778</v>
      </c>
      <c r="B94" s="20" t="s">
        <v>778</v>
      </c>
      <c r="C94" s="20">
        <v>1</v>
      </c>
      <c r="D94" s="20">
        <v>9740</v>
      </c>
      <c r="E94" s="20">
        <v>100</v>
      </c>
      <c r="F94" s="20">
        <v>0</v>
      </c>
      <c r="G94" s="20" t="s">
        <v>175</v>
      </c>
      <c r="H94" s="20" t="s">
        <v>175</v>
      </c>
      <c r="I94" s="20" t="s">
        <v>8</v>
      </c>
      <c r="J94" s="20" t="s">
        <v>8</v>
      </c>
      <c r="K94" s="166">
        <f t="shared" si="6"/>
        <v>9740</v>
      </c>
      <c r="L94" s="166">
        <f t="shared" si="7"/>
        <v>100</v>
      </c>
      <c r="M94" s="143">
        <v>110</v>
      </c>
      <c r="N94" s="20">
        <v>33</v>
      </c>
      <c r="O94" s="167" t="s">
        <v>654</v>
      </c>
      <c r="P94" s="167">
        <v>10663</v>
      </c>
      <c r="Q94" s="167">
        <v>388</v>
      </c>
      <c r="R94" s="167">
        <v>336</v>
      </c>
    </row>
    <row r="95" spans="1:18" ht="17">
      <c r="A95" s="20" t="s">
        <v>779</v>
      </c>
      <c r="B95" s="20" t="s">
        <v>779</v>
      </c>
      <c r="C95" s="20">
        <v>1</v>
      </c>
      <c r="D95" s="20">
        <v>2150</v>
      </c>
      <c r="E95" s="20">
        <v>60</v>
      </c>
      <c r="F95" s="20">
        <v>0</v>
      </c>
      <c r="G95" s="20" t="s">
        <v>175</v>
      </c>
      <c r="H95" s="20" t="s">
        <v>175</v>
      </c>
      <c r="I95" s="20" t="s">
        <v>8</v>
      </c>
      <c r="J95" s="20" t="s">
        <v>8</v>
      </c>
      <c r="K95" s="166">
        <f t="shared" si="6"/>
        <v>2150</v>
      </c>
      <c r="L95" s="166">
        <f t="shared" si="7"/>
        <v>60</v>
      </c>
      <c r="M95" s="143">
        <v>110</v>
      </c>
      <c r="N95" s="20">
        <v>33</v>
      </c>
      <c r="O95" s="167" t="s">
        <v>654</v>
      </c>
      <c r="P95" s="167">
        <v>1689</v>
      </c>
      <c r="Q95" s="167">
        <v>220</v>
      </c>
      <c r="R95" s="167">
        <v>203</v>
      </c>
    </row>
    <row r="96" spans="1:18" ht="17">
      <c r="A96" s="20" t="s">
        <v>780</v>
      </c>
      <c r="B96" s="20" t="s">
        <v>780</v>
      </c>
      <c r="C96" s="20">
        <v>1</v>
      </c>
      <c r="D96" s="20">
        <v>4750</v>
      </c>
      <c r="E96" s="20">
        <v>70</v>
      </c>
      <c r="F96" s="20">
        <v>0</v>
      </c>
      <c r="G96" s="20" t="s">
        <v>175</v>
      </c>
      <c r="H96" s="20" t="s">
        <v>175</v>
      </c>
      <c r="I96" s="20" t="s">
        <v>8</v>
      </c>
      <c r="J96" s="20" t="s">
        <v>8</v>
      </c>
      <c r="K96" s="166">
        <f t="shared" si="6"/>
        <v>4750</v>
      </c>
      <c r="L96" s="166">
        <f t="shared" si="7"/>
        <v>70</v>
      </c>
      <c r="M96" s="143">
        <v>110</v>
      </c>
      <c r="N96" s="20">
        <v>33</v>
      </c>
      <c r="O96" s="167" t="s">
        <v>654</v>
      </c>
      <c r="P96" s="167">
        <v>4952</v>
      </c>
      <c r="Q96" s="167">
        <v>285</v>
      </c>
      <c r="R96" s="167">
        <v>235</v>
      </c>
    </row>
    <row r="97" spans="1:18" ht="17">
      <c r="A97" s="20" t="s">
        <v>781</v>
      </c>
      <c r="B97" s="20" t="s">
        <v>781</v>
      </c>
      <c r="C97" s="20">
        <v>1</v>
      </c>
      <c r="D97" s="20">
        <v>2320</v>
      </c>
      <c r="E97" s="20">
        <v>45</v>
      </c>
      <c r="F97" s="20">
        <v>0</v>
      </c>
      <c r="G97" s="20" t="s">
        <v>175</v>
      </c>
      <c r="H97" s="20" t="s">
        <v>175</v>
      </c>
      <c r="I97" s="20" t="s">
        <v>8</v>
      </c>
      <c r="J97" s="20" t="s">
        <v>8</v>
      </c>
      <c r="K97" s="166">
        <f t="shared" si="6"/>
        <v>2320</v>
      </c>
      <c r="L97" s="166">
        <f t="shared" si="7"/>
        <v>45</v>
      </c>
      <c r="M97" s="143">
        <v>110</v>
      </c>
      <c r="N97" s="20">
        <v>33</v>
      </c>
      <c r="O97" s="167" t="s">
        <v>654</v>
      </c>
      <c r="P97" s="167">
        <v>1894</v>
      </c>
      <c r="Q97" s="167">
        <v>197</v>
      </c>
      <c r="R97" s="167">
        <v>188</v>
      </c>
    </row>
    <row r="98" spans="1:18" ht="17">
      <c r="A98" s="20" t="s">
        <v>782</v>
      </c>
      <c r="B98" s="20" t="s">
        <v>782</v>
      </c>
      <c r="C98" s="20">
        <v>1</v>
      </c>
      <c r="D98" s="20">
        <v>4040</v>
      </c>
      <c r="E98" s="20">
        <v>70</v>
      </c>
      <c r="F98" s="20">
        <v>0</v>
      </c>
      <c r="G98" s="20" t="s">
        <v>175</v>
      </c>
      <c r="H98" s="20" t="s">
        <v>175</v>
      </c>
      <c r="I98" s="20" t="s">
        <v>8</v>
      </c>
      <c r="J98" s="20" t="s">
        <v>8</v>
      </c>
      <c r="K98" s="166">
        <f t="shared" si="6"/>
        <v>4040</v>
      </c>
      <c r="L98" s="166">
        <f t="shared" si="7"/>
        <v>70</v>
      </c>
      <c r="M98" s="143">
        <v>110</v>
      </c>
      <c r="N98" s="20">
        <v>33</v>
      </c>
      <c r="O98" s="167" t="s">
        <v>654</v>
      </c>
      <c r="P98" s="167">
        <v>4028</v>
      </c>
      <c r="Q98" s="167">
        <v>264</v>
      </c>
      <c r="R98" s="167">
        <v>257</v>
      </c>
    </row>
    <row r="99" spans="1:18" ht="17">
      <c r="A99" s="20" t="s">
        <v>783</v>
      </c>
      <c r="B99" s="20" t="s">
        <v>783</v>
      </c>
      <c r="C99" s="20">
        <v>1</v>
      </c>
      <c r="D99" s="20">
        <v>3060</v>
      </c>
      <c r="E99" s="20">
        <v>70</v>
      </c>
      <c r="F99" s="20">
        <v>0</v>
      </c>
      <c r="G99" s="20" t="s">
        <v>175</v>
      </c>
      <c r="H99" s="20" t="s">
        <v>175</v>
      </c>
      <c r="I99" s="20" t="s">
        <v>8</v>
      </c>
      <c r="J99" s="20" t="s">
        <v>8</v>
      </c>
      <c r="K99" s="166">
        <f t="shared" si="6"/>
        <v>3060</v>
      </c>
      <c r="L99" s="166">
        <f t="shared" si="7"/>
        <v>70</v>
      </c>
      <c r="M99" s="143">
        <v>110</v>
      </c>
      <c r="N99" s="20">
        <v>33</v>
      </c>
      <c r="O99" s="167" t="s">
        <v>654</v>
      </c>
      <c r="P99" s="167">
        <v>2814</v>
      </c>
      <c r="Q99" s="167">
        <v>247</v>
      </c>
      <c r="R99" s="167">
        <v>223</v>
      </c>
    </row>
    <row r="100" spans="1:18" ht="17">
      <c r="A100" s="20" t="s">
        <v>784</v>
      </c>
      <c r="B100" s="20" t="s">
        <v>784</v>
      </c>
      <c r="C100" s="20">
        <v>1</v>
      </c>
      <c r="D100" s="20">
        <v>830</v>
      </c>
      <c r="E100" s="20">
        <v>60</v>
      </c>
      <c r="F100" s="20">
        <v>0</v>
      </c>
      <c r="G100" s="20" t="s">
        <v>175</v>
      </c>
      <c r="H100" s="20" t="s">
        <v>175</v>
      </c>
      <c r="I100" s="20" t="s">
        <v>8</v>
      </c>
      <c r="J100" s="20" t="s">
        <v>8</v>
      </c>
      <c r="K100" s="166">
        <f t="shared" si="6"/>
        <v>830</v>
      </c>
      <c r="L100" s="166">
        <f t="shared" si="7"/>
        <v>60</v>
      </c>
      <c r="M100" s="143">
        <v>110</v>
      </c>
      <c r="N100" s="20">
        <v>33</v>
      </c>
      <c r="O100" s="167" t="s">
        <v>654</v>
      </c>
      <c r="P100" s="167">
        <v>391</v>
      </c>
      <c r="Q100" s="167">
        <v>156</v>
      </c>
      <c r="R100" s="167">
        <v>179</v>
      </c>
    </row>
    <row r="101" spans="1:18" ht="17">
      <c r="A101" s="20" t="s">
        <v>785</v>
      </c>
      <c r="B101" s="20" t="s">
        <v>785</v>
      </c>
      <c r="C101" s="20">
        <v>1</v>
      </c>
      <c r="D101" s="20">
        <v>7710</v>
      </c>
      <c r="E101" s="20">
        <v>70</v>
      </c>
      <c r="F101" s="20">
        <v>0</v>
      </c>
      <c r="G101" s="20" t="s">
        <v>175</v>
      </c>
      <c r="H101" s="20" t="s">
        <v>175</v>
      </c>
      <c r="I101" s="20" t="s">
        <v>8</v>
      </c>
      <c r="J101" s="20" t="s">
        <v>8</v>
      </c>
      <c r="K101" s="166">
        <f t="shared" si="6"/>
        <v>7710</v>
      </c>
      <c r="L101" s="166">
        <f t="shared" si="7"/>
        <v>70</v>
      </c>
      <c r="M101" s="143">
        <v>110</v>
      </c>
      <c r="N101" s="20">
        <v>33</v>
      </c>
      <c r="O101" s="167" t="s">
        <v>654</v>
      </c>
      <c r="P101" s="167">
        <v>8103</v>
      </c>
      <c r="Q101" s="167">
        <v>217</v>
      </c>
      <c r="R101" s="167">
        <v>186</v>
      </c>
    </row>
    <row r="102" spans="1:18" ht="17">
      <c r="A102" s="20" t="s">
        <v>786</v>
      </c>
      <c r="B102" s="20" t="s">
        <v>786</v>
      </c>
      <c r="C102" s="20">
        <v>1</v>
      </c>
      <c r="D102" s="20">
        <v>2840</v>
      </c>
      <c r="E102" s="20">
        <v>55</v>
      </c>
      <c r="F102" s="20">
        <v>100</v>
      </c>
      <c r="G102" s="20" t="s">
        <v>175</v>
      </c>
      <c r="H102" s="20" t="s">
        <v>175</v>
      </c>
      <c r="I102" s="20" t="s">
        <v>8</v>
      </c>
      <c r="J102" s="20" t="s">
        <v>8</v>
      </c>
      <c r="K102" s="166">
        <f t="shared" si="6"/>
        <v>2840</v>
      </c>
      <c r="L102" s="166">
        <f t="shared" si="7"/>
        <v>114.12712210513327</v>
      </c>
      <c r="M102" s="143" t="s">
        <v>8</v>
      </c>
      <c r="N102" s="20" t="s">
        <v>8</v>
      </c>
      <c r="O102" s="167" t="s">
        <v>654</v>
      </c>
      <c r="P102" s="167">
        <v>2979</v>
      </c>
      <c r="Q102" s="167">
        <v>343</v>
      </c>
      <c r="R102" s="167">
        <v>227</v>
      </c>
    </row>
    <row r="103" spans="1:18" ht="17">
      <c r="A103" s="20" t="s">
        <v>787</v>
      </c>
      <c r="B103" s="20" t="s">
        <v>787</v>
      </c>
      <c r="C103" s="20">
        <v>1</v>
      </c>
      <c r="D103" s="20">
        <v>3385</v>
      </c>
      <c r="E103" s="20">
        <v>35</v>
      </c>
      <c r="F103" s="20">
        <v>100</v>
      </c>
      <c r="G103" s="20" t="s">
        <v>175</v>
      </c>
      <c r="H103" s="20" t="s">
        <v>175</v>
      </c>
      <c r="I103" s="20" t="s">
        <v>8</v>
      </c>
      <c r="J103" s="20" t="s">
        <v>8</v>
      </c>
      <c r="K103" s="166">
        <f t="shared" si="6"/>
        <v>3385</v>
      </c>
      <c r="L103" s="166">
        <f t="shared" si="7"/>
        <v>105.94810050208545</v>
      </c>
      <c r="M103" s="143" t="s">
        <v>8</v>
      </c>
      <c r="N103" s="20" t="s">
        <v>8</v>
      </c>
      <c r="O103" s="167" t="s">
        <v>654</v>
      </c>
      <c r="P103" s="167">
        <v>3632</v>
      </c>
      <c r="Q103" s="167">
        <v>256</v>
      </c>
      <c r="R103" s="167">
        <v>238</v>
      </c>
    </row>
    <row r="104" spans="1:18" ht="17">
      <c r="A104" s="20" t="s">
        <v>788</v>
      </c>
      <c r="B104" s="20" t="s">
        <v>788</v>
      </c>
      <c r="C104" s="20">
        <v>1</v>
      </c>
      <c r="D104" s="20">
        <v>3920</v>
      </c>
      <c r="E104" s="20">
        <v>60</v>
      </c>
      <c r="F104" s="20">
        <v>100</v>
      </c>
      <c r="G104" s="20" t="s">
        <v>175</v>
      </c>
      <c r="H104" s="20" t="s">
        <v>175</v>
      </c>
      <c r="I104" s="20" t="s">
        <v>8</v>
      </c>
      <c r="J104" s="20" t="s">
        <v>8</v>
      </c>
      <c r="K104" s="166">
        <f t="shared" si="6"/>
        <v>3920</v>
      </c>
      <c r="L104" s="166">
        <f t="shared" si="7"/>
        <v>116.61903789690601</v>
      </c>
      <c r="M104" s="143" t="s">
        <v>8</v>
      </c>
      <c r="N104" s="20" t="s">
        <v>8</v>
      </c>
      <c r="O104" s="167" t="s">
        <v>654</v>
      </c>
      <c r="P104" s="167">
        <v>4350</v>
      </c>
      <c r="Q104" s="167">
        <v>455</v>
      </c>
      <c r="R104" s="167">
        <v>362</v>
      </c>
    </row>
    <row r="105" spans="1:18" ht="17">
      <c r="A105" s="20" t="s">
        <v>828</v>
      </c>
      <c r="B105" s="20" t="s">
        <v>828</v>
      </c>
      <c r="C105" s="20">
        <v>1</v>
      </c>
      <c r="D105" s="20">
        <v>4690</v>
      </c>
      <c r="E105" s="20">
        <v>40</v>
      </c>
      <c r="F105" s="20">
        <v>100</v>
      </c>
      <c r="G105" s="20" t="s">
        <v>175</v>
      </c>
      <c r="H105" s="20" t="s">
        <v>175</v>
      </c>
      <c r="I105" s="20" t="s">
        <v>8</v>
      </c>
      <c r="J105" s="20" t="s">
        <v>8</v>
      </c>
      <c r="K105" s="166">
        <f t="shared" si="6"/>
        <v>4690</v>
      </c>
      <c r="L105" s="166">
        <f t="shared" si="7"/>
        <v>107.70329614269008</v>
      </c>
      <c r="M105" s="143" t="s">
        <v>8</v>
      </c>
      <c r="N105" s="20" t="s">
        <v>8</v>
      </c>
      <c r="O105" s="167" t="s">
        <v>654</v>
      </c>
      <c r="P105" s="167">
        <v>5408</v>
      </c>
      <c r="Q105" s="167">
        <v>193</v>
      </c>
      <c r="R105" s="167">
        <v>359</v>
      </c>
    </row>
    <row r="106" spans="1:18" ht="17">
      <c r="A106" s="20" t="s">
        <v>789</v>
      </c>
      <c r="B106" s="20" t="s">
        <v>789</v>
      </c>
      <c r="C106" s="20">
        <v>1</v>
      </c>
      <c r="D106" s="20">
        <v>5420</v>
      </c>
      <c r="E106" s="20">
        <v>65</v>
      </c>
      <c r="F106" s="20">
        <v>100</v>
      </c>
      <c r="G106" s="20" t="s">
        <v>175</v>
      </c>
      <c r="H106" s="20" t="s">
        <v>175</v>
      </c>
      <c r="I106" s="20" t="s">
        <v>8</v>
      </c>
      <c r="J106" s="20" t="s">
        <v>8</v>
      </c>
      <c r="K106" s="166">
        <f t="shared" si="6"/>
        <v>5420</v>
      </c>
      <c r="L106" s="166">
        <f t="shared" si="7"/>
        <v>119.26860441876563</v>
      </c>
      <c r="M106" s="143" t="s">
        <v>8</v>
      </c>
      <c r="N106" s="20" t="s">
        <v>8</v>
      </c>
      <c r="O106" s="167" t="s">
        <v>654</v>
      </c>
      <c r="P106" s="167">
        <v>6197</v>
      </c>
      <c r="Q106" s="167">
        <v>241</v>
      </c>
      <c r="R106" s="167">
        <v>267</v>
      </c>
    </row>
    <row r="107" spans="1:18" ht="17">
      <c r="A107" s="20" t="s">
        <v>790</v>
      </c>
      <c r="B107" s="20" t="s">
        <v>790</v>
      </c>
      <c r="C107" s="20">
        <v>1</v>
      </c>
      <c r="D107" s="20">
        <v>6460</v>
      </c>
      <c r="E107" s="20">
        <v>90</v>
      </c>
      <c r="F107" s="20">
        <v>0</v>
      </c>
      <c r="G107" s="20" t="s">
        <v>175</v>
      </c>
      <c r="H107" s="20" t="s">
        <v>175</v>
      </c>
      <c r="I107" s="20" t="s">
        <v>8</v>
      </c>
      <c r="J107" s="20" t="s">
        <v>8</v>
      </c>
      <c r="K107" s="166">
        <f t="shared" si="6"/>
        <v>6460</v>
      </c>
      <c r="L107" s="166">
        <f t="shared" si="7"/>
        <v>90</v>
      </c>
      <c r="M107" s="143">
        <v>110</v>
      </c>
      <c r="N107" s="20">
        <v>33</v>
      </c>
      <c r="O107" s="167" t="s">
        <v>654</v>
      </c>
      <c r="P107" s="167">
        <v>6852</v>
      </c>
      <c r="Q107" s="167">
        <v>288</v>
      </c>
      <c r="R107" s="167">
        <v>248</v>
      </c>
    </row>
    <row r="108" spans="1:18" ht="17">
      <c r="A108" s="20" t="s">
        <v>791</v>
      </c>
      <c r="B108" s="20" t="s">
        <v>791</v>
      </c>
      <c r="C108" s="20">
        <v>1</v>
      </c>
      <c r="D108" s="20">
        <v>7040</v>
      </c>
      <c r="E108" s="20">
        <v>80</v>
      </c>
      <c r="F108" s="20">
        <v>100</v>
      </c>
      <c r="G108" s="20" t="s">
        <v>175</v>
      </c>
      <c r="H108" s="20" t="s">
        <v>175</v>
      </c>
      <c r="I108" s="20" t="s">
        <v>8</v>
      </c>
      <c r="J108" s="20" t="s">
        <v>8</v>
      </c>
      <c r="K108" s="166">
        <f t="shared" si="6"/>
        <v>7040</v>
      </c>
      <c r="L108" s="166">
        <f t="shared" si="7"/>
        <v>128.06248474865697</v>
      </c>
      <c r="M108" s="143" t="s">
        <v>8</v>
      </c>
      <c r="N108" s="20" t="s">
        <v>8</v>
      </c>
      <c r="O108" s="167" t="s">
        <v>654</v>
      </c>
      <c r="P108" s="167">
        <v>7859</v>
      </c>
      <c r="Q108" s="167">
        <v>305</v>
      </c>
      <c r="R108" s="167">
        <v>243</v>
      </c>
    </row>
    <row r="109" spans="1:18" ht="17">
      <c r="A109" s="20" t="s">
        <v>792</v>
      </c>
      <c r="B109" s="20" t="s">
        <v>792</v>
      </c>
      <c r="C109" s="20">
        <v>1</v>
      </c>
      <c r="D109" s="20">
        <v>8995</v>
      </c>
      <c r="E109" s="20">
        <v>65</v>
      </c>
      <c r="F109" s="20">
        <v>100</v>
      </c>
      <c r="G109" s="20" t="s">
        <v>175</v>
      </c>
      <c r="H109" s="20" t="s">
        <v>175</v>
      </c>
      <c r="I109" s="20" t="s">
        <v>8</v>
      </c>
      <c r="J109" s="20" t="s">
        <v>8</v>
      </c>
      <c r="K109" s="166">
        <f t="shared" si="6"/>
        <v>8995</v>
      </c>
      <c r="L109" s="166">
        <f t="shared" si="7"/>
        <v>119.26860441876563</v>
      </c>
      <c r="M109" s="143" t="s">
        <v>8</v>
      </c>
      <c r="N109" s="20" t="s">
        <v>8</v>
      </c>
      <c r="O109" s="167" t="s">
        <v>654</v>
      </c>
      <c r="P109" s="167">
        <v>10085</v>
      </c>
      <c r="Q109" s="167">
        <v>398</v>
      </c>
      <c r="R109" s="167">
        <v>388</v>
      </c>
    </row>
    <row r="110" spans="1:18" ht="17">
      <c r="A110" s="20" t="s">
        <v>793</v>
      </c>
      <c r="B110" s="20" t="s">
        <v>793</v>
      </c>
      <c r="C110" s="20">
        <v>1</v>
      </c>
      <c r="D110" s="20">
        <v>11440</v>
      </c>
      <c r="E110" s="20">
        <v>165</v>
      </c>
      <c r="F110" s="20">
        <v>100</v>
      </c>
      <c r="G110" s="20" t="s">
        <v>175</v>
      </c>
      <c r="H110" s="20" t="s">
        <v>175</v>
      </c>
      <c r="I110" s="20" t="s">
        <v>8</v>
      </c>
      <c r="J110" s="20" t="s">
        <v>8</v>
      </c>
      <c r="K110" s="166">
        <f t="shared" si="6"/>
        <v>11440</v>
      </c>
      <c r="L110" s="166">
        <f t="shared" si="7"/>
        <v>192.93781381574738</v>
      </c>
      <c r="M110" s="143" t="s">
        <v>8</v>
      </c>
      <c r="N110" s="20" t="s">
        <v>8</v>
      </c>
      <c r="O110" s="167" t="s">
        <v>654</v>
      </c>
      <c r="P110" s="167">
        <v>13323</v>
      </c>
      <c r="Q110" s="167">
        <v>425</v>
      </c>
      <c r="R110" s="167">
        <v>393</v>
      </c>
    </row>
    <row r="111" spans="1:18" ht="17">
      <c r="A111" s="20" t="s">
        <v>794</v>
      </c>
      <c r="B111" s="20" t="s">
        <v>794</v>
      </c>
      <c r="C111" s="20">
        <v>1</v>
      </c>
      <c r="D111" s="20">
        <v>9140</v>
      </c>
      <c r="E111" s="20">
        <v>100</v>
      </c>
      <c r="F111" s="20">
        <v>0</v>
      </c>
      <c r="G111" s="20" t="s">
        <v>175</v>
      </c>
      <c r="H111" s="20" t="s">
        <v>175</v>
      </c>
      <c r="I111" s="20" t="s">
        <v>8</v>
      </c>
      <c r="J111" s="20" t="s">
        <v>8</v>
      </c>
      <c r="K111" s="166">
        <f t="shared" si="6"/>
        <v>9140</v>
      </c>
      <c r="L111" s="166">
        <f t="shared" si="7"/>
        <v>100</v>
      </c>
      <c r="M111" s="143">
        <v>110</v>
      </c>
      <c r="N111" s="20">
        <v>33</v>
      </c>
      <c r="O111" s="167" t="s">
        <v>654</v>
      </c>
      <c r="P111" s="167">
        <v>9844</v>
      </c>
      <c r="Q111" s="167">
        <v>308</v>
      </c>
      <c r="R111" s="167">
        <v>308</v>
      </c>
    </row>
    <row r="112" spans="1:18" ht="17">
      <c r="A112" s="20" t="s">
        <v>795</v>
      </c>
      <c r="B112" s="20" t="s">
        <v>795</v>
      </c>
      <c r="C112" s="20">
        <v>1</v>
      </c>
      <c r="D112" s="20">
        <v>9120</v>
      </c>
      <c r="E112" s="20">
        <v>90</v>
      </c>
      <c r="F112" s="20">
        <v>0</v>
      </c>
      <c r="G112" s="20" t="s">
        <v>175</v>
      </c>
      <c r="H112" s="20" t="s">
        <v>175</v>
      </c>
      <c r="I112" s="20" t="s">
        <v>8</v>
      </c>
      <c r="J112" s="20" t="s">
        <v>8</v>
      </c>
      <c r="K112" s="166">
        <f t="shared" si="6"/>
        <v>9120</v>
      </c>
      <c r="L112" s="166">
        <f t="shared" si="7"/>
        <v>90</v>
      </c>
      <c r="M112" s="143">
        <v>110</v>
      </c>
      <c r="N112" s="20">
        <v>33</v>
      </c>
      <c r="O112" s="167" t="s">
        <v>654</v>
      </c>
      <c r="P112" s="167">
        <v>9817</v>
      </c>
      <c r="Q112" s="167">
        <v>306</v>
      </c>
      <c r="R112" s="167">
        <v>285</v>
      </c>
    </row>
    <row r="113" spans="1:18" ht="17">
      <c r="A113" s="20" t="s">
        <v>796</v>
      </c>
      <c r="B113" s="20" t="s">
        <v>796</v>
      </c>
      <c r="C113" s="20">
        <v>1</v>
      </c>
      <c r="D113" s="20">
        <v>9940</v>
      </c>
      <c r="E113" s="20">
        <v>100</v>
      </c>
      <c r="F113" s="20">
        <v>0</v>
      </c>
      <c r="G113" s="20" t="s">
        <v>175</v>
      </c>
      <c r="H113" s="20" t="s">
        <v>175</v>
      </c>
      <c r="I113" s="20" t="s">
        <v>8</v>
      </c>
      <c r="J113" s="20" t="s">
        <v>8</v>
      </c>
      <c r="K113" s="166">
        <f t="shared" si="6"/>
        <v>9940</v>
      </c>
      <c r="L113" s="166">
        <f t="shared" si="7"/>
        <v>100</v>
      </c>
      <c r="M113" s="143">
        <v>110</v>
      </c>
      <c r="N113" s="20">
        <v>33</v>
      </c>
      <c r="O113" s="167" t="s">
        <v>654</v>
      </c>
      <c r="P113" s="167">
        <v>10937</v>
      </c>
      <c r="Q113" s="167">
        <v>286</v>
      </c>
      <c r="R113" s="167">
        <v>335</v>
      </c>
    </row>
    <row r="114" spans="1:18" ht="17">
      <c r="A114" s="20" t="s">
        <v>797</v>
      </c>
      <c r="B114" s="20" t="s">
        <v>797</v>
      </c>
      <c r="C114" s="20">
        <v>1</v>
      </c>
      <c r="D114" s="20">
        <v>10320</v>
      </c>
      <c r="E114" s="20">
        <v>100</v>
      </c>
      <c r="F114" s="20">
        <v>0</v>
      </c>
      <c r="G114" s="20" t="s">
        <v>175</v>
      </c>
      <c r="H114" s="20" t="s">
        <v>175</v>
      </c>
      <c r="I114" s="20" t="s">
        <v>8</v>
      </c>
      <c r="J114" s="20" t="s">
        <v>8</v>
      </c>
      <c r="K114" s="166">
        <f t="shared" si="6"/>
        <v>10320</v>
      </c>
      <c r="L114" s="166">
        <f t="shared" si="7"/>
        <v>100</v>
      </c>
      <c r="M114" s="143">
        <v>110</v>
      </c>
      <c r="N114" s="20">
        <v>33</v>
      </c>
      <c r="O114" s="167" t="s">
        <v>654</v>
      </c>
      <c r="P114" s="167">
        <v>11467</v>
      </c>
      <c r="Q114" s="167">
        <v>351</v>
      </c>
      <c r="R114" s="167">
        <v>302</v>
      </c>
    </row>
    <row r="115" spans="1:18" ht="17">
      <c r="A115" s="20" t="s">
        <v>798</v>
      </c>
      <c r="B115" s="20" t="s">
        <v>798</v>
      </c>
      <c r="C115" s="20">
        <v>1</v>
      </c>
      <c r="D115" s="20">
        <v>10170</v>
      </c>
      <c r="E115" s="20">
        <v>110</v>
      </c>
      <c r="F115" s="20">
        <v>0</v>
      </c>
      <c r="G115" s="20" t="s">
        <v>175</v>
      </c>
      <c r="H115" s="20" t="s">
        <v>175</v>
      </c>
      <c r="I115" s="20" t="s">
        <v>8</v>
      </c>
      <c r="J115" s="20" t="s">
        <v>8</v>
      </c>
      <c r="K115" s="166">
        <f t="shared" si="6"/>
        <v>10170</v>
      </c>
      <c r="L115" s="166">
        <f t="shared" si="7"/>
        <v>110</v>
      </c>
      <c r="M115" s="143">
        <v>110</v>
      </c>
      <c r="N115" s="20">
        <v>33</v>
      </c>
      <c r="O115" s="167" t="s">
        <v>654</v>
      </c>
      <c r="P115" s="167">
        <v>11267</v>
      </c>
      <c r="Q115" s="167">
        <v>404</v>
      </c>
      <c r="R115" s="167">
        <v>375</v>
      </c>
    </row>
    <row r="116" spans="1:18" ht="17">
      <c r="A116" s="20" t="s">
        <v>799</v>
      </c>
      <c r="B116" s="20" t="s">
        <v>799</v>
      </c>
      <c r="C116" s="20">
        <v>1</v>
      </c>
      <c r="D116" s="20">
        <v>8990</v>
      </c>
      <c r="E116" s="20">
        <v>100</v>
      </c>
      <c r="F116" s="20">
        <v>0</v>
      </c>
      <c r="G116" s="20" t="s">
        <v>175</v>
      </c>
      <c r="H116" s="20" t="s">
        <v>175</v>
      </c>
      <c r="I116" s="20" t="s">
        <v>8</v>
      </c>
      <c r="J116" s="20" t="s">
        <v>8</v>
      </c>
      <c r="K116" s="166">
        <f t="shared" si="6"/>
        <v>8990</v>
      </c>
      <c r="L116" s="166">
        <f t="shared" si="7"/>
        <v>100</v>
      </c>
      <c r="M116" s="143">
        <v>110</v>
      </c>
      <c r="N116" s="20">
        <v>33</v>
      </c>
      <c r="O116" s="167" t="s">
        <v>654</v>
      </c>
      <c r="P116" s="167">
        <v>9651</v>
      </c>
      <c r="Q116" s="167">
        <v>362</v>
      </c>
      <c r="R116" s="167">
        <v>269</v>
      </c>
    </row>
    <row r="117" spans="1:18" ht="17">
      <c r="A117" s="20" t="s">
        <v>801</v>
      </c>
      <c r="B117" s="20" t="s">
        <v>801</v>
      </c>
      <c r="C117" s="20">
        <v>1</v>
      </c>
      <c r="D117" s="20">
        <v>11020</v>
      </c>
      <c r="E117" s="20">
        <v>115</v>
      </c>
      <c r="F117" s="20">
        <v>100</v>
      </c>
      <c r="G117" s="20" t="s">
        <v>175</v>
      </c>
      <c r="H117" s="20" t="s">
        <v>175</v>
      </c>
      <c r="I117" s="20" t="s">
        <v>8</v>
      </c>
      <c r="J117" s="20" t="s">
        <v>8</v>
      </c>
      <c r="K117" s="166">
        <f t="shared" si="6"/>
        <v>11020</v>
      </c>
      <c r="L117" s="166">
        <f t="shared" si="7"/>
        <v>152.3975065412817</v>
      </c>
      <c r="M117" s="143" t="s">
        <v>8</v>
      </c>
      <c r="N117" s="20" t="s">
        <v>8</v>
      </c>
      <c r="O117" s="167" t="s">
        <v>654</v>
      </c>
      <c r="P117" s="167">
        <v>12947</v>
      </c>
      <c r="Q117" s="167">
        <v>232</v>
      </c>
      <c r="R117" s="167">
        <v>223</v>
      </c>
    </row>
    <row r="118" spans="1:18" ht="17">
      <c r="A118" s="20" t="s">
        <v>800</v>
      </c>
      <c r="B118" s="20" t="s">
        <v>800</v>
      </c>
      <c r="C118" s="20">
        <v>1</v>
      </c>
      <c r="D118" s="20">
        <v>10300</v>
      </c>
      <c r="E118" s="20">
        <v>100</v>
      </c>
      <c r="F118" s="20">
        <v>0</v>
      </c>
      <c r="G118" s="20" t="s">
        <v>175</v>
      </c>
      <c r="H118" s="20" t="s">
        <v>175</v>
      </c>
      <c r="I118" s="20" t="s">
        <v>8</v>
      </c>
      <c r="J118" s="20" t="s">
        <v>8</v>
      </c>
      <c r="K118" s="166">
        <f t="shared" si="6"/>
        <v>10300</v>
      </c>
      <c r="L118" s="166">
        <f t="shared" si="7"/>
        <v>100</v>
      </c>
      <c r="M118" s="143">
        <v>110</v>
      </c>
      <c r="N118" s="20">
        <v>33</v>
      </c>
      <c r="O118" s="167" t="s">
        <v>654</v>
      </c>
      <c r="P118" s="167">
        <v>11441</v>
      </c>
      <c r="Q118" s="167">
        <v>359</v>
      </c>
      <c r="R118" s="167">
        <v>291</v>
      </c>
    </row>
    <row r="119" spans="1:18" ht="17">
      <c r="A119" s="20" t="s">
        <v>802</v>
      </c>
      <c r="B119" s="20" t="s">
        <v>802</v>
      </c>
      <c r="C119" s="20">
        <v>1</v>
      </c>
      <c r="D119" s="20">
        <v>12625</v>
      </c>
      <c r="E119" s="20">
        <v>145</v>
      </c>
      <c r="F119" s="20">
        <v>100</v>
      </c>
      <c r="G119" s="20" t="s">
        <v>175</v>
      </c>
      <c r="H119" s="20" t="s">
        <v>175</v>
      </c>
      <c r="I119" s="20" t="s">
        <v>8</v>
      </c>
      <c r="J119" s="20" t="s">
        <v>8</v>
      </c>
      <c r="K119" s="166">
        <f t="shared" si="6"/>
        <v>12625</v>
      </c>
      <c r="L119" s="166">
        <f t="shared" si="7"/>
        <v>176.13914953808538</v>
      </c>
      <c r="M119" s="143" t="s">
        <v>8</v>
      </c>
      <c r="N119" s="20" t="s">
        <v>8</v>
      </c>
      <c r="O119" s="167" t="s">
        <v>654</v>
      </c>
      <c r="P119" s="167">
        <v>14938</v>
      </c>
      <c r="Q119" s="167">
        <v>587</v>
      </c>
      <c r="R119" s="167">
        <v>734</v>
      </c>
    </row>
    <row r="120" spans="1:18" ht="17">
      <c r="A120" s="20" t="s">
        <v>803</v>
      </c>
      <c r="B120" s="20" t="s">
        <v>803</v>
      </c>
      <c r="C120" s="20">
        <v>1</v>
      </c>
      <c r="D120" s="20">
        <v>3730</v>
      </c>
      <c r="E120" s="20">
        <v>80</v>
      </c>
      <c r="F120" s="20">
        <v>0</v>
      </c>
      <c r="G120" s="20" t="s">
        <v>175</v>
      </c>
      <c r="H120" s="20" t="s">
        <v>175</v>
      </c>
      <c r="I120" s="20" t="s">
        <v>8</v>
      </c>
      <c r="J120" s="20" t="s">
        <v>8</v>
      </c>
      <c r="K120" s="166">
        <f t="shared" si="6"/>
        <v>3730</v>
      </c>
      <c r="L120" s="166">
        <f t="shared" si="7"/>
        <v>80</v>
      </c>
      <c r="M120" s="143">
        <v>110</v>
      </c>
      <c r="N120" s="20">
        <v>33</v>
      </c>
      <c r="O120" s="167" t="s">
        <v>654</v>
      </c>
      <c r="P120" s="167">
        <v>3624</v>
      </c>
      <c r="Q120" s="167">
        <v>256</v>
      </c>
      <c r="R120" s="167">
        <v>248</v>
      </c>
    </row>
    <row r="121" spans="1:18" ht="17">
      <c r="A121" s="20" t="s">
        <v>804</v>
      </c>
      <c r="B121" s="20" t="s">
        <v>804</v>
      </c>
      <c r="C121" s="20">
        <v>1</v>
      </c>
      <c r="D121" s="20">
        <v>5050</v>
      </c>
      <c r="E121" s="20">
        <v>80</v>
      </c>
      <c r="F121" s="20">
        <v>0</v>
      </c>
      <c r="G121" s="20" t="s">
        <v>175</v>
      </c>
      <c r="H121" s="20" t="s">
        <v>175</v>
      </c>
      <c r="I121" s="20" t="s">
        <v>8</v>
      </c>
      <c r="J121" s="20" t="s">
        <v>8</v>
      </c>
      <c r="K121" s="166">
        <f t="shared" si="6"/>
        <v>5050</v>
      </c>
      <c r="L121" s="166">
        <f t="shared" si="7"/>
        <v>80</v>
      </c>
      <c r="M121" s="143">
        <v>110</v>
      </c>
      <c r="N121" s="20">
        <v>33</v>
      </c>
      <c r="O121" s="167" t="s">
        <v>654</v>
      </c>
      <c r="P121" s="167">
        <v>5323</v>
      </c>
      <c r="Q121" s="167">
        <v>237</v>
      </c>
      <c r="R121" s="167">
        <v>272</v>
      </c>
    </row>
    <row r="122" spans="1:18" ht="17">
      <c r="A122" s="20" t="s">
        <v>805</v>
      </c>
      <c r="B122" s="20" t="s">
        <v>805</v>
      </c>
      <c r="C122" s="20">
        <v>1</v>
      </c>
      <c r="D122" s="20">
        <v>1750</v>
      </c>
      <c r="E122" s="20">
        <v>60</v>
      </c>
      <c r="F122" s="20">
        <v>0</v>
      </c>
      <c r="G122" s="20" t="s">
        <v>175</v>
      </c>
      <c r="H122" s="20" t="s">
        <v>175</v>
      </c>
      <c r="I122" s="20" t="s">
        <v>8</v>
      </c>
      <c r="J122" s="20" t="s">
        <v>8</v>
      </c>
      <c r="K122" s="166">
        <f t="shared" si="6"/>
        <v>1750</v>
      </c>
      <c r="L122" s="166">
        <f t="shared" si="7"/>
        <v>60</v>
      </c>
      <c r="M122" s="143">
        <v>110</v>
      </c>
      <c r="N122" s="20">
        <v>33</v>
      </c>
      <c r="O122" s="167" t="s">
        <v>654</v>
      </c>
      <c r="P122" s="167">
        <v>1254</v>
      </c>
      <c r="Q122" s="167">
        <v>182</v>
      </c>
      <c r="R122" s="167">
        <v>197</v>
      </c>
    </row>
    <row r="123" spans="1:18" ht="17">
      <c r="A123" s="20" t="s">
        <v>806</v>
      </c>
      <c r="B123" s="20" t="s">
        <v>806</v>
      </c>
      <c r="C123" s="20">
        <v>1</v>
      </c>
      <c r="D123" s="20">
        <v>10280</v>
      </c>
      <c r="E123" s="20">
        <v>100</v>
      </c>
      <c r="F123" s="20">
        <v>0</v>
      </c>
      <c r="G123" s="20" t="s">
        <v>175</v>
      </c>
      <c r="H123" s="20" t="s">
        <v>175</v>
      </c>
      <c r="I123" s="20" t="s">
        <v>8</v>
      </c>
      <c r="J123" s="20" t="s">
        <v>8</v>
      </c>
      <c r="K123" s="166">
        <f t="shared" si="6"/>
        <v>10280</v>
      </c>
      <c r="L123" s="166">
        <f t="shared" si="7"/>
        <v>100</v>
      </c>
      <c r="M123" s="143">
        <v>110</v>
      </c>
      <c r="N123" s="20">
        <v>33</v>
      </c>
      <c r="O123" s="167" t="s">
        <v>654</v>
      </c>
      <c r="P123" s="167">
        <v>11415</v>
      </c>
      <c r="Q123" s="167">
        <v>358</v>
      </c>
      <c r="R123" s="167">
        <v>294</v>
      </c>
    </row>
    <row r="124" spans="1:18" ht="17">
      <c r="A124" s="20" t="s">
        <v>807</v>
      </c>
      <c r="B124" s="20" t="s">
        <v>807</v>
      </c>
      <c r="C124" s="20">
        <v>1</v>
      </c>
      <c r="D124" s="20">
        <v>12140</v>
      </c>
      <c r="E124" s="20">
        <v>120</v>
      </c>
      <c r="F124" s="20">
        <v>0</v>
      </c>
      <c r="G124" s="20" t="s">
        <v>175</v>
      </c>
      <c r="H124" s="20" t="s">
        <v>175</v>
      </c>
      <c r="I124" s="20" t="s">
        <v>8</v>
      </c>
      <c r="J124" s="20" t="s">
        <v>8</v>
      </c>
      <c r="K124" s="166">
        <f t="shared" si="6"/>
        <v>12140</v>
      </c>
      <c r="L124" s="166">
        <f t="shared" si="7"/>
        <v>120</v>
      </c>
      <c r="M124" s="143">
        <v>110</v>
      </c>
      <c r="N124" s="20">
        <v>33</v>
      </c>
      <c r="O124" s="167" t="s">
        <v>654</v>
      </c>
      <c r="P124" s="167">
        <v>13602</v>
      </c>
      <c r="Q124" s="167">
        <v>359</v>
      </c>
      <c r="R124" s="167">
        <v>305</v>
      </c>
    </row>
    <row r="125" spans="1:18" ht="17">
      <c r="A125" s="20" t="s">
        <v>808</v>
      </c>
      <c r="B125" s="20" t="s">
        <v>808</v>
      </c>
      <c r="C125" s="20">
        <v>1</v>
      </c>
      <c r="D125" s="20">
        <v>9040</v>
      </c>
      <c r="E125" s="20">
        <v>100</v>
      </c>
      <c r="F125" s="20">
        <v>0</v>
      </c>
      <c r="G125" s="20" t="s">
        <v>175</v>
      </c>
      <c r="H125" s="20" t="s">
        <v>175</v>
      </c>
      <c r="I125" s="20" t="s">
        <v>8</v>
      </c>
      <c r="J125" s="20" t="s">
        <v>8</v>
      </c>
      <c r="K125" s="166">
        <f t="shared" si="6"/>
        <v>9040</v>
      </c>
      <c r="L125" s="166">
        <f t="shared" si="7"/>
        <v>100</v>
      </c>
      <c r="M125" s="143">
        <v>110</v>
      </c>
      <c r="N125" s="20">
        <v>33</v>
      </c>
      <c r="O125" s="167" t="s">
        <v>654</v>
      </c>
      <c r="P125" s="167">
        <v>9714</v>
      </c>
      <c r="Q125" s="167">
        <v>359</v>
      </c>
      <c r="R125" s="167">
        <v>268</v>
      </c>
    </row>
    <row r="126" spans="1:18" ht="17">
      <c r="A126" s="20" t="s">
        <v>809</v>
      </c>
      <c r="B126" s="20" t="s">
        <v>809</v>
      </c>
      <c r="C126" s="20">
        <v>1</v>
      </c>
      <c r="D126" s="20">
        <v>5390</v>
      </c>
      <c r="E126" s="20">
        <v>90</v>
      </c>
      <c r="F126" s="20">
        <v>0</v>
      </c>
      <c r="G126" s="20" t="s">
        <v>175</v>
      </c>
      <c r="H126" s="20" t="s">
        <v>175</v>
      </c>
      <c r="I126" s="20" t="s">
        <v>8</v>
      </c>
      <c r="J126" s="20" t="s">
        <v>8</v>
      </c>
      <c r="K126" s="166">
        <f t="shared" si="6"/>
        <v>5390</v>
      </c>
      <c r="L126" s="166">
        <f t="shared" si="7"/>
        <v>90</v>
      </c>
      <c r="M126" s="143">
        <v>110</v>
      </c>
      <c r="N126" s="20">
        <v>33</v>
      </c>
      <c r="O126" s="167" t="s">
        <v>654</v>
      </c>
      <c r="P126" s="167">
        <v>5688</v>
      </c>
      <c r="Q126" s="167">
        <v>239</v>
      </c>
      <c r="R126" s="167">
        <v>241</v>
      </c>
    </row>
    <row r="127" spans="1:18" ht="17">
      <c r="A127" s="20" t="s">
        <v>810</v>
      </c>
      <c r="B127" s="20" t="s">
        <v>810</v>
      </c>
      <c r="C127" s="20">
        <v>1</v>
      </c>
      <c r="D127" s="20">
        <v>10440</v>
      </c>
      <c r="E127" s="20">
        <v>110</v>
      </c>
      <c r="F127" s="20">
        <v>100</v>
      </c>
      <c r="G127" s="20" t="s">
        <v>175</v>
      </c>
      <c r="H127" s="20" t="s">
        <v>175</v>
      </c>
      <c r="I127" s="20" t="s">
        <v>8</v>
      </c>
      <c r="J127" s="20" t="s">
        <v>8</v>
      </c>
      <c r="K127" s="166">
        <f t="shared" si="6"/>
        <v>10440</v>
      </c>
      <c r="L127" s="166">
        <f t="shared" si="7"/>
        <v>148.66068747318505</v>
      </c>
      <c r="M127" s="143" t="s">
        <v>8</v>
      </c>
      <c r="N127" s="20" t="s">
        <v>8</v>
      </c>
      <c r="O127" s="167" t="s">
        <v>654</v>
      </c>
      <c r="P127" s="167">
        <v>12293</v>
      </c>
      <c r="Q127" s="167">
        <v>420</v>
      </c>
      <c r="R127" s="167">
        <v>461</v>
      </c>
    </row>
    <row r="128" spans="1:18" ht="17">
      <c r="A128" s="20" t="s">
        <v>811</v>
      </c>
      <c r="B128" s="20" t="s">
        <v>811</v>
      </c>
      <c r="C128" s="20">
        <v>1</v>
      </c>
      <c r="D128" s="20">
        <v>3050</v>
      </c>
      <c r="E128" s="20">
        <v>35</v>
      </c>
      <c r="F128" s="20">
        <v>100</v>
      </c>
      <c r="G128" s="20" t="s">
        <v>175</v>
      </c>
      <c r="H128" s="20" t="s">
        <v>175</v>
      </c>
      <c r="I128" s="20" t="s">
        <v>8</v>
      </c>
      <c r="J128" s="20" t="s">
        <v>8</v>
      </c>
      <c r="K128" s="166">
        <f t="shared" si="6"/>
        <v>3050</v>
      </c>
      <c r="L128" s="166">
        <f t="shared" si="7"/>
        <v>105.94810050208545</v>
      </c>
      <c r="M128" s="143" t="s">
        <v>8</v>
      </c>
      <c r="N128" s="20" t="s">
        <v>8</v>
      </c>
      <c r="O128" s="167" t="s">
        <v>654</v>
      </c>
      <c r="P128" s="167">
        <v>3234</v>
      </c>
      <c r="Q128" s="167">
        <v>230</v>
      </c>
      <c r="R128" s="167">
        <v>281</v>
      </c>
    </row>
    <row r="129" spans="1:18" ht="17">
      <c r="A129" s="20" t="s">
        <v>812</v>
      </c>
      <c r="B129" s="20" t="s">
        <v>812</v>
      </c>
      <c r="C129" s="20">
        <v>1</v>
      </c>
      <c r="D129" s="20">
        <v>3690</v>
      </c>
      <c r="E129" s="20">
        <v>55</v>
      </c>
      <c r="F129" s="20">
        <v>100</v>
      </c>
      <c r="G129" s="20" t="s">
        <v>175</v>
      </c>
      <c r="H129" s="20" t="s">
        <v>175</v>
      </c>
      <c r="I129" s="20" t="s">
        <v>8</v>
      </c>
      <c r="J129" s="20" t="s">
        <v>8</v>
      </c>
      <c r="K129" s="166">
        <f t="shared" si="6"/>
        <v>3690</v>
      </c>
      <c r="L129" s="166">
        <f t="shared" si="7"/>
        <v>114.12712210513327</v>
      </c>
      <c r="M129" s="143" t="s">
        <v>8</v>
      </c>
      <c r="N129" s="20" t="s">
        <v>8</v>
      </c>
      <c r="O129" s="167" t="s">
        <v>654</v>
      </c>
      <c r="P129" s="167">
        <v>4036</v>
      </c>
      <c r="Q129" s="167">
        <v>368</v>
      </c>
      <c r="R129" s="167">
        <v>315</v>
      </c>
    </row>
    <row r="130" spans="1:18" ht="17">
      <c r="A130" s="20" t="s">
        <v>813</v>
      </c>
      <c r="B130" s="20" t="s">
        <v>813</v>
      </c>
      <c r="C130" s="20">
        <v>1</v>
      </c>
      <c r="D130" s="20">
        <v>4945</v>
      </c>
      <c r="E130" s="20">
        <v>40</v>
      </c>
      <c r="F130" s="20">
        <v>100</v>
      </c>
      <c r="G130" s="20" t="s">
        <v>175</v>
      </c>
      <c r="H130" s="20" t="s">
        <v>175</v>
      </c>
      <c r="I130" s="20" t="s">
        <v>8</v>
      </c>
      <c r="J130" s="20" t="s">
        <v>8</v>
      </c>
      <c r="K130" s="166">
        <f t="shared" si="6"/>
        <v>4945</v>
      </c>
      <c r="L130" s="166">
        <f t="shared" si="7"/>
        <v>107.70329614269008</v>
      </c>
      <c r="M130" s="143" t="s">
        <v>8</v>
      </c>
      <c r="N130" s="20" t="s">
        <v>8</v>
      </c>
      <c r="O130" s="167" t="s">
        <v>654</v>
      </c>
      <c r="P130" s="167">
        <v>5694</v>
      </c>
      <c r="Q130" s="167">
        <v>225</v>
      </c>
      <c r="R130" s="167">
        <v>222</v>
      </c>
    </row>
    <row r="131" spans="1:18" ht="17">
      <c r="A131" s="20" t="s">
        <v>814</v>
      </c>
      <c r="B131" s="20" t="s">
        <v>814</v>
      </c>
      <c r="C131" s="20">
        <v>1</v>
      </c>
      <c r="D131" s="20">
        <v>6190</v>
      </c>
      <c r="E131" s="20">
        <v>75</v>
      </c>
      <c r="F131" s="20">
        <v>0</v>
      </c>
      <c r="G131" s="20" t="s">
        <v>175</v>
      </c>
      <c r="H131" s="20" t="s">
        <v>175</v>
      </c>
      <c r="I131" s="20" t="s">
        <v>8</v>
      </c>
      <c r="J131" s="20" t="s">
        <v>8</v>
      </c>
      <c r="K131" s="166">
        <f t="shared" si="6"/>
        <v>6190</v>
      </c>
      <c r="L131" s="166">
        <f t="shared" si="7"/>
        <v>75</v>
      </c>
      <c r="M131" s="143">
        <v>110</v>
      </c>
      <c r="N131" s="20">
        <v>33</v>
      </c>
      <c r="O131" s="167" t="s">
        <v>654</v>
      </c>
      <c r="P131" s="167">
        <v>6544</v>
      </c>
      <c r="Q131" s="167">
        <v>226</v>
      </c>
      <c r="R131" s="167">
        <v>234</v>
      </c>
    </row>
    <row r="132" spans="1:18" ht="17">
      <c r="A132" s="20" t="s">
        <v>815</v>
      </c>
      <c r="B132" s="20" t="s">
        <v>815</v>
      </c>
      <c r="C132" s="20">
        <v>1</v>
      </c>
      <c r="D132" s="20">
        <v>9870</v>
      </c>
      <c r="E132" s="20">
        <v>110</v>
      </c>
      <c r="F132" s="20">
        <v>0</v>
      </c>
      <c r="G132" s="20" t="s">
        <v>175</v>
      </c>
      <c r="H132" s="20" t="s">
        <v>175</v>
      </c>
      <c r="I132" s="20" t="s">
        <v>8</v>
      </c>
      <c r="J132" s="20" t="s">
        <v>8</v>
      </c>
      <c r="K132" s="166">
        <f t="shared" si="6"/>
        <v>9870</v>
      </c>
      <c r="L132" s="166">
        <f t="shared" si="7"/>
        <v>110</v>
      </c>
      <c r="M132" s="143">
        <v>110</v>
      </c>
      <c r="N132" s="20">
        <v>33</v>
      </c>
      <c r="O132" s="167" t="s">
        <v>654</v>
      </c>
      <c r="P132" s="167">
        <v>10851</v>
      </c>
      <c r="Q132" s="167">
        <v>327</v>
      </c>
      <c r="R132" s="167">
        <v>347</v>
      </c>
    </row>
    <row r="133" spans="1:18" ht="17">
      <c r="A133" s="20" t="s">
        <v>816</v>
      </c>
      <c r="B133" s="20" t="s">
        <v>816</v>
      </c>
      <c r="C133" s="20">
        <v>1</v>
      </c>
      <c r="D133" s="20">
        <v>4140</v>
      </c>
      <c r="E133" s="20">
        <v>80</v>
      </c>
      <c r="F133" s="20">
        <v>0</v>
      </c>
      <c r="G133" s="20" t="s">
        <v>175</v>
      </c>
      <c r="H133" s="20" t="s">
        <v>175</v>
      </c>
      <c r="I133" s="20" t="s">
        <v>8</v>
      </c>
      <c r="J133" s="20" t="s">
        <v>8</v>
      </c>
      <c r="K133" s="166">
        <f t="shared" si="6"/>
        <v>4140</v>
      </c>
      <c r="L133" s="166">
        <f t="shared" si="7"/>
        <v>80</v>
      </c>
      <c r="M133" s="143">
        <v>110</v>
      </c>
      <c r="N133" s="20">
        <v>33</v>
      </c>
      <c r="O133" s="167" t="s">
        <v>654</v>
      </c>
      <c r="P133" s="167">
        <v>4163</v>
      </c>
      <c r="Q133" s="167">
        <v>260</v>
      </c>
      <c r="R133" s="167">
        <v>280</v>
      </c>
    </row>
    <row r="134" spans="1:18" ht="17">
      <c r="A134" s="20" t="s">
        <v>817</v>
      </c>
      <c r="B134" s="20" t="s">
        <v>817</v>
      </c>
      <c r="C134" s="20">
        <v>1</v>
      </c>
      <c r="D134" s="20">
        <v>5590</v>
      </c>
      <c r="E134" s="20">
        <v>80</v>
      </c>
      <c r="F134" s="20">
        <v>100</v>
      </c>
      <c r="G134" s="20" t="s">
        <v>175</v>
      </c>
      <c r="H134" s="20" t="s">
        <v>175</v>
      </c>
      <c r="I134" s="20" t="s">
        <v>8</v>
      </c>
      <c r="J134" s="20" t="s">
        <v>8</v>
      </c>
      <c r="K134" s="166">
        <f t="shared" si="6"/>
        <v>5590</v>
      </c>
      <c r="L134" s="166">
        <f t="shared" si="7"/>
        <v>128.06248474865697</v>
      </c>
      <c r="M134" s="143" t="s">
        <v>8</v>
      </c>
      <c r="N134" s="20" t="s">
        <v>8</v>
      </c>
      <c r="O134" s="167" t="s">
        <v>654</v>
      </c>
      <c r="P134" s="167">
        <v>6390</v>
      </c>
      <c r="Q134" s="167">
        <v>281</v>
      </c>
      <c r="R134" s="167">
        <v>378</v>
      </c>
    </row>
    <row r="135" spans="1:18" ht="17">
      <c r="A135" s="20" t="s">
        <v>830</v>
      </c>
      <c r="B135" s="20" t="s">
        <v>830</v>
      </c>
      <c r="C135" s="20">
        <v>1</v>
      </c>
      <c r="D135" s="20">
        <v>8290</v>
      </c>
      <c r="E135" s="20">
        <v>90</v>
      </c>
      <c r="F135" s="20">
        <v>100</v>
      </c>
      <c r="G135" s="20" t="s">
        <v>175</v>
      </c>
      <c r="H135" s="20" t="s">
        <v>175</v>
      </c>
      <c r="I135" s="20" t="s">
        <v>8</v>
      </c>
      <c r="J135" s="20" t="s">
        <v>8</v>
      </c>
      <c r="K135" s="166">
        <f t="shared" si="6"/>
        <v>8290</v>
      </c>
      <c r="L135" s="166">
        <f t="shared" si="7"/>
        <v>134.53624047073711</v>
      </c>
      <c r="M135" s="143">
        <v>110</v>
      </c>
      <c r="N135" s="20">
        <v>33</v>
      </c>
      <c r="O135" s="167" t="s">
        <v>654</v>
      </c>
      <c r="P135" s="167">
        <v>8777</v>
      </c>
      <c r="Q135" s="167">
        <v>378</v>
      </c>
      <c r="R135" s="167">
        <v>383</v>
      </c>
    </row>
    <row r="136" spans="1:18" ht="17">
      <c r="A136" s="20" t="s">
        <v>831</v>
      </c>
      <c r="B136" s="20" t="s">
        <v>831</v>
      </c>
      <c r="C136" s="20">
        <v>1</v>
      </c>
      <c r="D136" s="20">
        <v>11430</v>
      </c>
      <c r="E136" s="20">
        <v>130</v>
      </c>
      <c r="F136" s="20">
        <v>0</v>
      </c>
      <c r="G136" s="20" t="s">
        <v>175</v>
      </c>
      <c r="H136" s="20" t="s">
        <v>175</v>
      </c>
      <c r="I136" s="20" t="s">
        <v>8</v>
      </c>
      <c r="J136" s="20" t="s">
        <v>8</v>
      </c>
      <c r="K136" s="166">
        <f t="shared" si="6"/>
        <v>11430</v>
      </c>
      <c r="L136" s="166">
        <f t="shared" si="7"/>
        <v>130</v>
      </c>
      <c r="M136" s="143" t="s">
        <v>8</v>
      </c>
      <c r="N136" s="20" t="s">
        <v>8</v>
      </c>
      <c r="O136" s="167" t="s">
        <v>654</v>
      </c>
      <c r="P136" s="167">
        <v>13309</v>
      </c>
      <c r="Q136" s="167">
        <v>264</v>
      </c>
      <c r="R136" s="167">
        <v>210</v>
      </c>
    </row>
    <row r="137" spans="1:18" ht="17">
      <c r="A137" s="20" t="s">
        <v>832</v>
      </c>
      <c r="B137" s="20" t="s">
        <v>832</v>
      </c>
      <c r="C137" s="20">
        <v>1</v>
      </c>
      <c r="D137" s="20">
        <v>10670</v>
      </c>
      <c r="E137" s="20">
        <v>110</v>
      </c>
      <c r="F137" s="20">
        <v>100</v>
      </c>
      <c r="G137" s="20" t="s">
        <v>175</v>
      </c>
      <c r="H137" s="20" t="s">
        <v>175</v>
      </c>
      <c r="I137" s="20" t="s">
        <v>8</v>
      </c>
      <c r="J137" s="20" t="s">
        <v>8</v>
      </c>
      <c r="K137" s="166">
        <f t="shared" si="6"/>
        <v>10670</v>
      </c>
      <c r="L137" s="166">
        <f t="shared" si="7"/>
        <v>148.66068747318505</v>
      </c>
      <c r="M137" s="143">
        <v>110</v>
      </c>
      <c r="N137" s="20">
        <v>33</v>
      </c>
      <c r="O137" s="167" t="s">
        <v>654</v>
      </c>
      <c r="P137" s="167">
        <v>12010</v>
      </c>
      <c r="Q137" s="167">
        <v>470</v>
      </c>
      <c r="R137" s="167">
        <v>513</v>
      </c>
    </row>
    <row r="138" spans="1:18" ht="17">
      <c r="A138" s="20" t="s">
        <v>833</v>
      </c>
      <c r="B138" s="20" t="s">
        <v>833</v>
      </c>
      <c r="C138" s="20">
        <v>1</v>
      </c>
      <c r="D138" s="20">
        <v>9840</v>
      </c>
      <c r="E138" s="20">
        <v>110</v>
      </c>
      <c r="F138" s="20">
        <v>0</v>
      </c>
      <c r="G138" s="20" t="s">
        <v>175</v>
      </c>
      <c r="H138" s="20" t="s">
        <v>175</v>
      </c>
      <c r="I138" s="20" t="s">
        <v>8</v>
      </c>
      <c r="J138" s="20" t="s">
        <v>8</v>
      </c>
      <c r="K138" s="166">
        <f t="shared" si="6"/>
        <v>9840</v>
      </c>
      <c r="L138" s="166">
        <f t="shared" si="7"/>
        <v>110</v>
      </c>
      <c r="M138" s="143" t="s">
        <v>8</v>
      </c>
      <c r="N138" s="20" t="s">
        <v>8</v>
      </c>
      <c r="O138" s="167" t="s">
        <v>654</v>
      </c>
      <c r="P138" s="167">
        <v>11284</v>
      </c>
      <c r="Q138" s="167">
        <v>451</v>
      </c>
      <c r="R138" s="167">
        <v>476</v>
      </c>
    </row>
    <row r="139" spans="1:18" ht="17">
      <c r="A139" s="20" t="s">
        <v>834</v>
      </c>
      <c r="B139" s="20" t="s">
        <v>834</v>
      </c>
      <c r="C139" s="20">
        <v>1</v>
      </c>
      <c r="D139" s="20">
        <v>12340</v>
      </c>
      <c r="E139" s="20">
        <v>290</v>
      </c>
      <c r="F139" s="20">
        <v>100</v>
      </c>
      <c r="G139" s="20" t="s">
        <v>175</v>
      </c>
      <c r="H139" s="20" t="s">
        <v>175</v>
      </c>
      <c r="I139" s="20" t="s">
        <v>8</v>
      </c>
      <c r="J139" s="20" t="s">
        <v>8</v>
      </c>
      <c r="K139" s="166">
        <f t="shared" si="6"/>
        <v>12340</v>
      </c>
      <c r="L139" s="166">
        <f t="shared" si="7"/>
        <v>306.75723300355935</v>
      </c>
      <c r="M139" s="143">
        <v>110</v>
      </c>
      <c r="N139" s="20">
        <v>33</v>
      </c>
      <c r="O139" s="167" t="s">
        <v>654</v>
      </c>
      <c r="P139" s="167">
        <v>13917</v>
      </c>
      <c r="Q139" s="167">
        <v>939</v>
      </c>
      <c r="R139" s="167">
        <v>758</v>
      </c>
    </row>
    <row r="140" spans="1:18" ht="17">
      <c r="A140" s="20" t="s">
        <v>835</v>
      </c>
      <c r="B140" s="20" t="s">
        <v>835</v>
      </c>
      <c r="C140" s="20">
        <v>1</v>
      </c>
      <c r="D140" s="20">
        <v>4670</v>
      </c>
      <c r="E140" s="20">
        <v>80</v>
      </c>
      <c r="F140" s="20">
        <v>0</v>
      </c>
      <c r="G140" s="20" t="s">
        <v>175</v>
      </c>
      <c r="H140" s="20" t="s">
        <v>175</v>
      </c>
      <c r="I140" s="20" t="s">
        <v>8</v>
      </c>
      <c r="J140" s="20" t="s">
        <v>8</v>
      </c>
      <c r="K140" s="166">
        <f t="shared" si="6"/>
        <v>4670</v>
      </c>
      <c r="L140" s="166">
        <f t="shared" si="7"/>
        <v>80</v>
      </c>
      <c r="M140" s="143">
        <v>110</v>
      </c>
      <c r="N140" s="20">
        <v>33</v>
      </c>
      <c r="O140" s="167" t="s">
        <v>654</v>
      </c>
      <c r="P140" s="167">
        <v>4848</v>
      </c>
      <c r="Q140" s="167">
        <v>293</v>
      </c>
      <c r="R140" s="167">
        <v>292</v>
      </c>
    </row>
    <row r="141" spans="1:18" ht="17">
      <c r="A141" s="20" t="s">
        <v>836</v>
      </c>
      <c r="B141" s="20" t="s">
        <v>836</v>
      </c>
      <c r="C141" s="20">
        <v>1</v>
      </c>
      <c r="D141" s="20">
        <v>12640</v>
      </c>
      <c r="E141" s="20">
        <v>110</v>
      </c>
      <c r="F141" s="20">
        <v>0</v>
      </c>
      <c r="G141" s="20" t="s">
        <v>175</v>
      </c>
      <c r="H141" s="20" t="s">
        <v>175</v>
      </c>
      <c r="I141" s="20" t="s">
        <v>8</v>
      </c>
      <c r="J141" s="20" t="s">
        <v>8</v>
      </c>
      <c r="K141" s="166">
        <f t="shared" si="6"/>
        <v>12640</v>
      </c>
      <c r="L141" s="166">
        <f t="shared" si="7"/>
        <v>110</v>
      </c>
      <c r="M141" s="143">
        <v>110</v>
      </c>
      <c r="N141" s="20">
        <v>33</v>
      </c>
      <c r="O141" s="167" t="s">
        <v>654</v>
      </c>
      <c r="P141" s="167">
        <v>14304</v>
      </c>
      <c r="Q141" s="167">
        <v>494</v>
      </c>
      <c r="R141" s="167">
        <v>399</v>
      </c>
    </row>
    <row r="142" spans="1:18" ht="17">
      <c r="A142" s="20" t="s">
        <v>837</v>
      </c>
      <c r="B142" s="20" t="s">
        <v>837</v>
      </c>
      <c r="C142" s="20">
        <v>1</v>
      </c>
      <c r="D142" s="20">
        <v>6240</v>
      </c>
      <c r="E142" s="20">
        <v>90</v>
      </c>
      <c r="F142" s="20">
        <v>0</v>
      </c>
      <c r="G142" s="20" t="s">
        <v>175</v>
      </c>
      <c r="H142" s="20" t="s">
        <v>175</v>
      </c>
      <c r="I142" s="20" t="s">
        <v>8</v>
      </c>
      <c r="J142" s="20" t="s">
        <v>8</v>
      </c>
      <c r="K142" s="166">
        <f t="shared" si="6"/>
        <v>6240</v>
      </c>
      <c r="L142" s="166">
        <f t="shared" si="7"/>
        <v>90</v>
      </c>
      <c r="M142" s="143">
        <v>110</v>
      </c>
      <c r="N142" s="20">
        <v>33</v>
      </c>
      <c r="O142" s="167" t="s">
        <v>654</v>
      </c>
      <c r="P142" s="167">
        <v>6599</v>
      </c>
      <c r="Q142" s="167">
        <v>264</v>
      </c>
      <c r="R142" s="167">
        <v>259</v>
      </c>
    </row>
    <row r="143" spans="1:18" ht="17">
      <c r="A143" s="20" t="s">
        <v>838</v>
      </c>
      <c r="B143" s="20" t="s">
        <v>838</v>
      </c>
      <c r="C143" s="20">
        <v>1</v>
      </c>
      <c r="D143" s="20">
        <v>11760</v>
      </c>
      <c r="E143" s="20">
        <v>130</v>
      </c>
      <c r="F143" s="20">
        <v>0</v>
      </c>
      <c r="G143" s="20" t="s">
        <v>175</v>
      </c>
      <c r="H143" s="20" t="s">
        <v>175</v>
      </c>
      <c r="I143" s="20" t="s">
        <v>8</v>
      </c>
      <c r="J143" s="20" t="s">
        <v>8</v>
      </c>
      <c r="K143" s="166">
        <f t="shared" si="6"/>
        <v>11760</v>
      </c>
      <c r="L143" s="166">
        <f t="shared" si="7"/>
        <v>130</v>
      </c>
      <c r="M143" s="143">
        <v>110</v>
      </c>
      <c r="N143" s="20">
        <v>33</v>
      </c>
      <c r="O143" s="167" t="s">
        <v>654</v>
      </c>
      <c r="P143" s="167">
        <v>13194</v>
      </c>
      <c r="Q143" s="167">
        <v>302</v>
      </c>
      <c r="R143" s="167">
        <v>317</v>
      </c>
    </row>
    <row r="144" spans="1:18" ht="17">
      <c r="A144" s="20" t="s">
        <v>839</v>
      </c>
      <c r="B144" s="20" t="s">
        <v>839</v>
      </c>
      <c r="C144" s="20">
        <v>1</v>
      </c>
      <c r="D144" s="20">
        <v>9050</v>
      </c>
      <c r="E144" s="20">
        <v>90</v>
      </c>
      <c r="F144" s="20">
        <v>0</v>
      </c>
      <c r="G144" s="20" t="s">
        <v>175</v>
      </c>
      <c r="H144" s="20" t="s">
        <v>175</v>
      </c>
      <c r="I144" s="20" t="s">
        <v>8</v>
      </c>
      <c r="J144" s="20" t="s">
        <v>8</v>
      </c>
      <c r="K144" s="166">
        <f t="shared" si="6"/>
        <v>9050</v>
      </c>
      <c r="L144" s="166">
        <f t="shared" si="7"/>
        <v>90</v>
      </c>
      <c r="M144" s="143">
        <v>110</v>
      </c>
      <c r="N144" s="20">
        <v>33</v>
      </c>
      <c r="O144" s="167" t="s">
        <v>654</v>
      </c>
      <c r="P144" s="167">
        <v>9723</v>
      </c>
      <c r="Q144" s="167">
        <v>344</v>
      </c>
      <c r="R144" s="167">
        <v>259</v>
      </c>
    </row>
    <row r="145" spans="1:18" ht="17">
      <c r="A145" s="20" t="s">
        <v>511</v>
      </c>
      <c r="B145" s="20" t="s">
        <v>511</v>
      </c>
      <c r="C145" s="20">
        <v>1</v>
      </c>
      <c r="D145" s="20">
        <v>7360</v>
      </c>
      <c r="E145" s="20">
        <v>90</v>
      </c>
      <c r="F145" s="20">
        <v>0</v>
      </c>
      <c r="G145" s="20">
        <v>-1</v>
      </c>
      <c r="H145" s="20" t="s">
        <v>652</v>
      </c>
      <c r="I145" s="20">
        <v>390.68186471624904</v>
      </c>
      <c r="J145" s="20">
        <v>48.197999999999993</v>
      </c>
      <c r="K145" s="166">
        <f t="shared" si="6"/>
        <v>7750.681864716249</v>
      </c>
      <c r="L145" s="166">
        <f t="shared" si="7"/>
        <v>102.09332595228739</v>
      </c>
      <c r="M145" s="143">
        <v>110</v>
      </c>
      <c r="N145" s="20">
        <v>33</v>
      </c>
      <c r="O145" s="167" t="s">
        <v>654</v>
      </c>
      <c r="P145" s="167">
        <v>8146</v>
      </c>
      <c r="Q145" s="167">
        <v>249</v>
      </c>
      <c r="R145" s="167">
        <v>243</v>
      </c>
    </row>
    <row r="146" spans="1:18" ht="17">
      <c r="A146" s="20" t="s">
        <v>845</v>
      </c>
      <c r="B146" s="20" t="s">
        <v>845</v>
      </c>
      <c r="C146" s="20">
        <v>1</v>
      </c>
      <c r="D146" s="20">
        <v>5510</v>
      </c>
      <c r="E146" s="20">
        <v>170</v>
      </c>
      <c r="F146" s="20">
        <v>100</v>
      </c>
      <c r="G146" s="20">
        <v>-1</v>
      </c>
      <c r="H146" s="20" t="s">
        <v>652</v>
      </c>
      <c r="I146" s="20">
        <v>390.68186471624904</v>
      </c>
      <c r="J146" s="20">
        <v>48.197999999999993</v>
      </c>
      <c r="K146" s="166">
        <f t="shared" ref="K146:K206" si="8">IF(OR(D146="n/a",D146="nd"),0,D146)+IF(OR(I146="n/a",I146="nd"),0,I146)</f>
        <v>5900.681864716249</v>
      </c>
      <c r="L146" s="166">
        <f t="shared" ref="L146:L206" si="9">SQRT(SUMSQ(IF(OR(E146="n/a",E146="nd"),0,E146),IF(OR(F146="n/a",F146="nd"),0,F146),IF(OR(J146="n/a",J146="nd"),0,J146)))</f>
        <v>203.03459607662927</v>
      </c>
      <c r="M146" s="143">
        <v>110</v>
      </c>
      <c r="N146" s="20">
        <v>33</v>
      </c>
      <c r="O146" s="167" t="s">
        <v>654</v>
      </c>
      <c r="P146" s="167">
        <v>6235</v>
      </c>
      <c r="Q146" s="167">
        <v>470</v>
      </c>
      <c r="R146" s="167">
        <v>478</v>
      </c>
    </row>
    <row r="147" spans="1:18" ht="17">
      <c r="A147" s="20" t="s">
        <v>846</v>
      </c>
      <c r="B147" s="20" t="s">
        <v>846</v>
      </c>
      <c r="C147" s="20">
        <v>1</v>
      </c>
      <c r="D147" s="20">
        <v>5220</v>
      </c>
      <c r="E147" s="20">
        <v>140</v>
      </c>
      <c r="F147" s="20">
        <v>100</v>
      </c>
      <c r="G147" s="20">
        <v>-1</v>
      </c>
      <c r="H147" s="20" t="s">
        <v>652</v>
      </c>
      <c r="I147" s="20">
        <v>390.68186471624904</v>
      </c>
      <c r="J147" s="20">
        <v>48.197999999999993</v>
      </c>
      <c r="K147" s="166">
        <f t="shared" si="8"/>
        <v>5610.681864716249</v>
      </c>
      <c r="L147" s="166">
        <f t="shared" si="9"/>
        <v>178.67021913010572</v>
      </c>
      <c r="M147" s="143">
        <v>110</v>
      </c>
      <c r="N147" s="20">
        <v>33</v>
      </c>
      <c r="O147" s="167" t="s">
        <v>654</v>
      </c>
      <c r="P147" s="167">
        <v>5925</v>
      </c>
      <c r="Q147" s="167">
        <v>397</v>
      </c>
      <c r="R147" s="167">
        <v>413</v>
      </c>
    </row>
    <row r="148" spans="1:18" ht="17">
      <c r="A148" s="20" t="s">
        <v>543</v>
      </c>
      <c r="B148" s="20" t="s">
        <v>543</v>
      </c>
      <c r="C148" s="20">
        <v>1</v>
      </c>
      <c r="D148" s="20">
        <v>3920</v>
      </c>
      <c r="E148" s="20">
        <v>95</v>
      </c>
      <c r="F148" s="20">
        <v>0</v>
      </c>
      <c r="G148" s="20">
        <v>-1</v>
      </c>
      <c r="H148" s="20" t="s">
        <v>652</v>
      </c>
      <c r="I148" s="20">
        <v>390.68186471624904</v>
      </c>
      <c r="J148" s="20">
        <v>48.197999999999993</v>
      </c>
      <c r="K148" s="166">
        <f t="shared" si="8"/>
        <v>4310.681864716249</v>
      </c>
      <c r="L148" s="166">
        <f t="shared" si="9"/>
        <v>106.52721344332629</v>
      </c>
      <c r="M148" s="143">
        <v>110</v>
      </c>
      <c r="N148" s="20">
        <v>33</v>
      </c>
      <c r="O148" s="167" t="s">
        <v>654</v>
      </c>
      <c r="P148" s="167">
        <v>4387</v>
      </c>
      <c r="Q148" s="167">
        <v>374</v>
      </c>
      <c r="R148" s="167">
        <v>325</v>
      </c>
    </row>
    <row r="149" spans="1:18" ht="17">
      <c r="A149" s="20" t="s">
        <v>386</v>
      </c>
      <c r="B149" s="20" t="s">
        <v>386</v>
      </c>
      <c r="C149" s="20">
        <v>1</v>
      </c>
      <c r="D149" s="20">
        <v>1460</v>
      </c>
      <c r="E149" s="20">
        <v>80</v>
      </c>
      <c r="F149" s="20">
        <v>100</v>
      </c>
      <c r="G149" s="20">
        <v>-23.25</v>
      </c>
      <c r="H149" s="20" t="s">
        <v>652</v>
      </c>
      <c r="I149" s="20">
        <v>28.810562351189446</v>
      </c>
      <c r="J149" s="20">
        <v>8.0330000938744099</v>
      </c>
      <c r="K149" s="166">
        <f t="shared" si="8"/>
        <v>1488.8105623511894</v>
      </c>
      <c r="L149" s="166">
        <f t="shared" si="9"/>
        <v>128.31418117460044</v>
      </c>
      <c r="M149" s="143" t="s">
        <v>8</v>
      </c>
      <c r="N149" s="20" t="s">
        <v>8</v>
      </c>
      <c r="O149" s="167" t="s">
        <v>654</v>
      </c>
      <c r="P149" s="167">
        <v>1393</v>
      </c>
      <c r="Q149" s="167">
        <v>304</v>
      </c>
      <c r="R149" s="167">
        <v>266</v>
      </c>
    </row>
    <row r="150" spans="1:18" ht="17">
      <c r="A150" s="20" t="s">
        <v>371</v>
      </c>
      <c r="B150" s="20" t="s">
        <v>371</v>
      </c>
      <c r="C150" s="20">
        <v>1</v>
      </c>
      <c r="D150" s="20">
        <v>1130</v>
      </c>
      <c r="E150" s="20">
        <v>90</v>
      </c>
      <c r="F150" s="20">
        <v>100</v>
      </c>
      <c r="G150" s="20">
        <v>-23.25</v>
      </c>
      <c r="H150" s="20" t="s">
        <v>652</v>
      </c>
      <c r="I150" s="20">
        <v>28.810562351189901</v>
      </c>
      <c r="J150" s="20">
        <v>8.0330000938744099</v>
      </c>
      <c r="K150" s="166">
        <f t="shared" si="8"/>
        <v>1158.8105623511899</v>
      </c>
      <c r="L150" s="166">
        <f t="shared" si="9"/>
        <v>134.77584757851901</v>
      </c>
      <c r="M150" s="143" t="s">
        <v>8</v>
      </c>
      <c r="N150" s="20" t="s">
        <v>8</v>
      </c>
      <c r="O150" s="167" t="s">
        <v>654</v>
      </c>
      <c r="P150" s="167">
        <v>1075</v>
      </c>
      <c r="Q150" s="167">
        <v>227</v>
      </c>
      <c r="R150" s="167">
        <v>284</v>
      </c>
    </row>
    <row r="151" spans="1:18" ht="17">
      <c r="A151" s="20" t="s">
        <v>362</v>
      </c>
      <c r="B151" s="20" t="s">
        <v>362</v>
      </c>
      <c r="C151" s="20">
        <v>1</v>
      </c>
      <c r="D151" s="20">
        <v>640</v>
      </c>
      <c r="E151" s="20">
        <v>70</v>
      </c>
      <c r="F151" s="20">
        <v>100</v>
      </c>
      <c r="G151" s="20">
        <v>-23.25</v>
      </c>
      <c r="H151" s="20" t="s">
        <v>652</v>
      </c>
      <c r="I151" s="20">
        <v>28.810562351189105</v>
      </c>
      <c r="J151" s="20">
        <v>8.0330000938744099</v>
      </c>
      <c r="K151" s="166">
        <f t="shared" si="8"/>
        <v>668.81056235118911</v>
      </c>
      <c r="L151" s="166">
        <f t="shared" si="9"/>
        <v>122.32959204750168</v>
      </c>
      <c r="M151" s="143" t="s">
        <v>8</v>
      </c>
      <c r="N151" s="20" t="s">
        <v>8</v>
      </c>
      <c r="O151" s="167" t="s">
        <v>654</v>
      </c>
      <c r="P151" s="167">
        <v>632</v>
      </c>
      <c r="Q151" s="167">
        <v>270</v>
      </c>
      <c r="R151" s="167">
        <v>154</v>
      </c>
    </row>
    <row r="152" spans="1:18" ht="17">
      <c r="A152" s="20" t="s">
        <v>757</v>
      </c>
      <c r="B152" s="20" t="s">
        <v>757</v>
      </c>
      <c r="C152" s="20">
        <v>1</v>
      </c>
      <c r="D152" s="20">
        <v>6120</v>
      </c>
      <c r="E152" s="20">
        <v>160</v>
      </c>
      <c r="F152" s="20">
        <v>100</v>
      </c>
      <c r="G152" s="20">
        <v>-27.1</v>
      </c>
      <c r="H152" s="20" t="s">
        <v>652</v>
      </c>
      <c r="I152" s="20">
        <v>-34.64101141853007</v>
      </c>
      <c r="J152" s="20">
        <v>27.312199999999997</v>
      </c>
      <c r="K152" s="166">
        <f t="shared" si="8"/>
        <v>6085.3589885814699</v>
      </c>
      <c r="L152" s="166">
        <f t="shared" si="9"/>
        <v>190.64615461330447</v>
      </c>
      <c r="M152" s="143" t="s">
        <v>8</v>
      </c>
      <c r="N152" s="20" t="s">
        <v>8</v>
      </c>
      <c r="O152" s="167" t="s">
        <v>654</v>
      </c>
      <c r="P152" s="167">
        <v>6950</v>
      </c>
      <c r="Q152" s="167">
        <v>468</v>
      </c>
      <c r="R152" s="167">
        <v>453</v>
      </c>
    </row>
    <row r="153" spans="1:18" ht="17">
      <c r="A153" s="20" t="s">
        <v>400</v>
      </c>
      <c r="B153" s="20" t="s">
        <v>400</v>
      </c>
      <c r="C153" s="20">
        <v>1</v>
      </c>
      <c r="D153" s="20">
        <v>2040</v>
      </c>
      <c r="E153" s="20">
        <v>95</v>
      </c>
      <c r="F153" s="20">
        <v>0</v>
      </c>
      <c r="G153" s="20">
        <v>-1</v>
      </c>
      <c r="H153" s="20" t="s">
        <v>652</v>
      </c>
      <c r="I153" s="20">
        <v>390.68186471624767</v>
      </c>
      <c r="J153" s="20">
        <v>48.197999999999993</v>
      </c>
      <c r="K153" s="166">
        <f t="shared" si="8"/>
        <v>2430.6818647162477</v>
      </c>
      <c r="L153" s="166">
        <f t="shared" si="9"/>
        <v>106.52721344332629</v>
      </c>
      <c r="M153" s="143">
        <v>110</v>
      </c>
      <c r="N153" s="20">
        <v>33</v>
      </c>
      <c r="O153" s="167" t="s">
        <v>654</v>
      </c>
      <c r="P153" s="167">
        <v>2035</v>
      </c>
      <c r="Q153" s="167">
        <v>293</v>
      </c>
      <c r="R153" s="167">
        <v>305</v>
      </c>
    </row>
    <row r="154" spans="1:18" ht="17">
      <c r="A154" s="20" t="s">
        <v>367</v>
      </c>
      <c r="B154" s="20" t="s">
        <v>367</v>
      </c>
      <c r="C154" s="20">
        <v>1</v>
      </c>
      <c r="D154" s="20">
        <v>790</v>
      </c>
      <c r="E154" s="20">
        <v>60</v>
      </c>
      <c r="F154" s="20">
        <v>100</v>
      </c>
      <c r="G154" s="20">
        <v>-23.25</v>
      </c>
      <c r="H154" s="20" t="s">
        <v>652</v>
      </c>
      <c r="I154" s="20">
        <v>28.810562351188878</v>
      </c>
      <c r="J154" s="20">
        <v>8.0330000938744099</v>
      </c>
      <c r="K154" s="166">
        <f t="shared" si="8"/>
        <v>818.81056235118888</v>
      </c>
      <c r="L154" s="166">
        <f t="shared" si="9"/>
        <v>116.89537668577053</v>
      </c>
      <c r="M154" s="143" t="s">
        <v>8</v>
      </c>
      <c r="N154" s="20" t="s">
        <v>8</v>
      </c>
      <c r="O154" s="167" t="s">
        <v>654</v>
      </c>
      <c r="P154" s="167">
        <v>756</v>
      </c>
      <c r="Q154" s="167">
        <v>199</v>
      </c>
      <c r="R154" s="167">
        <v>201</v>
      </c>
    </row>
    <row r="155" spans="1:18" ht="17">
      <c r="A155" s="20" t="s">
        <v>441</v>
      </c>
      <c r="B155" s="20" t="s">
        <v>441</v>
      </c>
      <c r="C155" s="20">
        <v>1</v>
      </c>
      <c r="D155" s="20">
        <v>3570</v>
      </c>
      <c r="E155" s="20">
        <v>110</v>
      </c>
      <c r="F155" s="20">
        <v>100</v>
      </c>
      <c r="G155" s="20">
        <v>-23.25</v>
      </c>
      <c r="H155" s="20" t="s">
        <v>652</v>
      </c>
      <c r="I155" s="20">
        <v>28.810562351189674</v>
      </c>
      <c r="J155" s="20">
        <v>8.0330000938744099</v>
      </c>
      <c r="K155" s="166">
        <f t="shared" si="8"/>
        <v>3598.8105623511897</v>
      </c>
      <c r="L155" s="166">
        <f t="shared" si="9"/>
        <v>148.87756409381564</v>
      </c>
      <c r="M155" s="143" t="s">
        <v>8</v>
      </c>
      <c r="N155" s="20" t="s">
        <v>8</v>
      </c>
      <c r="O155" s="167" t="s">
        <v>654</v>
      </c>
      <c r="P155" s="167">
        <v>3913</v>
      </c>
      <c r="Q155" s="167">
        <v>468</v>
      </c>
      <c r="R155" s="167">
        <v>420</v>
      </c>
    </row>
    <row r="156" spans="1:18" ht="17">
      <c r="A156" s="20" t="s">
        <v>370</v>
      </c>
      <c r="B156" s="20" t="s">
        <v>370</v>
      </c>
      <c r="C156" s="20">
        <v>1</v>
      </c>
      <c r="D156" s="20">
        <v>960</v>
      </c>
      <c r="E156" s="20">
        <v>60</v>
      </c>
      <c r="F156" s="20">
        <v>100</v>
      </c>
      <c r="G156" s="20">
        <v>-23.25</v>
      </c>
      <c r="H156" s="20" t="s">
        <v>652</v>
      </c>
      <c r="I156" s="20">
        <v>28.810562351188992</v>
      </c>
      <c r="J156" s="20">
        <v>8.0330000938744099</v>
      </c>
      <c r="K156" s="166">
        <f t="shared" si="8"/>
        <v>988.81056235118899</v>
      </c>
      <c r="L156" s="166">
        <f t="shared" si="9"/>
        <v>116.89537668577053</v>
      </c>
      <c r="M156" s="143" t="s">
        <v>8</v>
      </c>
      <c r="N156" s="20" t="s">
        <v>8</v>
      </c>
      <c r="O156" s="167" t="s">
        <v>654</v>
      </c>
      <c r="P156" s="167">
        <v>892</v>
      </c>
      <c r="Q156" s="167">
        <v>283</v>
      </c>
      <c r="R156" s="167">
        <v>210</v>
      </c>
    </row>
    <row r="157" spans="1:18" ht="17">
      <c r="A157" s="20" t="s">
        <v>480</v>
      </c>
      <c r="B157" s="20" t="s">
        <v>480</v>
      </c>
      <c r="C157" s="20">
        <v>1</v>
      </c>
      <c r="D157" s="20">
        <v>6030</v>
      </c>
      <c r="E157" s="20">
        <v>150</v>
      </c>
      <c r="F157" s="20">
        <v>100</v>
      </c>
      <c r="G157" s="20">
        <v>-23.25</v>
      </c>
      <c r="H157" s="20" t="s">
        <v>652</v>
      </c>
      <c r="I157" s="20">
        <v>28.810562351189219</v>
      </c>
      <c r="J157" s="20">
        <v>8.0330000938744099</v>
      </c>
      <c r="K157" s="166">
        <f t="shared" si="8"/>
        <v>6058.8105623511892</v>
      </c>
      <c r="L157" s="166">
        <f t="shared" si="9"/>
        <v>180.45644651967461</v>
      </c>
      <c r="M157" s="143">
        <v>110</v>
      </c>
      <c r="N157" s="20">
        <v>33</v>
      </c>
      <c r="O157" s="167" t="s">
        <v>654</v>
      </c>
      <c r="P157" s="167">
        <v>6411</v>
      </c>
      <c r="Q157" s="167">
        <v>431</v>
      </c>
      <c r="R157" s="167">
        <v>430</v>
      </c>
    </row>
    <row r="158" spans="1:18" ht="17">
      <c r="A158" s="20" t="s">
        <v>626</v>
      </c>
      <c r="B158" s="20" t="s">
        <v>626</v>
      </c>
      <c r="C158" s="20">
        <v>1</v>
      </c>
      <c r="D158" s="20">
        <v>1510</v>
      </c>
      <c r="E158" s="20">
        <v>90</v>
      </c>
      <c r="F158" s="20">
        <v>0</v>
      </c>
      <c r="G158" s="20">
        <v>-29</v>
      </c>
      <c r="H158" s="20" t="s">
        <v>652</v>
      </c>
      <c r="I158" s="20">
        <v>-66.047369482987051</v>
      </c>
      <c r="J158" s="20">
        <v>28.918799999999997</v>
      </c>
      <c r="K158" s="166">
        <f t="shared" si="8"/>
        <v>1443.9526305170129</v>
      </c>
      <c r="L158" s="166">
        <f t="shared" si="9"/>
        <v>94.53198925993253</v>
      </c>
      <c r="M158" s="143" t="s">
        <v>8</v>
      </c>
      <c r="N158" s="20" t="s">
        <v>8</v>
      </c>
      <c r="O158" s="167" t="s">
        <v>654</v>
      </c>
      <c r="P158" s="167">
        <v>1347</v>
      </c>
      <c r="Q158" s="167">
        <v>185</v>
      </c>
      <c r="R158" s="167">
        <v>170</v>
      </c>
    </row>
    <row r="159" spans="1:18" ht="17">
      <c r="A159" s="20" t="s">
        <v>428</v>
      </c>
      <c r="B159" s="20" t="s">
        <v>428</v>
      </c>
      <c r="C159" s="20">
        <v>1</v>
      </c>
      <c r="D159" s="20">
        <v>2670</v>
      </c>
      <c r="E159" s="20">
        <v>150</v>
      </c>
      <c r="F159" s="20">
        <v>100</v>
      </c>
      <c r="G159" s="20">
        <v>-23.25</v>
      </c>
      <c r="H159" s="20" t="s">
        <v>652</v>
      </c>
      <c r="I159" s="20">
        <v>28.810562351189219</v>
      </c>
      <c r="J159" s="20">
        <v>8.0330000938744099</v>
      </c>
      <c r="K159" s="166">
        <f t="shared" si="8"/>
        <v>2698.8105623511892</v>
      </c>
      <c r="L159" s="166">
        <f t="shared" si="9"/>
        <v>180.45644651967461</v>
      </c>
      <c r="M159" s="143" t="s">
        <v>8</v>
      </c>
      <c r="N159" s="20" t="s">
        <v>8</v>
      </c>
      <c r="O159" s="167" t="s">
        <v>654</v>
      </c>
      <c r="P159" s="167">
        <v>2818</v>
      </c>
      <c r="Q159" s="167">
        <v>500</v>
      </c>
      <c r="R159" s="167">
        <v>468</v>
      </c>
    </row>
    <row r="160" spans="1:18" ht="17">
      <c r="A160" s="20" t="s">
        <v>592</v>
      </c>
      <c r="B160" s="20" t="s">
        <v>592</v>
      </c>
      <c r="C160" s="20">
        <v>1</v>
      </c>
      <c r="D160" s="20">
        <v>3840</v>
      </c>
      <c r="E160" s="20">
        <v>95</v>
      </c>
      <c r="F160" s="20">
        <v>100</v>
      </c>
      <c r="G160" s="20">
        <v>-23.1</v>
      </c>
      <c r="H160" s="20" t="s">
        <v>652</v>
      </c>
      <c r="I160" s="20">
        <v>31.277636806424198</v>
      </c>
      <c r="J160" s="20">
        <v>9.6395999999999997</v>
      </c>
      <c r="K160" s="166">
        <f t="shared" si="8"/>
        <v>3871.2776368064242</v>
      </c>
      <c r="L160" s="166">
        <f t="shared" si="9"/>
        <v>138.26757352380201</v>
      </c>
      <c r="M160" s="143" t="s">
        <v>8</v>
      </c>
      <c r="N160" s="20" t="s">
        <v>8</v>
      </c>
      <c r="O160" s="167" t="s">
        <v>654</v>
      </c>
      <c r="P160" s="167">
        <v>4285</v>
      </c>
      <c r="Q160" s="167">
        <v>514</v>
      </c>
      <c r="R160" s="167">
        <v>390</v>
      </c>
    </row>
    <row r="161" spans="1:18" ht="17">
      <c r="A161" s="20" t="s">
        <v>587</v>
      </c>
      <c r="B161" s="20" t="s">
        <v>587</v>
      </c>
      <c r="C161" s="20">
        <v>1</v>
      </c>
      <c r="D161" s="20">
        <v>2320</v>
      </c>
      <c r="E161" s="20">
        <v>90</v>
      </c>
      <c r="F161" s="20">
        <v>100</v>
      </c>
      <c r="G161" s="20">
        <v>-23.1</v>
      </c>
      <c r="H161" s="20" t="s">
        <v>652</v>
      </c>
      <c r="I161" s="20">
        <v>31.277636806425107</v>
      </c>
      <c r="J161" s="20">
        <v>9.6395999999999997</v>
      </c>
      <c r="K161" s="166">
        <f t="shared" si="8"/>
        <v>2351.2776368064251</v>
      </c>
      <c r="L161" s="166">
        <f t="shared" si="9"/>
        <v>134.88113985342798</v>
      </c>
      <c r="M161" s="143" t="s">
        <v>8</v>
      </c>
      <c r="N161" s="20" t="s">
        <v>8</v>
      </c>
      <c r="O161" s="167" t="s">
        <v>654</v>
      </c>
      <c r="P161" s="167">
        <v>2410</v>
      </c>
      <c r="Q161" s="167">
        <v>332</v>
      </c>
      <c r="R161" s="167">
        <v>353</v>
      </c>
    </row>
    <row r="162" spans="1:18" ht="17">
      <c r="A162" s="20" t="s">
        <v>378</v>
      </c>
      <c r="B162" s="20" t="s">
        <v>378</v>
      </c>
      <c r="C162" s="20">
        <v>1</v>
      </c>
      <c r="D162" s="20">
        <v>1310</v>
      </c>
      <c r="E162" s="20">
        <v>65</v>
      </c>
      <c r="F162" s="20">
        <v>0</v>
      </c>
      <c r="G162" s="20">
        <v>-1</v>
      </c>
      <c r="H162" s="20" t="s">
        <v>652</v>
      </c>
      <c r="I162" s="20">
        <v>390.68186471624904</v>
      </c>
      <c r="J162" s="20">
        <v>48.197999999999993</v>
      </c>
      <c r="K162" s="166">
        <f t="shared" si="8"/>
        <v>1700.681864716249</v>
      </c>
      <c r="L162" s="166">
        <f t="shared" si="9"/>
        <v>80.920004967869346</v>
      </c>
      <c r="M162" s="143">
        <v>110</v>
      </c>
      <c r="N162" s="20">
        <v>33</v>
      </c>
      <c r="O162" s="167" t="s">
        <v>654</v>
      </c>
      <c r="P162" s="167">
        <v>1202</v>
      </c>
      <c r="Q162" s="167">
        <v>200</v>
      </c>
      <c r="R162" s="167">
        <v>233</v>
      </c>
    </row>
    <row r="163" spans="1:18" ht="17">
      <c r="A163" s="20" t="s">
        <v>418</v>
      </c>
      <c r="B163" s="20" t="s">
        <v>418</v>
      </c>
      <c r="C163" s="20">
        <v>1</v>
      </c>
      <c r="D163" s="20">
        <v>2430</v>
      </c>
      <c r="E163" s="20">
        <v>90</v>
      </c>
      <c r="F163" s="20">
        <v>0</v>
      </c>
      <c r="G163" s="20">
        <v>-1</v>
      </c>
      <c r="H163" s="20" t="s">
        <v>652</v>
      </c>
      <c r="I163" s="20">
        <v>390.68186471624722</v>
      </c>
      <c r="J163" s="20">
        <v>48.197999999999993</v>
      </c>
      <c r="K163" s="166">
        <f t="shared" si="8"/>
        <v>2820.6818647162472</v>
      </c>
      <c r="L163" s="166">
        <f t="shared" si="9"/>
        <v>102.09332595228739</v>
      </c>
      <c r="M163" s="143">
        <v>110</v>
      </c>
      <c r="N163" s="20">
        <v>33</v>
      </c>
      <c r="O163" s="167" t="s">
        <v>654</v>
      </c>
      <c r="P163" s="167">
        <v>2523</v>
      </c>
      <c r="Q163" s="167">
        <v>267</v>
      </c>
      <c r="R163" s="167">
        <v>305</v>
      </c>
    </row>
    <row r="164" spans="1:18" ht="17">
      <c r="A164" s="20" t="s">
        <v>501</v>
      </c>
      <c r="B164" s="20" t="s">
        <v>501</v>
      </c>
      <c r="C164" s="20">
        <v>1</v>
      </c>
      <c r="D164" s="20">
        <v>7390</v>
      </c>
      <c r="E164" s="20">
        <v>140</v>
      </c>
      <c r="F164" s="20">
        <v>100</v>
      </c>
      <c r="G164" s="20">
        <v>-23.25</v>
      </c>
      <c r="H164" s="20" t="s">
        <v>652</v>
      </c>
      <c r="I164" s="20">
        <v>31.277636806425107</v>
      </c>
      <c r="J164" s="20">
        <v>9.6395999999999997</v>
      </c>
      <c r="K164" s="166">
        <f t="shared" si="8"/>
        <v>7421.2776368064251</v>
      </c>
      <c r="L164" s="166">
        <f t="shared" si="9"/>
        <v>172.31634248718257</v>
      </c>
      <c r="M164" s="143" t="s">
        <v>8</v>
      </c>
      <c r="N164" s="20" t="s">
        <v>8</v>
      </c>
      <c r="O164" s="167" t="s">
        <v>654</v>
      </c>
      <c r="P164" s="167">
        <v>8225</v>
      </c>
      <c r="Q164" s="167">
        <v>359</v>
      </c>
      <c r="R164" s="167">
        <v>350</v>
      </c>
    </row>
    <row r="165" spans="1:18" ht="17">
      <c r="A165" s="20" t="s">
        <v>394</v>
      </c>
      <c r="B165" s="20" t="s">
        <v>394</v>
      </c>
      <c r="C165" s="20">
        <v>1</v>
      </c>
      <c r="D165" s="20">
        <v>1610</v>
      </c>
      <c r="E165" s="20">
        <v>80</v>
      </c>
      <c r="F165" s="20">
        <v>100</v>
      </c>
      <c r="G165" s="20">
        <v>-23.25</v>
      </c>
      <c r="H165" s="20" t="s">
        <v>652</v>
      </c>
      <c r="I165" s="20">
        <v>28.810562351187855</v>
      </c>
      <c r="J165" s="20">
        <v>8.0330000938744099</v>
      </c>
      <c r="K165" s="166">
        <f t="shared" si="8"/>
        <v>1638.8105623511879</v>
      </c>
      <c r="L165" s="166">
        <f t="shared" si="9"/>
        <v>128.31418117460044</v>
      </c>
      <c r="M165" s="143" t="s">
        <v>8</v>
      </c>
      <c r="N165" s="20" t="s">
        <v>8</v>
      </c>
      <c r="O165" s="167" t="s">
        <v>654</v>
      </c>
      <c r="P165" s="167">
        <v>1530</v>
      </c>
      <c r="Q165" s="167">
        <v>289</v>
      </c>
      <c r="R165" s="167">
        <v>230</v>
      </c>
    </row>
    <row r="166" spans="1:18" ht="17">
      <c r="A166" s="20" t="s">
        <v>390</v>
      </c>
      <c r="B166" s="20" t="s">
        <v>390</v>
      </c>
      <c r="C166" s="20">
        <v>1</v>
      </c>
      <c r="D166" s="20">
        <v>1520</v>
      </c>
      <c r="E166" s="20">
        <v>90</v>
      </c>
      <c r="F166" s="20">
        <v>100</v>
      </c>
      <c r="G166" s="20">
        <v>-23.25</v>
      </c>
      <c r="H166" s="20" t="s">
        <v>652</v>
      </c>
      <c r="I166" s="20">
        <v>28.810562351190129</v>
      </c>
      <c r="J166" s="20">
        <v>8.0330000938744099</v>
      </c>
      <c r="K166" s="166">
        <f t="shared" si="8"/>
        <v>1548.8105623511901</v>
      </c>
      <c r="L166" s="166">
        <f t="shared" si="9"/>
        <v>134.77584757851901</v>
      </c>
      <c r="M166" s="143" t="s">
        <v>8</v>
      </c>
      <c r="N166" s="20" t="s">
        <v>8</v>
      </c>
      <c r="O166" s="167" t="s">
        <v>654</v>
      </c>
      <c r="P166" s="167">
        <v>1452</v>
      </c>
      <c r="Q166" s="167">
        <v>272</v>
      </c>
      <c r="R166" s="167">
        <v>275</v>
      </c>
    </row>
    <row r="167" spans="1:18" ht="17">
      <c r="A167" s="20" t="s">
        <v>593</v>
      </c>
      <c r="B167" s="20" t="s">
        <v>593</v>
      </c>
      <c r="C167" s="20">
        <v>1</v>
      </c>
      <c r="D167" s="20">
        <v>1175</v>
      </c>
      <c r="E167" s="20">
        <v>33</v>
      </c>
      <c r="F167" s="20">
        <v>100</v>
      </c>
      <c r="G167" s="20" t="s">
        <v>175</v>
      </c>
      <c r="H167" s="20" t="s">
        <v>175</v>
      </c>
      <c r="I167" s="20" t="s">
        <v>8</v>
      </c>
      <c r="J167" s="20" t="s">
        <v>8</v>
      </c>
      <c r="K167" s="166">
        <f t="shared" si="8"/>
        <v>1175</v>
      </c>
      <c r="L167" s="166">
        <f t="shared" si="9"/>
        <v>105.30432089900205</v>
      </c>
      <c r="M167" s="143" t="s">
        <v>8</v>
      </c>
      <c r="N167" s="20" t="s">
        <v>8</v>
      </c>
      <c r="O167" s="167" t="s">
        <v>654</v>
      </c>
      <c r="P167" s="167">
        <v>1094</v>
      </c>
      <c r="Q167" s="167">
        <v>205</v>
      </c>
      <c r="R167" s="167">
        <v>258</v>
      </c>
    </row>
    <row r="168" spans="1:18" ht="17">
      <c r="A168" s="20" t="s">
        <v>597</v>
      </c>
      <c r="B168" s="20" t="s">
        <v>597</v>
      </c>
      <c r="C168" s="20">
        <v>1</v>
      </c>
      <c r="D168" s="20">
        <v>1817</v>
      </c>
      <c r="E168" s="20">
        <v>29</v>
      </c>
      <c r="F168" s="20">
        <v>100</v>
      </c>
      <c r="G168" s="20" t="s">
        <v>175</v>
      </c>
      <c r="H168" s="20" t="s">
        <v>175</v>
      </c>
      <c r="I168" s="20" t="s">
        <v>8</v>
      </c>
      <c r="J168" s="20" t="s">
        <v>8</v>
      </c>
      <c r="K168" s="166">
        <f t="shared" si="8"/>
        <v>1817</v>
      </c>
      <c r="L168" s="166">
        <f t="shared" si="9"/>
        <v>104.12012293500234</v>
      </c>
      <c r="M168" s="143" t="s">
        <v>8</v>
      </c>
      <c r="N168" s="20" t="s">
        <v>8</v>
      </c>
      <c r="O168" s="167" t="s">
        <v>654</v>
      </c>
      <c r="P168" s="167">
        <v>1721</v>
      </c>
      <c r="Q168" s="167">
        <v>270</v>
      </c>
      <c r="R168" s="167">
        <v>299</v>
      </c>
    </row>
    <row r="169" spans="1:18" ht="17">
      <c r="A169" s="20" t="s">
        <v>598</v>
      </c>
      <c r="B169" s="20" t="s">
        <v>598</v>
      </c>
      <c r="C169" s="20">
        <v>1</v>
      </c>
      <c r="D169" s="20">
        <v>2452</v>
      </c>
      <c r="E169" s="20">
        <v>40</v>
      </c>
      <c r="F169" s="20">
        <v>100</v>
      </c>
      <c r="G169" s="20" t="s">
        <v>175</v>
      </c>
      <c r="H169" s="20" t="s">
        <v>175</v>
      </c>
      <c r="I169" s="20" t="s">
        <v>8</v>
      </c>
      <c r="J169" s="20" t="s">
        <v>8</v>
      </c>
      <c r="K169" s="166">
        <f t="shared" si="8"/>
        <v>2452</v>
      </c>
      <c r="L169" s="166">
        <f t="shared" si="9"/>
        <v>107.70329614269008</v>
      </c>
      <c r="M169" s="143" t="s">
        <v>8</v>
      </c>
      <c r="N169" s="20" t="s">
        <v>8</v>
      </c>
      <c r="O169" s="167" t="s">
        <v>654</v>
      </c>
      <c r="P169" s="167">
        <v>2531</v>
      </c>
      <c r="Q169" s="167">
        <v>227</v>
      </c>
      <c r="R169" s="167">
        <v>347</v>
      </c>
    </row>
    <row r="170" spans="1:18" ht="17">
      <c r="A170" s="20" t="s">
        <v>599</v>
      </c>
      <c r="B170" s="20" t="s">
        <v>599</v>
      </c>
      <c r="C170" s="20">
        <v>1</v>
      </c>
      <c r="D170" s="20">
        <v>3698</v>
      </c>
      <c r="E170" s="20">
        <v>28</v>
      </c>
      <c r="F170" s="20">
        <v>100</v>
      </c>
      <c r="G170" s="20" t="s">
        <v>175</v>
      </c>
      <c r="H170" s="20" t="s">
        <v>175</v>
      </c>
      <c r="I170" s="20" t="s">
        <v>8</v>
      </c>
      <c r="J170" s="20" t="s">
        <v>8</v>
      </c>
      <c r="K170" s="166">
        <f t="shared" si="8"/>
        <v>3698</v>
      </c>
      <c r="L170" s="166">
        <f t="shared" si="9"/>
        <v>103.84603988597736</v>
      </c>
      <c r="M170" s="143" t="s">
        <v>8</v>
      </c>
      <c r="N170" s="20" t="s">
        <v>8</v>
      </c>
      <c r="O170" s="167" t="s">
        <v>654</v>
      </c>
      <c r="P170" s="167">
        <v>4045</v>
      </c>
      <c r="Q170" s="167">
        <v>358</v>
      </c>
      <c r="R170" s="167">
        <v>318</v>
      </c>
    </row>
    <row r="171" spans="1:18" ht="17">
      <c r="A171" s="20" t="s">
        <v>372</v>
      </c>
      <c r="B171" s="20" t="s">
        <v>372</v>
      </c>
      <c r="C171" s="20">
        <v>1</v>
      </c>
      <c r="D171" s="20">
        <v>1260</v>
      </c>
      <c r="E171" s="20">
        <v>90</v>
      </c>
      <c r="F171" s="20">
        <v>0</v>
      </c>
      <c r="G171" s="20">
        <v>-1</v>
      </c>
      <c r="H171" s="20" t="s">
        <v>652</v>
      </c>
      <c r="I171" s="20">
        <v>390.68186471624949</v>
      </c>
      <c r="J171" s="20">
        <v>48.197999999999993</v>
      </c>
      <c r="K171" s="166">
        <f t="shared" si="8"/>
        <v>1650.6818647162495</v>
      </c>
      <c r="L171" s="166">
        <f t="shared" si="9"/>
        <v>102.09332595228739</v>
      </c>
      <c r="M171" s="143">
        <v>110</v>
      </c>
      <c r="N171" s="20">
        <v>33</v>
      </c>
      <c r="O171" s="167" t="s">
        <v>654</v>
      </c>
      <c r="P171" s="167">
        <v>1152</v>
      </c>
      <c r="Q171" s="167">
        <v>238</v>
      </c>
      <c r="R171" s="167">
        <v>249</v>
      </c>
    </row>
    <row r="172" spans="1:18" ht="17">
      <c r="A172" s="20" t="s">
        <v>627</v>
      </c>
      <c r="B172" s="20" t="s">
        <v>627</v>
      </c>
      <c r="C172" s="20">
        <v>1</v>
      </c>
      <c r="D172" s="20">
        <v>1260</v>
      </c>
      <c r="E172" s="20">
        <v>90</v>
      </c>
      <c r="F172" s="20">
        <v>0</v>
      </c>
      <c r="G172" s="20">
        <v>-1</v>
      </c>
      <c r="H172" s="20" t="s">
        <v>652</v>
      </c>
      <c r="I172" s="20">
        <v>390.68186471624949</v>
      </c>
      <c r="J172" s="20">
        <v>48.197999999999993</v>
      </c>
      <c r="K172" s="166">
        <f t="shared" si="8"/>
        <v>1650.6818647162495</v>
      </c>
      <c r="L172" s="166">
        <f t="shared" si="9"/>
        <v>102.09332595228739</v>
      </c>
      <c r="M172" s="143">
        <v>110</v>
      </c>
      <c r="N172" s="20">
        <v>33</v>
      </c>
      <c r="O172" s="167" t="s">
        <v>654</v>
      </c>
      <c r="P172" s="167">
        <v>1152</v>
      </c>
      <c r="Q172" s="167">
        <v>238</v>
      </c>
      <c r="R172" s="167">
        <v>249</v>
      </c>
    </row>
    <row r="173" spans="1:18" ht="17">
      <c r="A173" s="20" t="s">
        <v>468</v>
      </c>
      <c r="B173" s="20" t="s">
        <v>468</v>
      </c>
      <c r="C173" s="20">
        <v>1</v>
      </c>
      <c r="D173" s="20">
        <v>5030</v>
      </c>
      <c r="E173" s="20">
        <v>250</v>
      </c>
      <c r="F173" s="20">
        <v>0</v>
      </c>
      <c r="G173" s="20">
        <v>-1</v>
      </c>
      <c r="H173" s="20" t="s">
        <v>652</v>
      </c>
      <c r="I173" s="20">
        <v>390.68186471624813</v>
      </c>
      <c r="J173" s="20">
        <v>48.197999999999993</v>
      </c>
      <c r="K173" s="166">
        <f t="shared" si="8"/>
        <v>5420.6818647162481</v>
      </c>
      <c r="L173" s="166">
        <f t="shared" si="9"/>
        <v>254.60370618669322</v>
      </c>
      <c r="M173" s="143">
        <v>110</v>
      </c>
      <c r="N173" s="20">
        <v>33</v>
      </c>
      <c r="O173" s="167" t="s">
        <v>654</v>
      </c>
      <c r="P173" s="167">
        <v>5720</v>
      </c>
      <c r="Q173" s="167">
        <v>573</v>
      </c>
      <c r="R173" s="167">
        <v>605</v>
      </c>
    </row>
    <row r="174" spans="1:18" ht="17">
      <c r="A174" s="20" t="s">
        <v>850</v>
      </c>
      <c r="B174" s="20" t="s">
        <v>850</v>
      </c>
      <c r="C174" s="20">
        <v>1</v>
      </c>
      <c r="D174" s="20">
        <v>5790</v>
      </c>
      <c r="E174" s="20">
        <v>170</v>
      </c>
      <c r="F174" s="20">
        <v>0</v>
      </c>
      <c r="G174" s="20">
        <v>-1</v>
      </c>
      <c r="H174" s="20" t="s">
        <v>652</v>
      </c>
      <c r="I174" s="20">
        <v>390.68186471624904</v>
      </c>
      <c r="J174" s="20">
        <v>48.197999999999993</v>
      </c>
      <c r="K174" s="166">
        <f t="shared" si="8"/>
        <v>6180.681864716249</v>
      </c>
      <c r="L174" s="166">
        <f t="shared" si="9"/>
        <v>176.70044483249043</v>
      </c>
      <c r="M174" s="143">
        <v>110</v>
      </c>
      <c r="N174" s="20">
        <v>33</v>
      </c>
      <c r="O174" s="167" t="s">
        <v>654</v>
      </c>
      <c r="P174" s="167">
        <v>6542</v>
      </c>
      <c r="Q174" s="167">
        <v>437</v>
      </c>
      <c r="R174" s="167">
        <v>406</v>
      </c>
    </row>
    <row r="175" spans="1:18" ht="17">
      <c r="A175" s="20" t="s">
        <v>462</v>
      </c>
      <c r="B175" s="20" t="s">
        <v>462</v>
      </c>
      <c r="C175" s="20">
        <v>1</v>
      </c>
      <c r="D175" s="20">
        <v>5020</v>
      </c>
      <c r="E175" s="20">
        <v>175</v>
      </c>
      <c r="F175" s="20">
        <v>100</v>
      </c>
      <c r="G175" s="20">
        <v>-23.25</v>
      </c>
      <c r="H175" s="20" t="s">
        <v>652</v>
      </c>
      <c r="I175" s="20">
        <v>28.810562351190129</v>
      </c>
      <c r="J175" s="20">
        <v>8.0330000938744099</v>
      </c>
      <c r="K175" s="166">
        <f t="shared" si="8"/>
        <v>5048.8105623511901</v>
      </c>
      <c r="L175" s="166">
        <f t="shared" si="9"/>
        <v>201.71645716328698</v>
      </c>
      <c r="M175" s="143" t="s">
        <v>8</v>
      </c>
      <c r="N175" s="20" t="s">
        <v>8</v>
      </c>
      <c r="O175" s="167" t="s">
        <v>654</v>
      </c>
      <c r="P175" s="167">
        <v>5802</v>
      </c>
      <c r="Q175" s="167">
        <v>473</v>
      </c>
      <c r="R175" s="167">
        <v>475</v>
      </c>
    </row>
    <row r="176" spans="1:18" ht="17">
      <c r="A176" s="20" t="s">
        <v>457</v>
      </c>
      <c r="B176" s="20" t="s">
        <v>457</v>
      </c>
      <c r="C176" s="20">
        <v>1</v>
      </c>
      <c r="D176" s="20">
        <v>4710</v>
      </c>
      <c r="E176" s="20">
        <v>120</v>
      </c>
      <c r="F176" s="20">
        <v>100</v>
      </c>
      <c r="G176" s="20">
        <v>-23.25</v>
      </c>
      <c r="H176" s="20" t="s">
        <v>652</v>
      </c>
      <c r="I176" s="20">
        <v>28.81056235118831</v>
      </c>
      <c r="J176" s="20">
        <v>8.0330000938744099</v>
      </c>
      <c r="K176" s="166">
        <f t="shared" si="8"/>
        <v>4738.8105623511883</v>
      </c>
      <c r="L176" s="166">
        <f t="shared" si="9"/>
        <v>156.41140971971382</v>
      </c>
      <c r="M176" s="143" t="s">
        <v>8</v>
      </c>
      <c r="N176" s="20" t="s">
        <v>8</v>
      </c>
      <c r="O176" s="167" t="s">
        <v>654</v>
      </c>
      <c r="P176" s="167">
        <v>5445</v>
      </c>
      <c r="Q176" s="167">
        <v>441</v>
      </c>
      <c r="R176" s="167">
        <v>468</v>
      </c>
    </row>
    <row r="177" spans="1:18" ht="17">
      <c r="A177" s="20" t="s">
        <v>382</v>
      </c>
      <c r="B177" s="20" t="s">
        <v>382</v>
      </c>
      <c r="C177" s="20">
        <v>1</v>
      </c>
      <c r="D177" s="20">
        <v>1390</v>
      </c>
      <c r="E177" s="20">
        <v>70</v>
      </c>
      <c r="F177" s="20">
        <v>100</v>
      </c>
      <c r="G177" s="20">
        <v>-23.25</v>
      </c>
      <c r="H177" s="20" t="s">
        <v>652</v>
      </c>
      <c r="I177" s="20">
        <v>28.810562351188537</v>
      </c>
      <c r="J177" s="20">
        <v>8.0330000938744099</v>
      </c>
      <c r="K177" s="166">
        <f t="shared" si="8"/>
        <v>1418.8105623511885</v>
      </c>
      <c r="L177" s="166">
        <f t="shared" si="9"/>
        <v>122.32959204750168</v>
      </c>
      <c r="M177" s="143" t="s">
        <v>8</v>
      </c>
      <c r="N177" s="20" t="s">
        <v>8</v>
      </c>
      <c r="O177" s="167" t="s">
        <v>654</v>
      </c>
      <c r="P177" s="167">
        <v>1324</v>
      </c>
      <c r="Q177" s="167">
        <v>243</v>
      </c>
      <c r="R177" s="167">
        <v>264</v>
      </c>
    </row>
    <row r="178" spans="1:18" ht="17">
      <c r="A178" s="20" t="s">
        <v>397</v>
      </c>
      <c r="B178" s="20" t="s">
        <v>397</v>
      </c>
      <c r="C178" s="20">
        <v>1</v>
      </c>
      <c r="D178" s="20">
        <v>1680</v>
      </c>
      <c r="E178" s="20">
        <v>90</v>
      </c>
      <c r="F178" s="20">
        <v>0</v>
      </c>
      <c r="G178" s="20">
        <v>-1</v>
      </c>
      <c r="H178" s="20" t="s">
        <v>652</v>
      </c>
      <c r="I178" s="20">
        <v>390.68186471624904</v>
      </c>
      <c r="J178" s="20">
        <v>48.197999999999993</v>
      </c>
      <c r="K178" s="166">
        <f t="shared" si="8"/>
        <v>2070.681864716249</v>
      </c>
      <c r="L178" s="166">
        <f t="shared" si="9"/>
        <v>102.09332595228739</v>
      </c>
      <c r="M178" s="143">
        <v>110</v>
      </c>
      <c r="N178" s="20">
        <v>33</v>
      </c>
      <c r="O178" s="167" t="s">
        <v>654</v>
      </c>
      <c r="P178" s="167">
        <v>1599</v>
      </c>
      <c r="Q178" s="167">
        <v>278</v>
      </c>
      <c r="R178" s="167">
        <v>271</v>
      </c>
    </row>
    <row r="179" spans="1:18" ht="17">
      <c r="A179" s="20" t="s">
        <v>623</v>
      </c>
      <c r="B179" s="20" t="s">
        <v>623</v>
      </c>
      <c r="C179" s="20">
        <v>1</v>
      </c>
      <c r="D179" s="20">
        <v>8050</v>
      </c>
      <c r="E179" s="20">
        <v>200</v>
      </c>
      <c r="F179" s="20">
        <v>100</v>
      </c>
      <c r="G179" s="20">
        <v>-1</v>
      </c>
      <c r="H179" s="20" t="s">
        <v>652</v>
      </c>
      <c r="I179" s="20">
        <v>390.68186471624904</v>
      </c>
      <c r="J179" s="20">
        <v>48.197999999999993</v>
      </c>
      <c r="K179" s="166">
        <f t="shared" si="8"/>
        <v>8440.681864716249</v>
      </c>
      <c r="L179" s="166">
        <f t="shared" si="9"/>
        <v>228.74231616384407</v>
      </c>
      <c r="M179" s="143">
        <v>110</v>
      </c>
      <c r="N179" s="20">
        <v>33</v>
      </c>
      <c r="O179" s="167" t="s">
        <v>654</v>
      </c>
      <c r="P179" s="167">
        <v>8966</v>
      </c>
      <c r="Q179" s="167">
        <v>541</v>
      </c>
      <c r="R179" s="167">
        <v>576</v>
      </c>
    </row>
    <row r="180" spans="1:18" ht="17">
      <c r="A180" s="20" t="s">
        <v>466</v>
      </c>
      <c r="B180" s="20" t="s">
        <v>466</v>
      </c>
      <c r="C180" s="20">
        <v>1</v>
      </c>
      <c r="D180" s="20">
        <v>5020</v>
      </c>
      <c r="E180" s="20">
        <v>150</v>
      </c>
      <c r="F180" s="20">
        <v>0</v>
      </c>
      <c r="G180" s="20">
        <v>-1</v>
      </c>
      <c r="H180" s="20" t="s">
        <v>652</v>
      </c>
      <c r="I180" s="20">
        <v>390.68186471624904</v>
      </c>
      <c r="J180" s="20">
        <v>48.197999999999993</v>
      </c>
      <c r="K180" s="166">
        <f t="shared" si="8"/>
        <v>5410.681864716249</v>
      </c>
      <c r="L180" s="166">
        <f t="shared" si="9"/>
        <v>157.55331543322089</v>
      </c>
      <c r="M180" s="143">
        <v>110</v>
      </c>
      <c r="N180" s="20">
        <v>33</v>
      </c>
      <c r="O180" s="167" t="s">
        <v>654</v>
      </c>
      <c r="P180" s="167">
        <v>5711</v>
      </c>
      <c r="Q180" s="167">
        <v>380</v>
      </c>
      <c r="R180" s="167">
        <v>382</v>
      </c>
    </row>
    <row r="181" spans="1:18" ht="17">
      <c r="A181" s="20" t="s">
        <v>470</v>
      </c>
      <c r="B181" s="20" t="s">
        <v>470</v>
      </c>
      <c r="C181" s="20">
        <v>1</v>
      </c>
      <c r="D181" s="20">
        <v>5440</v>
      </c>
      <c r="E181" s="20">
        <v>120</v>
      </c>
      <c r="F181" s="20">
        <v>0</v>
      </c>
      <c r="G181" s="20">
        <v>-1</v>
      </c>
      <c r="H181" s="20" t="s">
        <v>652</v>
      </c>
      <c r="I181" s="20">
        <v>390.68186471624995</v>
      </c>
      <c r="J181" s="20">
        <v>48.197999999999993</v>
      </c>
      <c r="K181" s="166">
        <f t="shared" si="8"/>
        <v>5830.6818647162499</v>
      </c>
      <c r="L181" s="166">
        <f t="shared" si="9"/>
        <v>129.317621397859</v>
      </c>
      <c r="M181" s="143">
        <v>110</v>
      </c>
      <c r="N181" s="20">
        <v>33</v>
      </c>
      <c r="O181" s="167" t="s">
        <v>654</v>
      </c>
      <c r="P181" s="167">
        <v>6158</v>
      </c>
      <c r="Q181" s="167">
        <v>325</v>
      </c>
      <c r="R181" s="167">
        <v>311</v>
      </c>
    </row>
    <row r="182" spans="1:18" ht="17">
      <c r="A182" s="20" t="s">
        <v>477</v>
      </c>
      <c r="B182" s="20" t="s">
        <v>477</v>
      </c>
      <c r="C182" s="20">
        <v>1</v>
      </c>
      <c r="D182" s="20">
        <v>5920</v>
      </c>
      <c r="E182" s="20">
        <v>300</v>
      </c>
      <c r="F182" s="20">
        <v>0</v>
      </c>
      <c r="G182" s="20">
        <v>-1</v>
      </c>
      <c r="H182" s="20" t="s">
        <v>652</v>
      </c>
      <c r="I182" s="20">
        <v>390.68186471624904</v>
      </c>
      <c r="J182" s="20">
        <v>48.197999999999993</v>
      </c>
      <c r="K182" s="166">
        <f t="shared" si="8"/>
        <v>6310.681864716249</v>
      </c>
      <c r="L182" s="166">
        <f t="shared" si="9"/>
        <v>303.84707864977082</v>
      </c>
      <c r="M182" s="143">
        <v>110</v>
      </c>
      <c r="N182" s="20">
        <v>33</v>
      </c>
      <c r="O182" s="167" t="s">
        <v>654</v>
      </c>
      <c r="P182" s="167">
        <v>6686</v>
      </c>
      <c r="Q182" s="167">
        <v>648</v>
      </c>
      <c r="R182" s="167">
        <v>678</v>
      </c>
    </row>
    <row r="183" spans="1:18" ht="17">
      <c r="A183" s="20" t="s">
        <v>496</v>
      </c>
      <c r="B183" s="20" t="s">
        <v>496</v>
      </c>
      <c r="C183" s="20">
        <v>1</v>
      </c>
      <c r="D183" s="20">
        <v>6550</v>
      </c>
      <c r="E183" s="20">
        <v>150</v>
      </c>
      <c r="F183" s="20">
        <v>0</v>
      </c>
      <c r="G183" s="20">
        <v>-1</v>
      </c>
      <c r="H183" s="20" t="s">
        <v>652</v>
      </c>
      <c r="I183" s="20">
        <v>390.68186471624813</v>
      </c>
      <c r="J183" s="20">
        <v>48.197999999999993</v>
      </c>
      <c r="K183" s="166">
        <f t="shared" si="8"/>
        <v>6940.6818647162481</v>
      </c>
      <c r="L183" s="166">
        <f t="shared" si="9"/>
        <v>157.55331543322089</v>
      </c>
      <c r="M183" s="143">
        <v>110</v>
      </c>
      <c r="N183" s="20">
        <v>33</v>
      </c>
      <c r="O183" s="167" t="s">
        <v>654</v>
      </c>
      <c r="P183" s="167">
        <v>7352</v>
      </c>
      <c r="Q183" s="167">
        <v>323</v>
      </c>
      <c r="R183" s="167">
        <v>363</v>
      </c>
    </row>
    <row r="184" spans="1:18" ht="17">
      <c r="A184" s="20" t="s">
        <v>502</v>
      </c>
      <c r="B184" s="20" t="s">
        <v>502</v>
      </c>
      <c r="C184" s="20">
        <v>1</v>
      </c>
      <c r="D184" s="20">
        <v>7890</v>
      </c>
      <c r="E184" s="20">
        <v>190</v>
      </c>
      <c r="F184" s="20">
        <v>0</v>
      </c>
      <c r="G184" s="20">
        <v>-27.1</v>
      </c>
      <c r="H184" s="20" t="s">
        <v>652</v>
      </c>
      <c r="I184" s="20">
        <v>-34.64101141853007</v>
      </c>
      <c r="J184" s="20">
        <v>27.312199999999997</v>
      </c>
      <c r="K184" s="166">
        <f t="shared" si="8"/>
        <v>7855.3589885814699</v>
      </c>
      <c r="L184" s="166">
        <f t="shared" si="9"/>
        <v>191.95300536548001</v>
      </c>
      <c r="M184" s="143" t="s">
        <v>8</v>
      </c>
      <c r="N184" s="20" t="s">
        <v>8</v>
      </c>
      <c r="O184" s="167" t="s">
        <v>654</v>
      </c>
      <c r="P184" s="167">
        <v>8719</v>
      </c>
      <c r="Q184" s="167">
        <v>551</v>
      </c>
      <c r="R184" s="167">
        <v>495</v>
      </c>
    </row>
    <row r="185" spans="1:18" ht="17">
      <c r="A185" s="20" t="s">
        <v>459</v>
      </c>
      <c r="B185" s="20" t="s">
        <v>459</v>
      </c>
      <c r="C185" s="20">
        <v>1</v>
      </c>
      <c r="D185" s="20">
        <v>4940</v>
      </c>
      <c r="E185" s="20">
        <v>250</v>
      </c>
      <c r="F185" s="20">
        <v>0</v>
      </c>
      <c r="G185" s="20">
        <v>-1</v>
      </c>
      <c r="H185" s="20" t="s">
        <v>652</v>
      </c>
      <c r="I185" s="20">
        <v>390.68186471624995</v>
      </c>
      <c r="J185" s="20">
        <v>48.197999999999993</v>
      </c>
      <c r="K185" s="166">
        <f t="shared" si="8"/>
        <v>5330.6818647162499</v>
      </c>
      <c r="L185" s="166">
        <f t="shared" si="9"/>
        <v>254.60370618669322</v>
      </c>
      <c r="M185" s="143">
        <v>110</v>
      </c>
      <c r="N185" s="20">
        <v>33</v>
      </c>
      <c r="O185" s="167" t="s">
        <v>654</v>
      </c>
      <c r="P185" s="167">
        <v>5620</v>
      </c>
      <c r="Q185" s="167">
        <v>582</v>
      </c>
      <c r="R185" s="167">
        <v>623</v>
      </c>
    </row>
    <row r="186" spans="1:18" ht="17">
      <c r="A186" s="20" t="s">
        <v>544</v>
      </c>
      <c r="B186" s="20" t="s">
        <v>544</v>
      </c>
      <c r="C186" s="20">
        <v>1</v>
      </c>
      <c r="D186" s="20">
        <v>3450</v>
      </c>
      <c r="E186" s="20">
        <v>30</v>
      </c>
      <c r="F186" s="20">
        <v>0</v>
      </c>
      <c r="G186" s="20" t="s">
        <v>175</v>
      </c>
      <c r="H186" s="20" t="s">
        <v>175</v>
      </c>
      <c r="I186" s="20" t="s">
        <v>8</v>
      </c>
      <c r="J186" s="20" t="s">
        <v>8</v>
      </c>
      <c r="K186" s="166">
        <f t="shared" si="8"/>
        <v>3450</v>
      </c>
      <c r="L186" s="166">
        <f t="shared" si="9"/>
        <v>30</v>
      </c>
      <c r="M186" s="143">
        <v>110</v>
      </c>
      <c r="N186" s="20">
        <v>33</v>
      </c>
      <c r="O186" s="167" t="s">
        <v>654</v>
      </c>
      <c r="P186" s="167">
        <v>3286</v>
      </c>
      <c r="Q186" s="167">
        <v>161</v>
      </c>
      <c r="R186" s="167">
        <v>173</v>
      </c>
    </row>
    <row r="187" spans="1:18" ht="17">
      <c r="A187" s="20" t="s">
        <v>546</v>
      </c>
      <c r="B187" s="20" t="s">
        <v>546</v>
      </c>
      <c r="C187" s="20">
        <v>1</v>
      </c>
      <c r="D187" s="20">
        <v>5090</v>
      </c>
      <c r="E187" s="20">
        <v>30</v>
      </c>
      <c r="F187" s="20">
        <v>0</v>
      </c>
      <c r="G187" s="20" t="s">
        <v>175</v>
      </c>
      <c r="H187" s="20" t="s">
        <v>175</v>
      </c>
      <c r="I187" s="20" t="s">
        <v>8</v>
      </c>
      <c r="J187" s="20" t="s">
        <v>8</v>
      </c>
      <c r="K187" s="166">
        <f t="shared" si="8"/>
        <v>5090</v>
      </c>
      <c r="L187" s="166">
        <f t="shared" si="9"/>
        <v>30</v>
      </c>
      <c r="M187" s="143">
        <v>110</v>
      </c>
      <c r="N187" s="20">
        <v>33</v>
      </c>
      <c r="O187" s="167" t="s">
        <v>654</v>
      </c>
      <c r="P187" s="167">
        <v>5373</v>
      </c>
      <c r="Q187" s="167">
        <v>180</v>
      </c>
      <c r="R187" s="167">
        <v>158</v>
      </c>
    </row>
    <row r="188" spans="1:18" ht="17">
      <c r="A188" s="20" t="s">
        <v>547</v>
      </c>
      <c r="B188" s="20" t="s">
        <v>547</v>
      </c>
      <c r="C188" s="20">
        <v>1</v>
      </c>
      <c r="D188" s="20">
        <v>7940</v>
      </c>
      <c r="E188" s="20">
        <v>30</v>
      </c>
      <c r="F188" s="20">
        <v>0</v>
      </c>
      <c r="G188" s="20" t="s">
        <v>175</v>
      </c>
      <c r="H188" s="20" t="s">
        <v>175</v>
      </c>
      <c r="I188" s="20" t="s">
        <v>8</v>
      </c>
      <c r="J188" s="20" t="s">
        <v>8</v>
      </c>
      <c r="K188" s="166">
        <f t="shared" si="8"/>
        <v>7940</v>
      </c>
      <c r="L188" s="166">
        <f t="shared" si="9"/>
        <v>30</v>
      </c>
      <c r="M188" s="143">
        <v>110</v>
      </c>
      <c r="N188" s="20">
        <v>33</v>
      </c>
      <c r="O188" s="167" t="s">
        <v>654</v>
      </c>
      <c r="P188" s="167">
        <v>8345</v>
      </c>
      <c r="Q188" s="167">
        <v>153</v>
      </c>
      <c r="R188" s="167">
        <v>160</v>
      </c>
    </row>
    <row r="189" spans="1:18" ht="17">
      <c r="A189" s="20" t="s">
        <v>548</v>
      </c>
      <c r="B189" s="20" t="s">
        <v>548</v>
      </c>
      <c r="C189" s="20">
        <v>1</v>
      </c>
      <c r="D189" s="20">
        <v>7820</v>
      </c>
      <c r="E189" s="20">
        <v>30</v>
      </c>
      <c r="F189" s="20">
        <v>0</v>
      </c>
      <c r="G189" s="20" t="s">
        <v>175</v>
      </c>
      <c r="H189" s="20" t="s">
        <v>175</v>
      </c>
      <c r="I189" s="20" t="s">
        <v>8</v>
      </c>
      <c r="J189" s="20" t="s">
        <v>8</v>
      </c>
      <c r="K189" s="166">
        <f t="shared" si="8"/>
        <v>7820</v>
      </c>
      <c r="L189" s="166">
        <f t="shared" si="9"/>
        <v>30</v>
      </c>
      <c r="M189" s="143">
        <v>110</v>
      </c>
      <c r="N189" s="20">
        <v>33</v>
      </c>
      <c r="O189" s="167" t="s">
        <v>654</v>
      </c>
      <c r="P189" s="167">
        <v>8224</v>
      </c>
      <c r="Q189" s="167">
        <v>140</v>
      </c>
      <c r="R189" s="167">
        <v>173</v>
      </c>
    </row>
    <row r="190" spans="1:18" ht="17">
      <c r="A190" s="20" t="s">
        <v>868</v>
      </c>
      <c r="B190" s="20" t="s">
        <v>868</v>
      </c>
      <c r="C190" s="20">
        <v>1</v>
      </c>
      <c r="D190" s="20">
        <v>1915</v>
      </c>
      <c r="E190" s="20">
        <v>200</v>
      </c>
      <c r="F190" s="20">
        <v>0</v>
      </c>
      <c r="G190" s="20" t="s">
        <v>175</v>
      </c>
      <c r="H190" s="20" t="s">
        <v>175</v>
      </c>
      <c r="I190" s="20" t="s">
        <v>8</v>
      </c>
      <c r="J190" s="20" t="s">
        <v>8</v>
      </c>
      <c r="K190" s="166">
        <f t="shared" si="8"/>
        <v>1915</v>
      </c>
      <c r="L190" s="166">
        <f t="shared" si="9"/>
        <v>200</v>
      </c>
      <c r="M190" s="143" t="s">
        <v>8</v>
      </c>
      <c r="N190" s="20" t="s">
        <v>8</v>
      </c>
      <c r="O190" s="167" t="s">
        <v>654</v>
      </c>
      <c r="P190" s="167">
        <v>500</v>
      </c>
      <c r="Q190" s="167">
        <v>30</v>
      </c>
      <c r="R190" s="167">
        <v>30</v>
      </c>
    </row>
    <row r="191" spans="1:18" ht="17">
      <c r="A191" s="20" t="s">
        <v>869</v>
      </c>
      <c r="B191" s="20" t="s">
        <v>869</v>
      </c>
      <c r="C191" s="20">
        <v>1</v>
      </c>
      <c r="D191" s="20">
        <v>2065</v>
      </c>
      <c r="E191" s="20">
        <v>180</v>
      </c>
      <c r="F191" s="20">
        <v>0</v>
      </c>
      <c r="G191" s="20" t="s">
        <v>175</v>
      </c>
      <c r="H191" s="20" t="s">
        <v>175</v>
      </c>
      <c r="I191" s="20" t="s">
        <v>8</v>
      </c>
      <c r="J191" s="20" t="s">
        <v>8</v>
      </c>
      <c r="K191" s="166">
        <f t="shared" si="8"/>
        <v>2065</v>
      </c>
      <c r="L191" s="166">
        <f t="shared" si="9"/>
        <v>180</v>
      </c>
      <c r="M191" s="143" t="s">
        <v>8</v>
      </c>
      <c r="N191" s="20" t="s">
        <v>8</v>
      </c>
      <c r="O191" s="167" t="s">
        <v>654</v>
      </c>
      <c r="P191" s="167">
        <v>1390</v>
      </c>
      <c r="Q191" s="167">
        <v>90</v>
      </c>
      <c r="R191" s="167">
        <v>90</v>
      </c>
    </row>
    <row r="192" spans="1:18" ht="17">
      <c r="A192" s="20" t="s">
        <v>870</v>
      </c>
      <c r="B192" s="20" t="s">
        <v>870</v>
      </c>
      <c r="C192" s="20">
        <v>1</v>
      </c>
      <c r="D192" s="20">
        <v>2355</v>
      </c>
      <c r="E192" s="20">
        <v>150</v>
      </c>
      <c r="F192" s="20">
        <v>0</v>
      </c>
      <c r="G192" s="20" t="s">
        <v>175</v>
      </c>
      <c r="H192" s="20" t="s">
        <v>175</v>
      </c>
      <c r="I192" s="20" t="s">
        <v>8</v>
      </c>
      <c r="J192" s="20" t="s">
        <v>8</v>
      </c>
      <c r="K192" s="166">
        <f t="shared" si="8"/>
        <v>2355</v>
      </c>
      <c r="L192" s="166">
        <f t="shared" si="9"/>
        <v>150</v>
      </c>
      <c r="M192" s="143" t="s">
        <v>8</v>
      </c>
      <c r="N192" s="20" t="s">
        <v>8</v>
      </c>
      <c r="O192" s="167" t="s">
        <v>654</v>
      </c>
      <c r="P192" s="167">
        <v>3150</v>
      </c>
      <c r="Q192" s="167">
        <v>160</v>
      </c>
      <c r="R192" s="167">
        <v>160</v>
      </c>
    </row>
    <row r="193" spans="1:18" ht="17">
      <c r="A193" s="20" t="s">
        <v>871</v>
      </c>
      <c r="B193" s="20" t="s">
        <v>871</v>
      </c>
      <c r="C193" s="20">
        <v>1</v>
      </c>
      <c r="D193" s="20">
        <v>2955</v>
      </c>
      <c r="E193" s="20">
        <v>160</v>
      </c>
      <c r="F193" s="20">
        <v>0</v>
      </c>
      <c r="G193" s="20" t="s">
        <v>175</v>
      </c>
      <c r="H193" s="20" t="s">
        <v>175</v>
      </c>
      <c r="I193" s="20" t="s">
        <v>8</v>
      </c>
      <c r="J193" s="20" t="s">
        <v>8</v>
      </c>
      <c r="K193" s="166">
        <f t="shared" si="8"/>
        <v>2955</v>
      </c>
      <c r="L193" s="166">
        <f t="shared" si="9"/>
        <v>160</v>
      </c>
      <c r="M193" s="143" t="s">
        <v>8</v>
      </c>
      <c r="N193" s="20" t="s">
        <v>8</v>
      </c>
      <c r="O193" s="167" t="s">
        <v>654</v>
      </c>
      <c r="P193" s="167">
        <v>2330</v>
      </c>
      <c r="Q193" s="167">
        <v>130</v>
      </c>
      <c r="R193" s="167">
        <v>130</v>
      </c>
    </row>
    <row r="194" spans="1:18" ht="17">
      <c r="A194" s="20" t="s">
        <v>872</v>
      </c>
      <c r="B194" s="20" t="s">
        <v>872</v>
      </c>
      <c r="C194" s="20">
        <v>1</v>
      </c>
      <c r="D194" s="20">
        <v>3681</v>
      </c>
      <c r="E194" s="20">
        <v>94</v>
      </c>
      <c r="F194" s="20">
        <v>0</v>
      </c>
      <c r="G194" s="20" t="s">
        <v>175</v>
      </c>
      <c r="H194" s="20" t="s">
        <v>175</v>
      </c>
      <c r="I194" s="20" t="s">
        <v>8</v>
      </c>
      <c r="J194" s="20" t="s">
        <v>8</v>
      </c>
      <c r="K194" s="166">
        <f t="shared" si="8"/>
        <v>3681</v>
      </c>
      <c r="L194" s="166">
        <f t="shared" si="9"/>
        <v>94</v>
      </c>
      <c r="M194" s="143" t="s">
        <v>8</v>
      </c>
      <c r="N194" s="20" t="s">
        <v>8</v>
      </c>
      <c r="O194" s="167" t="s">
        <v>654</v>
      </c>
      <c r="P194" s="167">
        <v>3760</v>
      </c>
      <c r="Q194" s="167">
        <v>200</v>
      </c>
      <c r="R194" s="167">
        <v>200</v>
      </c>
    </row>
    <row r="195" spans="1:18" ht="17">
      <c r="A195" s="20" t="s">
        <v>873</v>
      </c>
      <c r="B195" s="20" t="s">
        <v>873</v>
      </c>
      <c r="C195" s="20">
        <v>1</v>
      </c>
      <c r="D195" s="20">
        <v>5185</v>
      </c>
      <c r="E195" s="20">
        <v>115</v>
      </c>
      <c r="F195" s="20">
        <v>0</v>
      </c>
      <c r="G195" s="20" t="s">
        <v>175</v>
      </c>
      <c r="H195" s="20" t="s">
        <v>175</v>
      </c>
      <c r="I195" s="20" t="s">
        <v>8</v>
      </c>
      <c r="J195" s="20" t="s">
        <v>8</v>
      </c>
      <c r="K195" s="166">
        <f t="shared" si="8"/>
        <v>5185</v>
      </c>
      <c r="L195" s="166">
        <f t="shared" si="9"/>
        <v>115</v>
      </c>
      <c r="M195" s="143" t="s">
        <v>8</v>
      </c>
      <c r="N195" s="20" t="s">
        <v>8</v>
      </c>
      <c r="O195" s="167" t="s">
        <v>654</v>
      </c>
      <c r="P195" s="167">
        <v>3820</v>
      </c>
      <c r="Q195" s="167">
        <v>190</v>
      </c>
      <c r="R195" s="167">
        <v>190</v>
      </c>
    </row>
    <row r="196" spans="1:18" ht="17">
      <c r="A196" s="20" t="s">
        <v>874</v>
      </c>
      <c r="B196" s="20" t="s">
        <v>874</v>
      </c>
      <c r="C196" s="20">
        <v>1</v>
      </c>
      <c r="D196" s="20">
        <v>5530</v>
      </c>
      <c r="E196" s="20">
        <v>180</v>
      </c>
      <c r="F196" s="20">
        <v>0</v>
      </c>
      <c r="G196" s="20" t="s">
        <v>175</v>
      </c>
      <c r="H196" s="20" t="s">
        <v>175</v>
      </c>
      <c r="I196" s="20" t="s">
        <v>8</v>
      </c>
      <c r="J196" s="20" t="s">
        <v>8</v>
      </c>
      <c r="K196" s="166">
        <f t="shared" si="8"/>
        <v>5530</v>
      </c>
      <c r="L196" s="166">
        <f t="shared" si="9"/>
        <v>180</v>
      </c>
      <c r="M196" s="143" t="s">
        <v>8</v>
      </c>
      <c r="N196" s="20" t="s">
        <v>8</v>
      </c>
      <c r="O196" s="167" t="s">
        <v>654</v>
      </c>
      <c r="P196" s="167">
        <v>4510</v>
      </c>
      <c r="Q196" s="167">
        <v>240</v>
      </c>
      <c r="R196" s="167">
        <v>240</v>
      </c>
    </row>
    <row r="197" spans="1:18" ht="17">
      <c r="A197" s="20" t="s">
        <v>875</v>
      </c>
      <c r="B197" s="20" t="s">
        <v>875</v>
      </c>
      <c r="C197" s="20">
        <v>1</v>
      </c>
      <c r="D197" s="20">
        <v>6380</v>
      </c>
      <c r="E197" s="20">
        <v>135</v>
      </c>
      <c r="F197" s="20">
        <v>0</v>
      </c>
      <c r="G197" s="20" t="s">
        <v>175</v>
      </c>
      <c r="H197" s="20" t="s">
        <v>175</v>
      </c>
      <c r="I197" s="20" t="s">
        <v>8</v>
      </c>
      <c r="J197" s="20" t="s">
        <v>8</v>
      </c>
      <c r="K197" s="166">
        <f t="shared" si="8"/>
        <v>6380</v>
      </c>
      <c r="L197" s="166">
        <f t="shared" si="9"/>
        <v>135</v>
      </c>
      <c r="M197" s="143" t="s">
        <v>8</v>
      </c>
      <c r="N197" s="20" t="s">
        <v>8</v>
      </c>
      <c r="O197" s="167" t="s">
        <v>654</v>
      </c>
      <c r="P197" s="167">
        <v>5200</v>
      </c>
      <c r="Q197" s="167">
        <v>300</v>
      </c>
      <c r="R197" s="167">
        <v>300</v>
      </c>
    </row>
    <row r="198" spans="1:18" ht="17">
      <c r="A198" s="20" t="s">
        <v>876</v>
      </c>
      <c r="B198" s="20" t="s">
        <v>876</v>
      </c>
      <c r="C198" s="20">
        <v>1</v>
      </c>
      <c r="D198" s="20">
        <v>6450</v>
      </c>
      <c r="E198" s="20">
        <v>180</v>
      </c>
      <c r="F198" s="20">
        <v>0</v>
      </c>
      <c r="G198" s="20" t="s">
        <v>175</v>
      </c>
      <c r="H198" s="20" t="s">
        <v>175</v>
      </c>
      <c r="I198" s="20" t="s">
        <v>8</v>
      </c>
      <c r="J198" s="20" t="s">
        <v>8</v>
      </c>
      <c r="K198" s="166">
        <f t="shared" si="8"/>
        <v>6450</v>
      </c>
      <c r="L198" s="166">
        <f t="shared" si="9"/>
        <v>180</v>
      </c>
      <c r="M198" s="143" t="s">
        <v>8</v>
      </c>
      <c r="N198" s="20" t="s">
        <v>8</v>
      </c>
      <c r="O198" s="167" t="s">
        <v>654</v>
      </c>
      <c r="P198" s="167">
        <v>4480</v>
      </c>
      <c r="Q198" s="167">
        <v>230</v>
      </c>
      <c r="R198" s="167">
        <v>230</v>
      </c>
    </row>
    <row r="199" spans="1:18" ht="17">
      <c r="A199" s="20" t="s">
        <v>877</v>
      </c>
      <c r="B199" s="20" t="s">
        <v>877</v>
      </c>
      <c r="C199" s="20">
        <v>1</v>
      </c>
      <c r="D199" s="20">
        <v>7000</v>
      </c>
      <c r="E199" s="20">
        <v>155</v>
      </c>
      <c r="F199" s="20">
        <v>0</v>
      </c>
      <c r="G199" s="20" t="s">
        <v>175</v>
      </c>
      <c r="H199" s="20" t="s">
        <v>175</v>
      </c>
      <c r="I199" s="20" t="s">
        <v>8</v>
      </c>
      <c r="J199" s="20" t="s">
        <v>8</v>
      </c>
      <c r="K199" s="166">
        <f t="shared" si="8"/>
        <v>7000</v>
      </c>
      <c r="L199" s="166">
        <f t="shared" si="9"/>
        <v>155</v>
      </c>
      <c r="M199" s="143" t="s">
        <v>8</v>
      </c>
      <c r="N199" s="20" t="s">
        <v>8</v>
      </c>
      <c r="O199" s="167" t="s">
        <v>654</v>
      </c>
      <c r="P199" s="167">
        <v>7700</v>
      </c>
      <c r="Q199" s="167">
        <v>400</v>
      </c>
      <c r="R199" s="167">
        <v>400</v>
      </c>
    </row>
    <row r="200" spans="1:18" ht="17">
      <c r="A200" s="20" t="s">
        <v>878</v>
      </c>
      <c r="B200" s="20" t="s">
        <v>878</v>
      </c>
      <c r="C200" s="20">
        <v>1</v>
      </c>
      <c r="D200" s="20">
        <v>7570</v>
      </c>
      <c r="E200" s="20">
        <v>180</v>
      </c>
      <c r="F200" s="20">
        <v>0</v>
      </c>
      <c r="G200" s="20" t="s">
        <v>175</v>
      </c>
      <c r="H200" s="20" t="s">
        <v>175</v>
      </c>
      <c r="I200" s="20" t="s">
        <v>8</v>
      </c>
      <c r="J200" s="20" t="s">
        <v>8</v>
      </c>
      <c r="K200" s="166">
        <f t="shared" si="8"/>
        <v>7570</v>
      </c>
      <c r="L200" s="166">
        <f t="shared" si="9"/>
        <v>180</v>
      </c>
      <c r="M200" s="143" t="s">
        <v>8</v>
      </c>
      <c r="N200" s="20" t="s">
        <v>8</v>
      </c>
      <c r="O200" s="167" t="s">
        <v>654</v>
      </c>
      <c r="P200" s="167">
        <v>7400</v>
      </c>
      <c r="Q200" s="167">
        <v>400</v>
      </c>
      <c r="R200" s="167">
        <v>400</v>
      </c>
    </row>
    <row r="201" spans="1:18" ht="17">
      <c r="A201" s="20" t="s">
        <v>879</v>
      </c>
      <c r="B201" s="20" t="s">
        <v>879</v>
      </c>
      <c r="C201" s="20">
        <v>1</v>
      </c>
      <c r="D201" s="20">
        <v>8640</v>
      </c>
      <c r="E201" s="20">
        <v>240</v>
      </c>
      <c r="F201" s="20">
        <v>0</v>
      </c>
      <c r="G201" s="20" t="s">
        <v>175</v>
      </c>
      <c r="H201" s="20" t="s">
        <v>175</v>
      </c>
      <c r="I201" s="20" t="s">
        <v>8</v>
      </c>
      <c r="J201" s="20" t="s">
        <v>8</v>
      </c>
      <c r="K201" s="166">
        <f t="shared" si="8"/>
        <v>8640</v>
      </c>
      <c r="L201" s="166">
        <f t="shared" si="9"/>
        <v>240</v>
      </c>
      <c r="M201" s="143" t="s">
        <v>8</v>
      </c>
      <c r="N201" s="20" t="s">
        <v>8</v>
      </c>
      <c r="O201" s="167" t="s">
        <v>654</v>
      </c>
      <c r="P201" s="167">
        <v>7700</v>
      </c>
      <c r="Q201" s="167">
        <v>400</v>
      </c>
      <c r="R201" s="167">
        <v>400</v>
      </c>
    </row>
    <row r="202" spans="1:18" ht="17">
      <c r="A202" s="20" t="s">
        <v>880</v>
      </c>
      <c r="B202" s="20" t="s">
        <v>880</v>
      </c>
      <c r="C202" s="20">
        <v>1</v>
      </c>
      <c r="D202" s="20">
        <v>6640</v>
      </c>
      <c r="E202" s="20">
        <v>270</v>
      </c>
      <c r="F202" s="20">
        <v>0</v>
      </c>
      <c r="G202" s="20" t="s">
        <v>175</v>
      </c>
      <c r="H202" s="20" t="s">
        <v>175</v>
      </c>
      <c r="I202" s="20" t="s">
        <v>8</v>
      </c>
      <c r="J202" s="20" t="s">
        <v>8</v>
      </c>
      <c r="K202" s="166">
        <f t="shared" si="8"/>
        <v>6640</v>
      </c>
      <c r="L202" s="166">
        <f t="shared" si="9"/>
        <v>270</v>
      </c>
      <c r="M202" s="143" t="s">
        <v>8</v>
      </c>
      <c r="N202" s="20" t="s">
        <v>8</v>
      </c>
      <c r="O202" s="167" t="s">
        <v>654</v>
      </c>
      <c r="P202" s="167">
        <v>6200</v>
      </c>
      <c r="Q202" s="167">
        <v>300</v>
      </c>
      <c r="R202" s="167">
        <v>300</v>
      </c>
    </row>
    <row r="203" spans="1:18" ht="17">
      <c r="A203" s="20" t="s">
        <v>881</v>
      </c>
      <c r="B203" s="20" t="s">
        <v>881</v>
      </c>
      <c r="C203" s="20">
        <v>1</v>
      </c>
      <c r="D203" s="20">
        <v>7925</v>
      </c>
      <c r="E203" s="20">
        <v>195</v>
      </c>
      <c r="F203" s="20">
        <v>0</v>
      </c>
      <c r="G203" s="20" t="s">
        <v>175</v>
      </c>
      <c r="H203" s="20" t="s">
        <v>175</v>
      </c>
      <c r="I203" s="20" t="s">
        <v>8</v>
      </c>
      <c r="J203" s="20" t="s">
        <v>8</v>
      </c>
      <c r="K203" s="166">
        <f t="shared" si="8"/>
        <v>7925</v>
      </c>
      <c r="L203" s="166">
        <f t="shared" si="9"/>
        <v>195</v>
      </c>
      <c r="M203" s="143" t="s">
        <v>8</v>
      </c>
      <c r="N203" s="20" t="s">
        <v>8</v>
      </c>
      <c r="O203" s="167" t="s">
        <v>654</v>
      </c>
      <c r="P203" s="167">
        <v>8000</v>
      </c>
      <c r="Q203" s="167">
        <v>400</v>
      </c>
      <c r="R203" s="167">
        <v>400</v>
      </c>
    </row>
    <row r="204" spans="1:18" ht="17">
      <c r="A204" s="20" t="s">
        <v>882</v>
      </c>
      <c r="B204" s="20" t="s">
        <v>882</v>
      </c>
      <c r="C204" s="20">
        <v>1</v>
      </c>
      <c r="D204" s="20">
        <v>13380</v>
      </c>
      <c r="E204" s="20">
        <v>220</v>
      </c>
      <c r="F204" s="20">
        <v>0</v>
      </c>
      <c r="G204" s="20" t="s">
        <v>175</v>
      </c>
      <c r="H204" s="20" t="s">
        <v>175</v>
      </c>
      <c r="I204" s="20" t="s">
        <v>8</v>
      </c>
      <c r="J204" s="20" t="s">
        <v>8</v>
      </c>
      <c r="K204" s="166">
        <f t="shared" si="8"/>
        <v>13380</v>
      </c>
      <c r="L204" s="166">
        <f t="shared" si="9"/>
        <v>220</v>
      </c>
      <c r="M204" s="143" t="s">
        <v>8</v>
      </c>
      <c r="N204" s="20" t="s">
        <v>8</v>
      </c>
      <c r="O204" s="167" t="s">
        <v>654</v>
      </c>
      <c r="P204" s="167">
        <v>7900</v>
      </c>
      <c r="Q204" s="167">
        <v>400</v>
      </c>
      <c r="R204" s="167">
        <v>400</v>
      </c>
    </row>
    <row r="205" spans="1:18" ht="17">
      <c r="A205" s="140" t="s">
        <v>980</v>
      </c>
      <c r="B205" s="140" t="s">
        <v>980</v>
      </c>
      <c r="C205" s="20">
        <v>1</v>
      </c>
      <c r="D205" s="20">
        <v>2100</v>
      </c>
      <c r="E205" s="20">
        <v>90</v>
      </c>
      <c r="F205" s="20">
        <v>0</v>
      </c>
      <c r="G205" s="20">
        <v>-1</v>
      </c>
      <c r="H205" s="20" t="s">
        <v>652</v>
      </c>
      <c r="I205" s="20">
        <v>390.68186471624949</v>
      </c>
      <c r="J205" s="20">
        <v>48.197999999999993</v>
      </c>
      <c r="K205" s="166">
        <f t="shared" si="8"/>
        <v>2490.6818647162495</v>
      </c>
      <c r="L205" s="166">
        <f t="shared" si="9"/>
        <v>102.09332595228739</v>
      </c>
      <c r="M205" s="143">
        <v>110</v>
      </c>
      <c r="N205" s="20">
        <v>33</v>
      </c>
      <c r="O205" s="167" t="s">
        <v>654</v>
      </c>
      <c r="P205" s="167">
        <v>2110</v>
      </c>
      <c r="Q205" s="167">
        <v>291</v>
      </c>
      <c r="R205" s="167">
        <v>309</v>
      </c>
    </row>
    <row r="206" spans="1:18" ht="17">
      <c r="A206" s="20" t="s">
        <v>486</v>
      </c>
      <c r="B206" s="20" t="s">
        <v>486</v>
      </c>
      <c r="C206" s="20">
        <v>1</v>
      </c>
      <c r="D206" s="20">
        <v>6350</v>
      </c>
      <c r="E206" s="20">
        <v>180</v>
      </c>
      <c r="F206" s="20">
        <v>100</v>
      </c>
      <c r="G206" s="20">
        <v>-23.25</v>
      </c>
      <c r="H206" s="20" t="s">
        <v>652</v>
      </c>
      <c r="I206" s="20">
        <v>28.810562351189219</v>
      </c>
      <c r="J206" s="20">
        <v>8.0330000938744099</v>
      </c>
      <c r="K206" s="166">
        <f t="shared" si="8"/>
        <v>6378.8105623511892</v>
      </c>
      <c r="L206" s="166">
        <f t="shared" si="9"/>
        <v>206.06923373106474</v>
      </c>
      <c r="M206" s="143" t="s">
        <v>8</v>
      </c>
      <c r="N206" s="20" t="s">
        <v>8</v>
      </c>
      <c r="O206" s="167" t="s">
        <v>654</v>
      </c>
      <c r="P206" s="167">
        <v>7260</v>
      </c>
      <c r="Q206" s="167">
        <v>395</v>
      </c>
      <c r="R206" s="167">
        <v>469</v>
      </c>
    </row>
    <row r="207" spans="1:18" ht="17">
      <c r="A207" s="20" t="s">
        <v>575</v>
      </c>
      <c r="B207" s="20" t="s">
        <v>575</v>
      </c>
      <c r="C207" s="20">
        <v>1</v>
      </c>
      <c r="D207" s="20">
        <v>2250</v>
      </c>
      <c r="E207" s="20">
        <v>40</v>
      </c>
      <c r="F207" s="20">
        <v>0</v>
      </c>
      <c r="G207" s="20" t="s">
        <v>175</v>
      </c>
      <c r="H207" s="20" t="s">
        <v>175</v>
      </c>
      <c r="I207" s="20" t="s">
        <v>8</v>
      </c>
      <c r="J207" s="20" t="s">
        <v>8</v>
      </c>
      <c r="K207" s="166">
        <f t="shared" ref="K207:K269" si="10">IF(OR(D207="n/a",D207="nd"),0,D207)+IF(OR(I207="n/a",I207="nd"),0,I207)</f>
        <v>2250</v>
      </c>
      <c r="L207" s="166">
        <f t="shared" ref="L207:L269" si="11">SQRT(SUMSQ(IF(OR(E207="n/a",E207="nd"),0,E207),IF(OR(F207="n/a",F207="nd"),0,F207),IF(OR(J207="n/a",J207="nd"),0,J207)))</f>
        <v>40</v>
      </c>
      <c r="M207" s="143" t="s">
        <v>8</v>
      </c>
      <c r="N207" s="20" t="s">
        <v>8</v>
      </c>
      <c r="O207" s="167" t="s">
        <v>654</v>
      </c>
      <c r="P207" s="167">
        <v>2230</v>
      </c>
      <c r="Q207" s="167">
        <v>114</v>
      </c>
      <c r="R207" s="167">
        <v>81</v>
      </c>
    </row>
    <row r="208" spans="1:18" ht="17">
      <c r="A208" s="20" t="s">
        <v>576</v>
      </c>
      <c r="B208" s="20" t="s">
        <v>576</v>
      </c>
      <c r="C208" s="20">
        <v>1</v>
      </c>
      <c r="D208" s="20">
        <v>2160</v>
      </c>
      <c r="E208" s="20">
        <v>40</v>
      </c>
      <c r="F208" s="20">
        <v>0</v>
      </c>
      <c r="G208" s="20" t="s">
        <v>175</v>
      </c>
      <c r="H208" s="20" t="s">
        <v>175</v>
      </c>
      <c r="I208" s="20" t="s">
        <v>8</v>
      </c>
      <c r="J208" s="20" t="s">
        <v>8</v>
      </c>
      <c r="K208" s="166">
        <f t="shared" si="10"/>
        <v>2160</v>
      </c>
      <c r="L208" s="166">
        <f t="shared" si="11"/>
        <v>40</v>
      </c>
      <c r="M208" s="143" t="s">
        <v>8</v>
      </c>
      <c r="N208" s="20" t="s">
        <v>8</v>
      </c>
      <c r="O208" s="167" t="s">
        <v>654</v>
      </c>
      <c r="P208" s="167">
        <v>2150</v>
      </c>
      <c r="Q208" s="167">
        <v>158</v>
      </c>
      <c r="R208" s="167">
        <v>147</v>
      </c>
    </row>
    <row r="209" spans="1:18" ht="17">
      <c r="A209" s="20" t="s">
        <v>580</v>
      </c>
      <c r="B209" s="20" t="s">
        <v>580</v>
      </c>
      <c r="C209" s="20">
        <v>1</v>
      </c>
      <c r="D209" s="20">
        <v>2560</v>
      </c>
      <c r="E209" s="20">
        <v>30</v>
      </c>
      <c r="F209" s="20">
        <v>0</v>
      </c>
      <c r="G209" s="20" t="s">
        <v>175</v>
      </c>
      <c r="H209" s="20" t="s">
        <v>175</v>
      </c>
      <c r="I209" s="20" t="s">
        <v>8</v>
      </c>
      <c r="J209" s="20" t="s">
        <v>8</v>
      </c>
      <c r="K209" s="166">
        <f t="shared" si="10"/>
        <v>2560</v>
      </c>
      <c r="L209" s="166">
        <f t="shared" si="11"/>
        <v>30</v>
      </c>
      <c r="M209" s="143" t="s">
        <v>8</v>
      </c>
      <c r="N209" s="20" t="s">
        <v>8</v>
      </c>
      <c r="O209" s="167" t="s">
        <v>654</v>
      </c>
      <c r="P209" s="167">
        <v>2715</v>
      </c>
      <c r="Q209" s="167">
        <v>38</v>
      </c>
      <c r="R209" s="167">
        <v>200</v>
      </c>
    </row>
    <row r="210" spans="1:18" ht="17">
      <c r="A210" s="20" t="s">
        <v>430</v>
      </c>
      <c r="B210" s="20" t="s">
        <v>430</v>
      </c>
      <c r="C210" s="20">
        <v>1</v>
      </c>
      <c r="D210" s="20">
        <v>2700</v>
      </c>
      <c r="E210" s="20">
        <v>150</v>
      </c>
      <c r="F210" s="20">
        <v>0</v>
      </c>
      <c r="G210" s="20">
        <v>-1</v>
      </c>
      <c r="H210" s="20" t="s">
        <v>652</v>
      </c>
      <c r="I210" s="20">
        <v>390.68186471624813</v>
      </c>
      <c r="J210" s="20">
        <v>48.197999999999993</v>
      </c>
      <c r="K210" s="166">
        <f t="shared" si="10"/>
        <v>3090.6818647162481</v>
      </c>
      <c r="L210" s="166">
        <f t="shared" si="11"/>
        <v>157.55331543322089</v>
      </c>
      <c r="M210" s="143">
        <v>110</v>
      </c>
      <c r="N210" s="20">
        <v>33</v>
      </c>
      <c r="O210" s="167" t="s">
        <v>654</v>
      </c>
      <c r="P210" s="167">
        <v>2854</v>
      </c>
      <c r="Q210" s="167">
        <v>415</v>
      </c>
      <c r="R210" s="167">
        <v>439</v>
      </c>
    </row>
    <row r="211" spans="1:18" ht="17">
      <c r="A211" s="20" t="s">
        <v>904</v>
      </c>
      <c r="B211" s="20" t="s">
        <v>904</v>
      </c>
      <c r="C211" s="20">
        <v>1</v>
      </c>
      <c r="D211" s="20">
        <v>11620</v>
      </c>
      <c r="E211" s="20">
        <v>380</v>
      </c>
      <c r="F211" s="20">
        <v>100</v>
      </c>
      <c r="G211" s="20">
        <v>-1</v>
      </c>
      <c r="H211" s="20" t="s">
        <v>652</v>
      </c>
      <c r="I211" s="20">
        <v>390.68186471624904</v>
      </c>
      <c r="J211" s="20">
        <v>48.197999999999993</v>
      </c>
      <c r="K211" s="166">
        <f t="shared" si="10"/>
        <v>12010.681864716249</v>
      </c>
      <c r="L211" s="166">
        <f t="shared" si="11"/>
        <v>395.88261796143564</v>
      </c>
      <c r="M211" s="143">
        <v>110</v>
      </c>
      <c r="N211" s="20">
        <v>33</v>
      </c>
      <c r="O211" s="167" t="s">
        <v>654</v>
      </c>
      <c r="P211" s="167">
        <v>13527</v>
      </c>
      <c r="Q211" s="167">
        <v>1142</v>
      </c>
      <c r="R211" s="167">
        <v>863</v>
      </c>
    </row>
    <row r="212" spans="1:18" ht="17">
      <c r="A212" s="20" t="s">
        <v>505</v>
      </c>
      <c r="B212" s="20" t="s">
        <v>505</v>
      </c>
      <c r="C212" s="20">
        <v>1</v>
      </c>
      <c r="D212" s="20">
        <v>8380</v>
      </c>
      <c r="E212" s="20">
        <v>140</v>
      </c>
      <c r="F212" s="20">
        <v>0</v>
      </c>
      <c r="G212" s="20">
        <v>-1</v>
      </c>
      <c r="H212" s="20" t="s">
        <v>652</v>
      </c>
      <c r="I212" s="20">
        <v>390.68186471624904</v>
      </c>
      <c r="J212" s="20">
        <v>48.197999999999993</v>
      </c>
      <c r="K212" s="166">
        <f t="shared" si="10"/>
        <v>8770.681864716249</v>
      </c>
      <c r="L212" s="166">
        <f t="shared" si="11"/>
        <v>148.06433467921977</v>
      </c>
      <c r="M212" s="143">
        <v>110</v>
      </c>
      <c r="N212" s="20">
        <v>33</v>
      </c>
      <c r="O212" s="167" t="s">
        <v>654</v>
      </c>
      <c r="P212" s="167">
        <v>9376</v>
      </c>
      <c r="Q212" s="167">
        <v>422</v>
      </c>
      <c r="R212" s="167">
        <v>397</v>
      </c>
    </row>
    <row r="213" spans="1:18" ht="17">
      <c r="A213" s="20" t="s">
        <v>458</v>
      </c>
      <c r="B213" s="20" t="s">
        <v>458</v>
      </c>
      <c r="C213" s="20">
        <v>1</v>
      </c>
      <c r="D213" s="20">
        <v>4790</v>
      </c>
      <c r="E213" s="20">
        <v>140</v>
      </c>
      <c r="F213" s="20">
        <v>0</v>
      </c>
      <c r="G213" s="20">
        <v>-1</v>
      </c>
      <c r="H213" s="20" t="s">
        <v>652</v>
      </c>
      <c r="I213" s="20">
        <v>390.68186471624904</v>
      </c>
      <c r="J213" s="20">
        <v>48.197999999999993</v>
      </c>
      <c r="K213" s="166">
        <f t="shared" si="10"/>
        <v>5180.681864716249</v>
      </c>
      <c r="L213" s="166">
        <f t="shared" si="11"/>
        <v>148.06433467921977</v>
      </c>
      <c r="M213" s="143">
        <v>110</v>
      </c>
      <c r="N213" s="20">
        <v>33</v>
      </c>
      <c r="O213" s="167" t="s">
        <v>654</v>
      </c>
      <c r="P213" s="167">
        <v>5457</v>
      </c>
      <c r="Q213" s="167">
        <v>379</v>
      </c>
      <c r="R213" s="167">
        <v>396</v>
      </c>
    </row>
    <row r="214" spans="1:18" ht="17">
      <c r="A214" s="20" t="s">
        <v>415</v>
      </c>
      <c r="B214" s="20" t="s">
        <v>415</v>
      </c>
      <c r="C214" s="20">
        <v>1</v>
      </c>
      <c r="D214" s="20">
        <v>2350</v>
      </c>
      <c r="E214" s="20">
        <v>110</v>
      </c>
      <c r="F214" s="20">
        <v>100</v>
      </c>
      <c r="G214" s="20">
        <v>-23.25</v>
      </c>
      <c r="H214" s="20" t="s">
        <v>652</v>
      </c>
      <c r="I214" s="20">
        <v>28.810562351189219</v>
      </c>
      <c r="J214" s="20">
        <v>48.197999999999993</v>
      </c>
      <c r="K214" s="166">
        <f t="shared" si="10"/>
        <v>2378.8105623511892</v>
      </c>
      <c r="L214" s="166">
        <f t="shared" si="11"/>
        <v>156.27874840809289</v>
      </c>
      <c r="M214" s="143" t="s">
        <v>8</v>
      </c>
      <c r="N214" s="20" t="s">
        <v>8</v>
      </c>
      <c r="O214" s="167" t="s">
        <v>654</v>
      </c>
      <c r="P214" s="167">
        <v>2441</v>
      </c>
      <c r="Q214" s="167">
        <v>320</v>
      </c>
      <c r="R214" s="167">
        <v>437</v>
      </c>
    </row>
    <row r="215" spans="1:18" ht="17">
      <c r="A215" s="20" t="s">
        <v>422</v>
      </c>
      <c r="B215" s="20" t="s">
        <v>422</v>
      </c>
      <c r="C215" s="20">
        <v>1</v>
      </c>
      <c r="D215" s="20">
        <v>2510</v>
      </c>
      <c r="E215" s="20">
        <v>90</v>
      </c>
      <c r="F215" s="20">
        <v>0</v>
      </c>
      <c r="G215" s="20">
        <v>-1</v>
      </c>
      <c r="H215" s="20" t="s">
        <v>652</v>
      </c>
      <c r="I215" s="20">
        <v>390.68186471624995</v>
      </c>
      <c r="J215" s="20">
        <v>48.197999999999993</v>
      </c>
      <c r="K215" s="166">
        <f t="shared" si="10"/>
        <v>2900.6818647162499</v>
      </c>
      <c r="L215" s="166">
        <f t="shared" si="11"/>
        <v>102.09332595228739</v>
      </c>
      <c r="M215" s="143">
        <v>110</v>
      </c>
      <c r="N215" s="20">
        <v>33</v>
      </c>
      <c r="O215" s="167" t="s">
        <v>654</v>
      </c>
      <c r="P215" s="167">
        <v>2611</v>
      </c>
      <c r="Q215" s="167">
        <v>277</v>
      </c>
      <c r="R215" s="167">
        <v>292</v>
      </c>
    </row>
    <row r="216" spans="1:18" ht="17">
      <c r="A216" s="20" t="s">
        <v>445</v>
      </c>
      <c r="B216" s="20" t="s">
        <v>445</v>
      </c>
      <c r="C216" s="20">
        <v>1</v>
      </c>
      <c r="D216" s="20">
        <v>3670</v>
      </c>
      <c r="E216" s="20">
        <v>110</v>
      </c>
      <c r="F216" s="20">
        <v>0</v>
      </c>
      <c r="G216" s="20">
        <v>-24</v>
      </c>
      <c r="H216" s="20" t="s">
        <v>652</v>
      </c>
      <c r="I216" s="20">
        <v>31.277636806425107</v>
      </c>
      <c r="J216" s="20">
        <v>9.6395999999999997</v>
      </c>
      <c r="K216" s="166">
        <f t="shared" si="10"/>
        <v>3701.2776368064251</v>
      </c>
      <c r="L216" s="166">
        <f t="shared" si="11"/>
        <v>110.42156441637657</v>
      </c>
      <c r="M216" s="143" t="s">
        <v>8</v>
      </c>
      <c r="N216" s="20" t="s">
        <v>8</v>
      </c>
      <c r="O216" s="167" t="s">
        <v>654</v>
      </c>
      <c r="P216" s="167">
        <v>4050</v>
      </c>
      <c r="Q216" s="167">
        <v>356</v>
      </c>
      <c r="R216" s="167">
        <v>324</v>
      </c>
    </row>
    <row r="217" spans="1:18" ht="17">
      <c r="A217" s="20" t="s">
        <v>628</v>
      </c>
      <c r="B217" s="20" t="s">
        <v>628</v>
      </c>
      <c r="C217" s="20">
        <v>1</v>
      </c>
      <c r="D217" s="20">
        <v>8500</v>
      </c>
      <c r="E217" s="20">
        <v>180</v>
      </c>
      <c r="F217" s="20">
        <v>0</v>
      </c>
      <c r="G217" s="20">
        <v>-26</v>
      </c>
      <c r="H217" s="20" t="s">
        <v>652</v>
      </c>
      <c r="I217" s="20">
        <v>-16.486404730445429</v>
      </c>
      <c r="J217" s="20">
        <v>60.247499999999995</v>
      </c>
      <c r="K217" s="166">
        <f t="shared" si="10"/>
        <v>8483.5135952695546</v>
      </c>
      <c r="L217" s="166">
        <f t="shared" si="11"/>
        <v>189.81507120418547</v>
      </c>
      <c r="M217" s="143" t="s">
        <v>8</v>
      </c>
      <c r="N217" s="20" t="s">
        <v>8</v>
      </c>
      <c r="O217" s="167" t="s">
        <v>654</v>
      </c>
      <c r="P217" s="167">
        <v>9469</v>
      </c>
      <c r="Q217" s="167">
        <v>651</v>
      </c>
      <c r="R217" s="167">
        <v>462</v>
      </c>
    </row>
    <row r="218" spans="1:18" ht="17">
      <c r="A218" s="20" t="s">
        <v>411</v>
      </c>
      <c r="B218" s="20" t="s">
        <v>411</v>
      </c>
      <c r="C218" s="20">
        <v>1</v>
      </c>
      <c r="D218" s="20">
        <v>2320</v>
      </c>
      <c r="E218" s="20">
        <v>85</v>
      </c>
      <c r="F218" s="20">
        <v>0</v>
      </c>
      <c r="G218" s="20">
        <v>-1</v>
      </c>
      <c r="H218" s="20" t="s">
        <v>652</v>
      </c>
      <c r="I218" s="20">
        <v>390.68186471624858</v>
      </c>
      <c r="J218" s="20">
        <v>48.197999999999993</v>
      </c>
      <c r="K218" s="166">
        <f t="shared" si="10"/>
        <v>2710.6818647162486</v>
      </c>
      <c r="L218" s="166">
        <f t="shared" si="11"/>
        <v>97.714109544118543</v>
      </c>
      <c r="M218" s="143">
        <v>110</v>
      </c>
      <c r="N218" s="20">
        <v>33</v>
      </c>
      <c r="O218" s="167" t="s">
        <v>654</v>
      </c>
      <c r="P218" s="167">
        <v>2395</v>
      </c>
      <c r="Q218" s="167">
        <v>300</v>
      </c>
      <c r="R218" s="167">
        <v>287</v>
      </c>
    </row>
    <row r="219" spans="1:18" ht="17">
      <c r="A219" s="20" t="s">
        <v>401</v>
      </c>
      <c r="B219" s="20" t="s">
        <v>401</v>
      </c>
      <c r="C219" s="20">
        <v>1</v>
      </c>
      <c r="D219" s="20">
        <v>2120</v>
      </c>
      <c r="E219" s="20">
        <v>90</v>
      </c>
      <c r="F219" s="20">
        <v>0</v>
      </c>
      <c r="G219" s="20">
        <v>-1</v>
      </c>
      <c r="H219" s="20" t="s">
        <v>652</v>
      </c>
      <c r="I219" s="20">
        <v>390.68186471624858</v>
      </c>
      <c r="J219" s="20">
        <v>48.197999999999993</v>
      </c>
      <c r="K219" s="166">
        <f t="shared" si="10"/>
        <v>2510.6818647162486</v>
      </c>
      <c r="L219" s="166">
        <f t="shared" si="11"/>
        <v>102.09332595228739</v>
      </c>
      <c r="M219" s="143">
        <v>110</v>
      </c>
      <c r="N219" s="20">
        <v>33</v>
      </c>
      <c r="O219" s="167" t="s">
        <v>654</v>
      </c>
      <c r="P219" s="167">
        <v>2134</v>
      </c>
      <c r="Q219" s="167">
        <v>296</v>
      </c>
      <c r="R219" s="167">
        <v>311</v>
      </c>
    </row>
    <row r="220" spans="1:18" ht="17">
      <c r="A220" s="20" t="s">
        <v>581</v>
      </c>
      <c r="B220" s="20" t="s">
        <v>581</v>
      </c>
      <c r="C220" s="20">
        <v>1</v>
      </c>
      <c r="D220" s="20">
        <v>2455</v>
      </c>
      <c r="E220" s="20">
        <v>28</v>
      </c>
      <c r="F220" s="20">
        <v>100</v>
      </c>
      <c r="G220" s="20" t="s">
        <v>175</v>
      </c>
      <c r="H220" s="20" t="s">
        <v>175</v>
      </c>
      <c r="I220" s="20" t="s">
        <v>8</v>
      </c>
      <c r="J220" s="20" t="s">
        <v>8</v>
      </c>
      <c r="K220" s="166">
        <f t="shared" si="10"/>
        <v>2455</v>
      </c>
      <c r="L220" s="166">
        <f t="shared" si="11"/>
        <v>103.84603988597736</v>
      </c>
      <c r="M220" s="143" t="s">
        <v>8</v>
      </c>
      <c r="N220" s="20" t="s">
        <v>8</v>
      </c>
      <c r="O220" s="167" t="s">
        <v>654</v>
      </c>
      <c r="P220" s="167">
        <v>2534</v>
      </c>
      <c r="Q220" s="167">
        <v>223</v>
      </c>
      <c r="R220" s="167">
        <v>221</v>
      </c>
    </row>
    <row r="221" spans="1:18" ht="17">
      <c r="A221" s="20" t="s">
        <v>584</v>
      </c>
      <c r="B221" s="20" t="s">
        <v>584</v>
      </c>
      <c r="C221" s="20">
        <v>1</v>
      </c>
      <c r="D221" s="20">
        <v>2528</v>
      </c>
      <c r="E221" s="20">
        <v>29</v>
      </c>
      <c r="F221" s="20">
        <v>100</v>
      </c>
      <c r="G221" s="20" t="s">
        <v>175</v>
      </c>
      <c r="H221" s="20" t="s">
        <v>175</v>
      </c>
      <c r="I221" s="20" t="s">
        <v>8</v>
      </c>
      <c r="J221" s="20" t="s">
        <v>8</v>
      </c>
      <c r="K221" s="166">
        <f t="shared" si="10"/>
        <v>2528</v>
      </c>
      <c r="L221" s="166">
        <f t="shared" si="11"/>
        <v>104.12012293500234</v>
      </c>
      <c r="M221" s="143" t="s">
        <v>8</v>
      </c>
      <c r="N221" s="20" t="s">
        <v>8</v>
      </c>
      <c r="O221" s="167" t="s">
        <v>654</v>
      </c>
      <c r="P221" s="167">
        <v>2583</v>
      </c>
      <c r="Q221" s="167">
        <v>258</v>
      </c>
      <c r="R221" s="167">
        <v>236</v>
      </c>
    </row>
    <row r="222" spans="1:18" ht="17">
      <c r="A222" s="20" t="s">
        <v>586</v>
      </c>
      <c r="B222" s="20" t="s">
        <v>586</v>
      </c>
      <c r="C222" s="20">
        <v>1</v>
      </c>
      <c r="D222" s="20">
        <v>6429</v>
      </c>
      <c r="E222" s="20">
        <v>45</v>
      </c>
      <c r="F222" s="20">
        <v>100</v>
      </c>
      <c r="G222" s="20" t="s">
        <v>175</v>
      </c>
      <c r="H222" s="20" t="s">
        <v>175</v>
      </c>
      <c r="I222" s="20" t="s">
        <v>8</v>
      </c>
      <c r="J222" s="20" t="s">
        <v>8</v>
      </c>
      <c r="K222" s="166">
        <f t="shared" si="10"/>
        <v>6429</v>
      </c>
      <c r="L222" s="166">
        <f t="shared" si="11"/>
        <v>109.65856099730654</v>
      </c>
      <c r="M222" s="143" t="s">
        <v>8</v>
      </c>
      <c r="N222" s="20" t="s">
        <v>8</v>
      </c>
      <c r="O222" s="167" t="s">
        <v>654</v>
      </c>
      <c r="P222" s="167">
        <v>7339</v>
      </c>
      <c r="Q222" s="167">
        <v>229</v>
      </c>
      <c r="R222" s="167">
        <v>305</v>
      </c>
    </row>
    <row r="223" spans="1:18" ht="17">
      <c r="A223" s="20" t="s">
        <v>542</v>
      </c>
      <c r="B223" s="20" t="s">
        <v>542</v>
      </c>
      <c r="C223" s="20">
        <v>1</v>
      </c>
      <c r="D223" s="20">
        <v>4875</v>
      </c>
      <c r="E223" s="20">
        <v>100</v>
      </c>
      <c r="F223" s="20">
        <v>0</v>
      </c>
      <c r="G223" s="20">
        <v>-1</v>
      </c>
      <c r="H223" s="20" t="s">
        <v>652</v>
      </c>
      <c r="I223" s="20">
        <v>390.68186471624995</v>
      </c>
      <c r="J223" s="20">
        <v>48.197999999999993</v>
      </c>
      <c r="K223" s="166">
        <f t="shared" si="10"/>
        <v>5265.6818647162499</v>
      </c>
      <c r="L223" s="166">
        <f t="shared" si="11"/>
        <v>111.00922125661452</v>
      </c>
      <c r="M223" s="143">
        <v>110</v>
      </c>
      <c r="N223" s="20">
        <v>33</v>
      </c>
      <c r="O223" s="167" t="s">
        <v>654</v>
      </c>
      <c r="P223" s="167">
        <v>5552</v>
      </c>
      <c r="Q223" s="167">
        <v>304</v>
      </c>
      <c r="R223" s="167">
        <v>267</v>
      </c>
    </row>
    <row r="224" spans="1:18" ht="17">
      <c r="A224" s="20" t="s">
        <v>539</v>
      </c>
      <c r="B224" s="20" t="s">
        <v>539</v>
      </c>
      <c r="C224" s="20">
        <v>1</v>
      </c>
      <c r="D224" s="20">
        <v>4765</v>
      </c>
      <c r="E224" s="20">
        <v>130</v>
      </c>
      <c r="F224" s="20">
        <v>0</v>
      </c>
      <c r="G224" s="20">
        <v>-1</v>
      </c>
      <c r="H224" s="20" t="s">
        <v>652</v>
      </c>
      <c r="I224" s="20">
        <v>390.68186471624904</v>
      </c>
      <c r="J224" s="20">
        <v>48.197999999999993</v>
      </c>
      <c r="K224" s="166">
        <f t="shared" si="10"/>
        <v>5155.681864716249</v>
      </c>
      <c r="L224" s="166">
        <f t="shared" si="11"/>
        <v>138.64720409730592</v>
      </c>
      <c r="M224" s="143">
        <v>110</v>
      </c>
      <c r="N224" s="20">
        <v>33</v>
      </c>
      <c r="O224" s="167" t="s">
        <v>654</v>
      </c>
      <c r="P224" s="167">
        <v>5430</v>
      </c>
      <c r="Q224" s="167">
        <v>345</v>
      </c>
      <c r="R224" s="167">
        <v>393</v>
      </c>
    </row>
    <row r="225" spans="1:18" ht="17">
      <c r="A225" s="20" t="s">
        <v>540</v>
      </c>
      <c r="B225" s="20" t="s">
        <v>540</v>
      </c>
      <c r="C225" s="20">
        <v>1</v>
      </c>
      <c r="D225" s="20">
        <v>4770</v>
      </c>
      <c r="E225" s="20">
        <v>100</v>
      </c>
      <c r="F225" s="20">
        <v>0</v>
      </c>
      <c r="G225" s="20">
        <v>-1</v>
      </c>
      <c r="H225" s="20" t="s">
        <v>652</v>
      </c>
      <c r="I225" s="20">
        <v>390.68186471624904</v>
      </c>
      <c r="J225" s="20">
        <v>48.197999999999993</v>
      </c>
      <c r="K225" s="166">
        <f t="shared" si="10"/>
        <v>5160.681864716249</v>
      </c>
      <c r="L225" s="166">
        <f t="shared" si="11"/>
        <v>111.00922125661452</v>
      </c>
      <c r="M225" s="143">
        <v>110</v>
      </c>
      <c r="N225" s="20">
        <v>33</v>
      </c>
      <c r="O225" s="167" t="s">
        <v>654</v>
      </c>
      <c r="P225" s="167">
        <v>5439</v>
      </c>
      <c r="Q225" s="167">
        <v>293</v>
      </c>
      <c r="R225" s="167">
        <v>318</v>
      </c>
    </row>
    <row r="226" spans="1:18" ht="17">
      <c r="A226" s="20" t="s">
        <v>541</v>
      </c>
      <c r="B226" s="20" t="s">
        <v>541</v>
      </c>
      <c r="C226" s="20">
        <v>1</v>
      </c>
      <c r="D226" s="20">
        <v>4810</v>
      </c>
      <c r="E226" s="20">
        <v>100</v>
      </c>
      <c r="F226" s="20">
        <v>0</v>
      </c>
      <c r="G226" s="20">
        <v>-1</v>
      </c>
      <c r="H226" s="20" t="s">
        <v>652</v>
      </c>
      <c r="I226" s="20">
        <v>390.68186471625086</v>
      </c>
      <c r="J226" s="20">
        <v>48.197999999999993</v>
      </c>
      <c r="K226" s="166">
        <f t="shared" si="10"/>
        <v>5200.6818647162509</v>
      </c>
      <c r="L226" s="166">
        <f t="shared" si="11"/>
        <v>111.00922125661452</v>
      </c>
      <c r="M226" s="143">
        <v>110</v>
      </c>
      <c r="N226" s="20">
        <v>33</v>
      </c>
      <c r="O226" s="167" t="s">
        <v>654</v>
      </c>
      <c r="P226" s="167">
        <v>5482</v>
      </c>
      <c r="Q226" s="167">
        <v>307</v>
      </c>
      <c r="R226" s="167">
        <v>298</v>
      </c>
    </row>
    <row r="227" spans="1:18" ht="17">
      <c r="A227" s="20" t="s">
        <v>537</v>
      </c>
      <c r="B227" s="20" t="s">
        <v>537</v>
      </c>
      <c r="C227" s="20">
        <v>1</v>
      </c>
      <c r="D227" s="20">
        <v>3500</v>
      </c>
      <c r="E227" s="20">
        <v>100</v>
      </c>
      <c r="F227" s="20">
        <v>0</v>
      </c>
      <c r="G227" s="20">
        <v>-1</v>
      </c>
      <c r="H227" s="20" t="s">
        <v>652</v>
      </c>
      <c r="I227" s="20">
        <v>390.68186471624904</v>
      </c>
      <c r="J227" s="20">
        <v>48.197999999999993</v>
      </c>
      <c r="K227" s="166">
        <f t="shared" si="10"/>
        <v>3890.681864716249</v>
      </c>
      <c r="L227" s="166">
        <f t="shared" si="11"/>
        <v>111.00922125661452</v>
      </c>
      <c r="M227" s="143" t="s">
        <v>8</v>
      </c>
      <c r="N227" s="20" t="s">
        <v>8</v>
      </c>
      <c r="O227" s="167" t="s">
        <v>654</v>
      </c>
      <c r="P227" s="167">
        <v>4310</v>
      </c>
      <c r="Q227" s="167">
        <v>478</v>
      </c>
      <c r="R227" s="167">
        <v>332</v>
      </c>
    </row>
    <row r="228" spans="1:18" ht="17">
      <c r="A228" s="20" t="s">
        <v>538</v>
      </c>
      <c r="B228" s="20" t="s">
        <v>538</v>
      </c>
      <c r="C228" s="20">
        <v>1</v>
      </c>
      <c r="D228" s="20">
        <v>3730</v>
      </c>
      <c r="E228" s="20">
        <v>100</v>
      </c>
      <c r="F228" s="20">
        <v>0</v>
      </c>
      <c r="G228" s="20">
        <v>-1</v>
      </c>
      <c r="H228" s="20" t="s">
        <v>652</v>
      </c>
      <c r="I228" s="20">
        <v>390.68186471624995</v>
      </c>
      <c r="J228" s="20">
        <v>48.197999999999993</v>
      </c>
      <c r="K228" s="166">
        <f t="shared" si="10"/>
        <v>4120.6818647162499</v>
      </c>
      <c r="L228" s="166">
        <f t="shared" si="11"/>
        <v>111.00922125661452</v>
      </c>
      <c r="M228" s="143" t="s">
        <v>8</v>
      </c>
      <c r="N228" s="20" t="s">
        <v>8</v>
      </c>
      <c r="O228" s="167" t="s">
        <v>654</v>
      </c>
      <c r="P228" s="167">
        <v>4640</v>
      </c>
      <c r="Q228" s="167">
        <v>231</v>
      </c>
      <c r="R228" s="167">
        <v>344</v>
      </c>
    </row>
    <row r="229" spans="1:18" ht="17">
      <c r="A229" s="20" t="s">
        <v>454</v>
      </c>
      <c r="B229" s="20" t="s">
        <v>454</v>
      </c>
      <c r="C229" s="20">
        <v>1</v>
      </c>
      <c r="D229" s="20">
        <v>4640</v>
      </c>
      <c r="E229" s="20">
        <v>280</v>
      </c>
      <c r="F229" s="20">
        <v>0</v>
      </c>
      <c r="G229" s="20">
        <v>-1</v>
      </c>
      <c r="H229" s="20" t="s">
        <v>652</v>
      </c>
      <c r="I229" s="20">
        <v>390.68186471624904</v>
      </c>
      <c r="J229" s="20">
        <v>48.197999999999993</v>
      </c>
      <c r="K229" s="166">
        <f t="shared" si="10"/>
        <v>5030.681864716249</v>
      </c>
      <c r="L229" s="166">
        <f t="shared" si="11"/>
        <v>284.11801633124219</v>
      </c>
      <c r="M229" s="143">
        <v>110</v>
      </c>
      <c r="N229" s="20">
        <v>33</v>
      </c>
      <c r="O229" s="167" t="s">
        <v>654</v>
      </c>
      <c r="P229" s="167">
        <v>5266</v>
      </c>
      <c r="Q229" s="167">
        <v>657</v>
      </c>
      <c r="R229" s="167">
        <v>714</v>
      </c>
    </row>
    <row r="230" spans="1:18" ht="17">
      <c r="A230" s="20" t="s">
        <v>492</v>
      </c>
      <c r="B230" s="20" t="s">
        <v>492</v>
      </c>
      <c r="C230" s="20">
        <v>1</v>
      </c>
      <c r="D230" s="20">
        <v>6510</v>
      </c>
      <c r="E230" s="20">
        <v>170</v>
      </c>
      <c r="F230" s="20">
        <v>100</v>
      </c>
      <c r="G230" s="20">
        <v>-23.25</v>
      </c>
      <c r="H230" s="20" t="s">
        <v>652</v>
      </c>
      <c r="I230" s="20">
        <v>28.810562351189219</v>
      </c>
      <c r="J230" s="20">
        <v>8.0330000938744099</v>
      </c>
      <c r="K230" s="166">
        <f t="shared" si="10"/>
        <v>6538.8105623511892</v>
      </c>
      <c r="L230" s="166">
        <f t="shared" si="11"/>
        <v>197.39434918585735</v>
      </c>
      <c r="M230" s="143" t="s">
        <v>8</v>
      </c>
      <c r="N230" s="20" t="s">
        <v>8</v>
      </c>
      <c r="O230" s="167" t="s">
        <v>654</v>
      </c>
      <c r="P230" s="167">
        <v>7421</v>
      </c>
      <c r="Q230" s="167">
        <v>366</v>
      </c>
      <c r="R230" s="167">
        <v>432</v>
      </c>
    </row>
    <row r="231" spans="1:18" ht="17">
      <c r="A231" s="20" t="s">
        <v>624</v>
      </c>
      <c r="B231" s="20" t="s">
        <v>624</v>
      </c>
      <c r="C231" s="20">
        <v>1</v>
      </c>
      <c r="D231" s="20">
        <v>6985</v>
      </c>
      <c r="E231" s="20">
        <v>105</v>
      </c>
      <c r="F231" s="20">
        <v>100</v>
      </c>
      <c r="G231" s="20">
        <v>-1</v>
      </c>
      <c r="H231" s="20" t="s">
        <v>652</v>
      </c>
      <c r="I231" s="20">
        <v>390.68186471624813</v>
      </c>
      <c r="J231" s="20">
        <v>48.197999999999993</v>
      </c>
      <c r="K231" s="166">
        <f t="shared" si="10"/>
        <v>7375.6818647162481</v>
      </c>
      <c r="L231" s="166">
        <f t="shared" si="11"/>
        <v>152.80067802205591</v>
      </c>
      <c r="M231" s="143">
        <v>110</v>
      </c>
      <c r="N231" s="20">
        <v>33</v>
      </c>
      <c r="O231" s="167" t="s">
        <v>654</v>
      </c>
      <c r="P231" s="167">
        <v>7767</v>
      </c>
      <c r="Q231" s="167">
        <v>339</v>
      </c>
      <c r="R231" s="167">
        <v>323</v>
      </c>
    </row>
    <row r="232" spans="1:18" ht="17">
      <c r="A232" s="20" t="s">
        <v>533</v>
      </c>
      <c r="B232" s="20" t="s">
        <v>533</v>
      </c>
      <c r="C232" s="20">
        <v>1</v>
      </c>
      <c r="D232" s="20">
        <v>4905</v>
      </c>
      <c r="E232" s="20">
        <v>100</v>
      </c>
      <c r="F232" s="20">
        <v>0</v>
      </c>
      <c r="G232" s="20">
        <v>-1</v>
      </c>
      <c r="H232" s="20" t="s">
        <v>652</v>
      </c>
      <c r="I232" s="20">
        <v>390.68186471624813</v>
      </c>
      <c r="J232" s="20">
        <v>48.197999999999993</v>
      </c>
      <c r="K232" s="166">
        <f t="shared" si="10"/>
        <v>5295.6818647162481</v>
      </c>
      <c r="L232" s="166">
        <f t="shared" si="11"/>
        <v>111.00922125661452</v>
      </c>
      <c r="M232" s="143">
        <v>110</v>
      </c>
      <c r="N232" s="20">
        <v>33</v>
      </c>
      <c r="O232" s="167" t="s">
        <v>654</v>
      </c>
      <c r="P232" s="167">
        <v>5586</v>
      </c>
      <c r="Q232" s="167">
        <v>288</v>
      </c>
      <c r="R232" s="167">
        <v>276</v>
      </c>
    </row>
    <row r="233" spans="1:18" ht="17">
      <c r="A233" s="20" t="s">
        <v>536</v>
      </c>
      <c r="B233" s="20" t="s">
        <v>536</v>
      </c>
      <c r="C233" s="20">
        <v>1</v>
      </c>
      <c r="D233" s="20">
        <v>5310</v>
      </c>
      <c r="E233" s="20">
        <v>100</v>
      </c>
      <c r="F233" s="20">
        <v>0</v>
      </c>
      <c r="G233" s="20">
        <v>-1</v>
      </c>
      <c r="H233" s="20" t="s">
        <v>652</v>
      </c>
      <c r="I233" s="20">
        <v>390.68186471624995</v>
      </c>
      <c r="J233" s="20">
        <v>48.197999999999993</v>
      </c>
      <c r="K233" s="166">
        <f t="shared" si="10"/>
        <v>5700.6818647162499</v>
      </c>
      <c r="L233" s="166">
        <f t="shared" si="11"/>
        <v>111.00922125661452</v>
      </c>
      <c r="M233" s="143">
        <v>110</v>
      </c>
      <c r="N233" s="20">
        <v>33</v>
      </c>
      <c r="O233" s="167" t="s">
        <v>654</v>
      </c>
      <c r="P233" s="167">
        <v>6026</v>
      </c>
      <c r="Q233" s="167">
        <v>266</v>
      </c>
      <c r="R233" s="167">
        <v>298</v>
      </c>
    </row>
    <row r="234" spans="1:18" ht="17">
      <c r="A234" s="20" t="s">
        <v>476</v>
      </c>
      <c r="B234" s="20" t="s">
        <v>476</v>
      </c>
      <c r="C234" s="20">
        <v>1</v>
      </c>
      <c r="D234" s="20">
        <v>5865</v>
      </c>
      <c r="E234" s="20">
        <v>95</v>
      </c>
      <c r="F234" s="20">
        <v>0</v>
      </c>
      <c r="G234" s="20">
        <v>-1</v>
      </c>
      <c r="H234" s="20" t="s">
        <v>652</v>
      </c>
      <c r="I234" s="20">
        <v>390.68186471624904</v>
      </c>
      <c r="J234" s="20">
        <v>48.197999999999993</v>
      </c>
      <c r="K234" s="166">
        <f t="shared" si="10"/>
        <v>6255.681864716249</v>
      </c>
      <c r="L234" s="166">
        <f t="shared" si="11"/>
        <v>106.52721344332629</v>
      </c>
      <c r="M234" s="143">
        <v>110</v>
      </c>
      <c r="N234" s="20">
        <v>33</v>
      </c>
      <c r="O234" s="167" t="s">
        <v>654</v>
      </c>
      <c r="P234" s="167">
        <v>6618</v>
      </c>
      <c r="Q234" s="167">
        <v>290</v>
      </c>
      <c r="R234" s="167">
        <v>290</v>
      </c>
    </row>
    <row r="235" spans="1:18" ht="17">
      <c r="A235" s="20" t="s">
        <v>567</v>
      </c>
      <c r="B235" s="20" t="s">
        <v>567</v>
      </c>
      <c r="C235" s="20">
        <v>1</v>
      </c>
      <c r="D235" s="20">
        <v>2090</v>
      </c>
      <c r="E235" s="20">
        <v>20</v>
      </c>
      <c r="F235" s="20">
        <v>0</v>
      </c>
      <c r="G235" s="20" t="s">
        <v>175</v>
      </c>
      <c r="H235" s="20" t="s">
        <v>175</v>
      </c>
      <c r="I235" s="20" t="s">
        <v>8</v>
      </c>
      <c r="J235" s="20" t="s">
        <v>8</v>
      </c>
      <c r="K235" s="166">
        <f t="shared" si="10"/>
        <v>2090</v>
      </c>
      <c r="L235" s="166">
        <f t="shared" si="11"/>
        <v>20</v>
      </c>
      <c r="M235" s="143" t="s">
        <v>8</v>
      </c>
      <c r="N235" s="20" t="s">
        <v>8</v>
      </c>
      <c r="O235" s="167" t="s">
        <v>654</v>
      </c>
      <c r="P235" s="167">
        <v>2048</v>
      </c>
      <c r="Q235" s="167">
        <v>66</v>
      </c>
      <c r="R235" s="167">
        <v>52</v>
      </c>
    </row>
    <row r="236" spans="1:18" ht="17">
      <c r="A236" s="20" t="s">
        <v>572</v>
      </c>
      <c r="B236" s="20" t="s">
        <v>572</v>
      </c>
      <c r="C236" s="20">
        <v>1</v>
      </c>
      <c r="D236" s="20">
        <v>2210</v>
      </c>
      <c r="E236" s="20">
        <v>25</v>
      </c>
      <c r="F236" s="20">
        <v>0</v>
      </c>
      <c r="G236" s="20" t="s">
        <v>175</v>
      </c>
      <c r="H236" s="20" t="s">
        <v>175</v>
      </c>
      <c r="I236" s="20" t="s">
        <v>8</v>
      </c>
      <c r="J236" s="20" t="s">
        <v>8</v>
      </c>
      <c r="K236" s="166">
        <f t="shared" si="10"/>
        <v>2210</v>
      </c>
      <c r="L236" s="166">
        <f t="shared" si="11"/>
        <v>25</v>
      </c>
      <c r="M236" s="143" t="s">
        <v>8</v>
      </c>
      <c r="N236" s="20" t="s">
        <v>8</v>
      </c>
      <c r="O236" s="167" t="s">
        <v>654</v>
      </c>
      <c r="P236" s="167">
        <v>2230</v>
      </c>
      <c r="Q236" s="167">
        <v>90</v>
      </c>
      <c r="R236" s="167">
        <v>102</v>
      </c>
    </row>
    <row r="237" spans="1:18" ht="17">
      <c r="A237" s="20" t="s">
        <v>410</v>
      </c>
      <c r="B237" s="20" t="s">
        <v>410</v>
      </c>
      <c r="C237" s="20">
        <v>1</v>
      </c>
      <c r="D237" s="20">
        <v>2270</v>
      </c>
      <c r="E237" s="20">
        <v>110</v>
      </c>
      <c r="F237" s="20">
        <v>0</v>
      </c>
      <c r="G237" s="20">
        <v>-23.8</v>
      </c>
      <c r="H237" s="20" t="s">
        <v>652</v>
      </c>
      <c r="I237" s="20">
        <v>31.277636806423743</v>
      </c>
      <c r="J237" s="20">
        <v>9.6395999999999997</v>
      </c>
      <c r="K237" s="166">
        <f t="shared" si="10"/>
        <v>2301.2776368064237</v>
      </c>
      <c r="L237" s="166">
        <f t="shared" si="11"/>
        <v>110.42156441637657</v>
      </c>
      <c r="M237" s="143" t="s">
        <v>8</v>
      </c>
      <c r="N237" s="20" t="s">
        <v>8</v>
      </c>
      <c r="O237" s="167" t="s">
        <v>654</v>
      </c>
      <c r="P237" s="167">
        <v>2323</v>
      </c>
      <c r="Q237" s="167">
        <v>382</v>
      </c>
      <c r="R237" s="167">
        <v>316</v>
      </c>
    </row>
    <row r="238" spans="1:18" ht="17">
      <c r="A238" s="20" t="s">
        <v>566</v>
      </c>
      <c r="B238" s="20" t="s">
        <v>566</v>
      </c>
      <c r="C238" s="20">
        <v>1</v>
      </c>
      <c r="D238" s="20">
        <v>7690</v>
      </c>
      <c r="E238" s="20">
        <v>40</v>
      </c>
      <c r="F238" s="20">
        <v>100</v>
      </c>
      <c r="G238" s="20" t="s">
        <v>175</v>
      </c>
      <c r="H238" s="20" t="s">
        <v>175</v>
      </c>
      <c r="I238" s="20" t="s">
        <v>8</v>
      </c>
      <c r="J238" s="20" t="s">
        <v>8</v>
      </c>
      <c r="K238" s="166">
        <f t="shared" si="10"/>
        <v>7690</v>
      </c>
      <c r="L238" s="166">
        <f t="shared" si="11"/>
        <v>107.70329614269008</v>
      </c>
      <c r="M238" s="143" t="s">
        <v>8</v>
      </c>
      <c r="N238" s="20" t="s">
        <v>8</v>
      </c>
      <c r="O238" s="167" t="s">
        <v>654</v>
      </c>
      <c r="P238" s="167">
        <v>8489</v>
      </c>
      <c r="Q238" s="167">
        <v>282</v>
      </c>
      <c r="R238" s="167">
        <v>282</v>
      </c>
    </row>
    <row r="239" spans="1:18" ht="17">
      <c r="A239" s="20" t="s">
        <v>343</v>
      </c>
      <c r="B239" s="20" t="s">
        <v>343</v>
      </c>
      <c r="C239" s="20">
        <v>1</v>
      </c>
      <c r="D239" s="20">
        <v>4800</v>
      </c>
      <c r="E239" s="20">
        <v>40</v>
      </c>
      <c r="F239" s="20">
        <v>100</v>
      </c>
      <c r="G239" s="20" t="s">
        <v>175</v>
      </c>
      <c r="H239" s="20" t="s">
        <v>175</v>
      </c>
      <c r="I239" s="20" t="s">
        <v>8</v>
      </c>
      <c r="J239" s="20" t="s">
        <v>8</v>
      </c>
      <c r="K239" s="166">
        <f t="shared" si="10"/>
        <v>4800</v>
      </c>
      <c r="L239" s="166">
        <f t="shared" si="11"/>
        <v>107.70329614269008</v>
      </c>
      <c r="M239" s="143" t="s">
        <v>8</v>
      </c>
      <c r="N239" s="20" t="s">
        <v>8</v>
      </c>
      <c r="O239" s="167" t="s">
        <v>654</v>
      </c>
      <c r="P239" s="167">
        <v>5517</v>
      </c>
      <c r="Q239" s="167">
        <v>336</v>
      </c>
      <c r="R239" s="167">
        <v>214</v>
      </c>
    </row>
    <row r="240" spans="1:18" ht="17">
      <c r="A240" s="20" t="s">
        <v>350</v>
      </c>
      <c r="B240" s="20" t="s">
        <v>350</v>
      </c>
      <c r="C240" s="20">
        <v>1</v>
      </c>
      <c r="D240" s="20">
        <v>7480</v>
      </c>
      <c r="E240" s="20">
        <v>40</v>
      </c>
      <c r="F240" s="20">
        <v>100</v>
      </c>
      <c r="G240" s="20" t="s">
        <v>175</v>
      </c>
      <c r="H240" s="20" t="s">
        <v>175</v>
      </c>
      <c r="I240" s="20" t="s">
        <v>8</v>
      </c>
      <c r="J240" s="20" t="s">
        <v>8</v>
      </c>
      <c r="K240" s="166">
        <f t="shared" si="10"/>
        <v>7480</v>
      </c>
      <c r="L240" s="166">
        <f t="shared" si="11"/>
        <v>107.70329614269008</v>
      </c>
      <c r="M240" s="143" t="s">
        <v>8</v>
      </c>
      <c r="N240" s="20" t="s">
        <v>8</v>
      </c>
      <c r="O240" s="167" t="s">
        <v>654</v>
      </c>
      <c r="P240" s="167">
        <v>8276</v>
      </c>
      <c r="Q240" s="167">
        <v>175</v>
      </c>
      <c r="R240" s="167">
        <v>249</v>
      </c>
    </row>
    <row r="241" spans="1:18" ht="17">
      <c r="A241" s="20" t="s">
        <v>349</v>
      </c>
      <c r="B241" s="20" t="s">
        <v>349</v>
      </c>
      <c r="C241" s="20">
        <v>1</v>
      </c>
      <c r="D241" s="20">
        <v>6580</v>
      </c>
      <c r="E241" s="20">
        <v>40</v>
      </c>
      <c r="F241" s="20">
        <v>0</v>
      </c>
      <c r="G241" s="20" t="s">
        <v>175</v>
      </c>
      <c r="H241" s="20" t="s">
        <v>175</v>
      </c>
      <c r="I241" s="20" t="s">
        <v>8</v>
      </c>
      <c r="J241" s="20" t="s">
        <v>8</v>
      </c>
      <c r="K241" s="166">
        <f t="shared" si="10"/>
        <v>6580</v>
      </c>
      <c r="L241" s="166">
        <f t="shared" si="11"/>
        <v>40</v>
      </c>
      <c r="M241" s="143" t="s">
        <v>8</v>
      </c>
      <c r="N241" s="20" t="s">
        <v>8</v>
      </c>
      <c r="O241" s="167" t="s">
        <v>654</v>
      </c>
      <c r="P241" s="167">
        <v>7479</v>
      </c>
      <c r="Q241" s="167">
        <v>87</v>
      </c>
      <c r="R241" s="167">
        <v>53</v>
      </c>
    </row>
    <row r="242" spans="1:18" ht="17">
      <c r="A242" s="20" t="s">
        <v>347</v>
      </c>
      <c r="B242" s="20" t="s">
        <v>347</v>
      </c>
      <c r="C242" s="20">
        <v>1</v>
      </c>
      <c r="D242" s="20">
        <v>6460</v>
      </c>
      <c r="E242" s="20">
        <v>50</v>
      </c>
      <c r="F242" s="20">
        <v>0</v>
      </c>
      <c r="G242" s="20" t="s">
        <v>175</v>
      </c>
      <c r="H242" s="20" t="s">
        <v>175</v>
      </c>
      <c r="I242" s="20" t="s">
        <v>8</v>
      </c>
      <c r="J242" s="20" t="s">
        <v>8</v>
      </c>
      <c r="K242" s="166">
        <f t="shared" si="10"/>
        <v>6460</v>
      </c>
      <c r="L242" s="166">
        <f t="shared" si="11"/>
        <v>50</v>
      </c>
      <c r="M242" s="143" t="s">
        <v>8</v>
      </c>
      <c r="N242" s="20" t="s">
        <v>8</v>
      </c>
      <c r="O242" s="167" t="s">
        <v>654</v>
      </c>
      <c r="P242" s="167">
        <v>7367</v>
      </c>
      <c r="Q242" s="167">
        <v>97</v>
      </c>
      <c r="R242" s="167">
        <v>100</v>
      </c>
    </row>
    <row r="243" spans="1:18" ht="17">
      <c r="A243" s="20" t="s">
        <v>351</v>
      </c>
      <c r="B243" s="20" t="s">
        <v>351</v>
      </c>
      <c r="C243" s="20">
        <v>1</v>
      </c>
      <c r="D243" s="20">
        <v>7677</v>
      </c>
      <c r="E243" s="20">
        <v>36</v>
      </c>
      <c r="F243" s="20">
        <v>0</v>
      </c>
      <c r="G243" s="20">
        <v>-27.5</v>
      </c>
      <c r="H243" s="20" t="s">
        <v>653</v>
      </c>
      <c r="I243" s="20" t="s">
        <v>8</v>
      </c>
      <c r="J243" s="20" t="s">
        <v>8</v>
      </c>
      <c r="K243" s="166">
        <f t="shared" si="10"/>
        <v>7677</v>
      </c>
      <c r="L243" s="166">
        <f t="shared" si="11"/>
        <v>36</v>
      </c>
      <c r="M243" s="143" t="s">
        <v>8</v>
      </c>
      <c r="N243" s="20" t="s">
        <v>8</v>
      </c>
      <c r="O243" s="167" t="s">
        <v>654</v>
      </c>
      <c r="P243" s="167">
        <v>8460</v>
      </c>
      <c r="Q243" s="167">
        <v>82</v>
      </c>
      <c r="R243" s="167">
        <v>62</v>
      </c>
    </row>
    <row r="244" spans="1:18" ht="17">
      <c r="A244" s="20" t="s">
        <v>352</v>
      </c>
      <c r="B244" s="20" t="s">
        <v>352</v>
      </c>
      <c r="C244" s="20">
        <v>1</v>
      </c>
      <c r="D244" s="20">
        <v>7961</v>
      </c>
      <c r="E244" s="20">
        <v>35</v>
      </c>
      <c r="F244" s="20">
        <v>0</v>
      </c>
      <c r="G244" s="20">
        <v>-27.5</v>
      </c>
      <c r="H244" s="20" t="s">
        <v>653</v>
      </c>
      <c r="I244" s="20" t="s">
        <v>8</v>
      </c>
      <c r="J244" s="20" t="s">
        <v>8</v>
      </c>
      <c r="K244" s="166">
        <f t="shared" si="10"/>
        <v>7961</v>
      </c>
      <c r="L244" s="166">
        <f t="shared" si="11"/>
        <v>35</v>
      </c>
      <c r="M244" s="143" t="s">
        <v>8</v>
      </c>
      <c r="N244" s="20" t="s">
        <v>8</v>
      </c>
      <c r="O244" s="167" t="s">
        <v>654</v>
      </c>
      <c r="P244" s="167">
        <v>8836</v>
      </c>
      <c r="Q244" s="167">
        <v>153</v>
      </c>
      <c r="R244" s="167">
        <v>189</v>
      </c>
    </row>
    <row r="245" spans="1:18" ht="17">
      <c r="A245" s="20" t="s">
        <v>353</v>
      </c>
      <c r="B245" s="20" t="s">
        <v>353</v>
      </c>
      <c r="C245" s="20">
        <v>1</v>
      </c>
      <c r="D245" s="20">
        <v>8037</v>
      </c>
      <c r="E245" s="20">
        <v>36</v>
      </c>
      <c r="F245" s="20">
        <v>0</v>
      </c>
      <c r="G245" s="20">
        <v>-27.5</v>
      </c>
      <c r="H245" s="20" t="s">
        <v>653</v>
      </c>
      <c r="I245" s="20" t="s">
        <v>8</v>
      </c>
      <c r="J245" s="20" t="s">
        <v>8</v>
      </c>
      <c r="K245" s="166">
        <f t="shared" si="10"/>
        <v>8037</v>
      </c>
      <c r="L245" s="166">
        <f t="shared" si="11"/>
        <v>36</v>
      </c>
      <c r="M245" s="143" t="s">
        <v>8</v>
      </c>
      <c r="N245" s="20" t="s">
        <v>8</v>
      </c>
      <c r="O245" s="167" t="s">
        <v>654</v>
      </c>
      <c r="P245" s="167">
        <v>8900</v>
      </c>
      <c r="Q245" s="167">
        <v>122</v>
      </c>
      <c r="R245" s="167">
        <v>172</v>
      </c>
    </row>
    <row r="246" spans="1:18" ht="17">
      <c r="A246" s="20" t="s">
        <v>482</v>
      </c>
      <c r="B246" s="20" t="s">
        <v>482</v>
      </c>
      <c r="C246" s="20">
        <v>1</v>
      </c>
      <c r="D246" s="20">
        <v>6300</v>
      </c>
      <c r="E246" s="20">
        <v>330</v>
      </c>
      <c r="F246" s="20">
        <v>0</v>
      </c>
      <c r="G246" s="20">
        <v>-27.1</v>
      </c>
      <c r="H246" s="20" t="s">
        <v>652</v>
      </c>
      <c r="I246" s="20">
        <v>-34.641011418530979</v>
      </c>
      <c r="J246" s="20">
        <v>27.312199999999997</v>
      </c>
      <c r="K246" s="166">
        <f t="shared" si="10"/>
        <v>6265.358988581469</v>
      </c>
      <c r="L246" s="166">
        <f t="shared" si="11"/>
        <v>331.12830786394568</v>
      </c>
      <c r="M246" s="143" t="s">
        <v>8</v>
      </c>
      <c r="N246" s="20" t="s">
        <v>8</v>
      </c>
      <c r="O246" s="167" t="s">
        <v>654</v>
      </c>
      <c r="P246" s="167">
        <v>7111</v>
      </c>
      <c r="Q246" s="167">
        <v>629</v>
      </c>
      <c r="R246" s="167">
        <v>714</v>
      </c>
    </row>
    <row r="247" spans="1:18" ht="17">
      <c r="A247" s="20" t="s">
        <v>924</v>
      </c>
      <c r="B247" s="20" t="s">
        <v>924</v>
      </c>
      <c r="C247" s="20">
        <v>1</v>
      </c>
      <c r="D247" s="20">
        <v>8280</v>
      </c>
      <c r="E247" s="20">
        <v>30</v>
      </c>
      <c r="F247" s="20">
        <v>0</v>
      </c>
      <c r="G247" s="20" t="s">
        <v>175</v>
      </c>
      <c r="H247" s="20" t="s">
        <v>175</v>
      </c>
      <c r="I247" s="20" t="s">
        <v>8</v>
      </c>
      <c r="J247" s="20" t="s">
        <v>8</v>
      </c>
      <c r="K247" s="166">
        <f>IF(OR(D247="n/a",D247="nd"),0,D247)+IF(OR(I247="n/a",I247="nd"),0,I247)</f>
        <v>8280</v>
      </c>
      <c r="L247" s="166">
        <f t="shared" si="11"/>
        <v>30</v>
      </c>
      <c r="M247" s="143" t="s">
        <v>8</v>
      </c>
      <c r="N247" s="20" t="s">
        <v>8</v>
      </c>
      <c r="O247" s="167" t="s">
        <v>654</v>
      </c>
      <c r="P247" s="167">
        <v>9285</v>
      </c>
      <c r="Q247" s="167">
        <v>132</v>
      </c>
      <c r="R247" s="167">
        <v>151</v>
      </c>
    </row>
    <row r="248" spans="1:18" ht="17">
      <c r="A248" s="20" t="s">
        <v>359</v>
      </c>
      <c r="B248" s="20" t="s">
        <v>359</v>
      </c>
      <c r="C248" s="20">
        <v>1</v>
      </c>
      <c r="D248" s="20">
        <v>8180</v>
      </c>
      <c r="E248" s="20">
        <v>40</v>
      </c>
      <c r="F248" s="20">
        <v>100</v>
      </c>
      <c r="G248" s="20" t="s">
        <v>175</v>
      </c>
      <c r="H248" s="20" t="s">
        <v>175</v>
      </c>
      <c r="I248" s="20" t="s">
        <v>8</v>
      </c>
      <c r="J248" s="20" t="s">
        <v>8</v>
      </c>
      <c r="K248" s="166">
        <f t="shared" si="10"/>
        <v>8180</v>
      </c>
      <c r="L248" s="166">
        <f t="shared" si="11"/>
        <v>107.70329614269008</v>
      </c>
      <c r="M248" s="143" t="s">
        <v>8</v>
      </c>
      <c r="N248" s="20" t="s">
        <v>8</v>
      </c>
      <c r="O248" s="167" t="s">
        <v>654</v>
      </c>
      <c r="P248" s="167">
        <v>9147</v>
      </c>
      <c r="Q248" s="167">
        <v>308</v>
      </c>
      <c r="R248" s="167">
        <v>370</v>
      </c>
    </row>
    <row r="249" spans="1:18" ht="17">
      <c r="A249" s="20" t="s">
        <v>360</v>
      </c>
      <c r="B249" s="20" t="s">
        <v>360</v>
      </c>
      <c r="C249" s="20">
        <v>1</v>
      </c>
      <c r="D249" s="20">
        <v>10200</v>
      </c>
      <c r="E249" s="20">
        <v>30</v>
      </c>
      <c r="F249" s="20">
        <v>0</v>
      </c>
      <c r="G249" s="20" t="s">
        <v>175</v>
      </c>
      <c r="H249" s="20" t="s">
        <v>175</v>
      </c>
      <c r="I249" s="20" t="s">
        <v>8</v>
      </c>
      <c r="J249" s="20" t="s">
        <v>8</v>
      </c>
      <c r="K249" s="166">
        <f t="shared" si="10"/>
        <v>10200</v>
      </c>
      <c r="L249" s="166">
        <f t="shared" si="11"/>
        <v>30</v>
      </c>
      <c r="M249" s="143" t="s">
        <v>8</v>
      </c>
      <c r="N249" s="20" t="s">
        <v>8</v>
      </c>
      <c r="O249" s="167" t="s">
        <v>654</v>
      </c>
      <c r="P249" s="167">
        <v>11871</v>
      </c>
      <c r="Q249" s="167">
        <v>75</v>
      </c>
      <c r="R249" s="167">
        <v>120</v>
      </c>
    </row>
    <row r="250" spans="1:18" ht="17">
      <c r="A250" s="20" t="s">
        <v>354</v>
      </c>
      <c r="B250" s="20" t="s">
        <v>354</v>
      </c>
      <c r="C250" s="20">
        <v>1</v>
      </c>
      <c r="D250" s="20">
        <v>8450</v>
      </c>
      <c r="E250" s="20">
        <v>30</v>
      </c>
      <c r="F250" s="20">
        <v>0</v>
      </c>
      <c r="G250" s="20" t="s">
        <v>175</v>
      </c>
      <c r="H250" s="20" t="s">
        <v>175</v>
      </c>
      <c r="I250" s="20" t="s">
        <v>8</v>
      </c>
      <c r="J250" s="20" t="s">
        <v>8</v>
      </c>
      <c r="K250" s="166">
        <f t="shared" si="10"/>
        <v>8450</v>
      </c>
      <c r="L250" s="166">
        <f t="shared" si="11"/>
        <v>30</v>
      </c>
      <c r="M250" s="143" t="s">
        <v>8</v>
      </c>
      <c r="N250" s="20" t="s">
        <v>8</v>
      </c>
      <c r="O250" s="167" t="s">
        <v>654</v>
      </c>
      <c r="P250" s="167">
        <v>9483</v>
      </c>
      <c r="Q250" s="167">
        <v>47</v>
      </c>
      <c r="R250" s="167">
        <v>49</v>
      </c>
    </row>
    <row r="251" spans="1:18" ht="17">
      <c r="A251" s="20" t="s">
        <v>638</v>
      </c>
      <c r="B251" s="20" t="s">
        <v>638</v>
      </c>
      <c r="C251" s="20">
        <v>1</v>
      </c>
      <c r="D251" s="20">
        <v>13030</v>
      </c>
      <c r="E251" s="20">
        <v>60</v>
      </c>
      <c r="F251" s="20">
        <v>100</v>
      </c>
      <c r="G251" s="20" t="s">
        <v>175</v>
      </c>
      <c r="H251" s="20" t="s">
        <v>175</v>
      </c>
      <c r="I251" s="20" t="s">
        <v>8</v>
      </c>
      <c r="J251" s="20" t="s">
        <v>8</v>
      </c>
      <c r="K251" s="166">
        <f t="shared" si="10"/>
        <v>13030</v>
      </c>
      <c r="L251" s="166">
        <f t="shared" si="11"/>
        <v>116.61903789690601</v>
      </c>
      <c r="M251" s="143" t="s">
        <v>8</v>
      </c>
      <c r="N251" s="20" t="s">
        <v>8</v>
      </c>
      <c r="O251" s="167" t="s">
        <v>654</v>
      </c>
      <c r="P251" s="167">
        <v>15601</v>
      </c>
      <c r="Q251" s="167">
        <v>347</v>
      </c>
      <c r="R251" s="167">
        <v>343</v>
      </c>
    </row>
    <row r="252" spans="1:18" ht="17">
      <c r="A252" s="20" t="s">
        <v>357</v>
      </c>
      <c r="B252" s="20" t="s">
        <v>357</v>
      </c>
      <c r="C252" s="20">
        <v>1</v>
      </c>
      <c r="D252" s="20">
        <v>8390</v>
      </c>
      <c r="E252" s="20">
        <v>50</v>
      </c>
      <c r="F252" s="20">
        <v>0</v>
      </c>
      <c r="G252" s="20" t="s">
        <v>175</v>
      </c>
      <c r="H252" s="20" t="s">
        <v>175</v>
      </c>
      <c r="I252" s="20" t="s">
        <v>8</v>
      </c>
      <c r="J252" s="20" t="s">
        <v>8</v>
      </c>
      <c r="K252" s="166">
        <f t="shared" si="10"/>
        <v>8390</v>
      </c>
      <c r="L252" s="166">
        <f t="shared" si="11"/>
        <v>50</v>
      </c>
      <c r="M252" s="143" t="s">
        <v>8</v>
      </c>
      <c r="N252" s="20" t="s">
        <v>8</v>
      </c>
      <c r="O252" s="167" t="s">
        <v>654</v>
      </c>
      <c r="P252" s="167">
        <v>9420</v>
      </c>
      <c r="Q252" s="167">
        <v>106</v>
      </c>
      <c r="R252" s="167">
        <v>134</v>
      </c>
    </row>
    <row r="253" spans="1:18" ht="17">
      <c r="A253" s="20" t="s">
        <v>906</v>
      </c>
      <c r="B253" s="20" t="s">
        <v>906</v>
      </c>
      <c r="C253" s="20">
        <v>1</v>
      </c>
      <c r="D253" s="20">
        <v>940</v>
      </c>
      <c r="E253" s="20">
        <v>30</v>
      </c>
      <c r="F253" s="20">
        <v>0</v>
      </c>
      <c r="G253" s="20" t="s">
        <v>175</v>
      </c>
      <c r="H253" s="20" t="s">
        <v>175</v>
      </c>
      <c r="I253" s="20" t="s">
        <v>8</v>
      </c>
      <c r="J253" s="20" t="s">
        <v>8</v>
      </c>
      <c r="K253" s="166">
        <f t="shared" si="10"/>
        <v>940</v>
      </c>
      <c r="L253" s="166">
        <f t="shared" si="11"/>
        <v>30</v>
      </c>
      <c r="M253" s="143" t="s">
        <v>8</v>
      </c>
      <c r="N253" s="20" t="s">
        <v>8</v>
      </c>
      <c r="O253" s="167" t="s">
        <v>654</v>
      </c>
      <c r="P253" s="167">
        <v>849</v>
      </c>
      <c r="Q253" s="167">
        <v>72</v>
      </c>
      <c r="R253" s="167">
        <v>66</v>
      </c>
    </row>
    <row r="254" spans="1:18" ht="17">
      <c r="A254" s="20" t="s">
        <v>907</v>
      </c>
      <c r="B254" s="20" t="s">
        <v>907</v>
      </c>
      <c r="C254" s="20">
        <v>1</v>
      </c>
      <c r="D254" s="20">
        <v>1250</v>
      </c>
      <c r="E254" s="20">
        <v>30</v>
      </c>
      <c r="F254" s="20">
        <v>0</v>
      </c>
      <c r="G254" s="20" t="s">
        <v>175</v>
      </c>
      <c r="H254" s="20" t="s">
        <v>175</v>
      </c>
      <c r="I254" s="20" t="s">
        <v>8</v>
      </c>
      <c r="J254" s="20" t="s">
        <v>8</v>
      </c>
      <c r="K254" s="166">
        <f t="shared" si="10"/>
        <v>1250</v>
      </c>
      <c r="L254" s="166">
        <f t="shared" si="11"/>
        <v>30</v>
      </c>
      <c r="M254" s="143" t="s">
        <v>8</v>
      </c>
      <c r="N254" s="20" t="s">
        <v>8</v>
      </c>
      <c r="O254" s="167" t="s">
        <v>654</v>
      </c>
      <c r="P254" s="167">
        <v>1208</v>
      </c>
      <c r="Q254" s="167">
        <v>68</v>
      </c>
      <c r="R254" s="167">
        <v>135</v>
      </c>
    </row>
    <row r="255" spans="1:18" ht="17">
      <c r="A255" s="20" t="s">
        <v>908</v>
      </c>
      <c r="B255" s="20" t="s">
        <v>908</v>
      </c>
      <c r="C255" s="20">
        <v>1</v>
      </c>
      <c r="D255" s="20">
        <v>3660</v>
      </c>
      <c r="E255" s="20">
        <v>30</v>
      </c>
      <c r="F255" s="20">
        <v>0</v>
      </c>
      <c r="G255" s="20" t="s">
        <v>175</v>
      </c>
      <c r="H255" s="20" t="s">
        <v>175</v>
      </c>
      <c r="I255" s="20" t="s">
        <v>8</v>
      </c>
      <c r="J255" s="20" t="s">
        <v>8</v>
      </c>
      <c r="K255" s="166">
        <f t="shared" si="10"/>
        <v>3660</v>
      </c>
      <c r="L255" s="166">
        <f t="shared" si="11"/>
        <v>30</v>
      </c>
      <c r="M255" s="143" t="s">
        <v>8</v>
      </c>
      <c r="N255" s="20" t="s">
        <v>8</v>
      </c>
      <c r="O255" s="167" t="s">
        <v>654</v>
      </c>
      <c r="P255" s="167">
        <v>3985</v>
      </c>
      <c r="Q255" s="167">
        <v>101</v>
      </c>
      <c r="R255" s="167">
        <v>87</v>
      </c>
    </row>
    <row r="256" spans="1:18" ht="17">
      <c r="A256" s="20" t="s">
        <v>909</v>
      </c>
      <c r="B256" s="20" t="s">
        <v>909</v>
      </c>
      <c r="C256" s="20">
        <v>1</v>
      </c>
      <c r="D256" s="20">
        <v>4120</v>
      </c>
      <c r="E256" s="20">
        <v>30</v>
      </c>
      <c r="F256" s="20">
        <v>0</v>
      </c>
      <c r="G256" s="20" t="s">
        <v>175</v>
      </c>
      <c r="H256" s="20" t="s">
        <v>175</v>
      </c>
      <c r="I256" s="20" t="s">
        <v>8</v>
      </c>
      <c r="J256" s="20" t="s">
        <v>8</v>
      </c>
      <c r="K256" s="166">
        <f t="shared" si="10"/>
        <v>4120</v>
      </c>
      <c r="L256" s="166">
        <f t="shared" si="11"/>
        <v>30</v>
      </c>
      <c r="M256" s="143" t="s">
        <v>8</v>
      </c>
      <c r="N256" s="20" t="s">
        <v>8</v>
      </c>
      <c r="O256" s="167" t="s">
        <v>654</v>
      </c>
      <c r="P256" s="167">
        <v>4651</v>
      </c>
      <c r="Q256" s="167">
        <v>165</v>
      </c>
      <c r="R256" s="167">
        <v>124</v>
      </c>
    </row>
    <row r="257" spans="1:18" ht="17">
      <c r="A257" s="20" t="s">
        <v>910</v>
      </c>
      <c r="B257" s="20" t="s">
        <v>910</v>
      </c>
      <c r="C257" s="20">
        <v>1</v>
      </c>
      <c r="D257" s="20">
        <v>6080</v>
      </c>
      <c r="E257" s="20">
        <v>30</v>
      </c>
      <c r="F257" s="20">
        <v>0</v>
      </c>
      <c r="G257" s="20" t="s">
        <v>175</v>
      </c>
      <c r="H257" s="20" t="s">
        <v>175</v>
      </c>
      <c r="I257" s="20" t="s">
        <v>8</v>
      </c>
      <c r="J257" s="20" t="s">
        <v>8</v>
      </c>
      <c r="K257" s="166">
        <f t="shared" si="10"/>
        <v>6080</v>
      </c>
      <c r="L257" s="166">
        <f t="shared" si="11"/>
        <v>30</v>
      </c>
      <c r="M257" s="143" t="s">
        <v>8</v>
      </c>
      <c r="N257" s="20" t="s">
        <v>8</v>
      </c>
      <c r="O257" s="167" t="s">
        <v>654</v>
      </c>
      <c r="P257" s="167">
        <v>6937</v>
      </c>
      <c r="Q257" s="167">
        <v>214</v>
      </c>
      <c r="R257" s="167">
        <v>136</v>
      </c>
    </row>
    <row r="258" spans="1:18" ht="17">
      <c r="A258" s="20" t="s">
        <v>911</v>
      </c>
      <c r="B258" s="20" t="s">
        <v>911</v>
      </c>
      <c r="C258" s="20">
        <v>1</v>
      </c>
      <c r="D258" s="20">
        <v>7800</v>
      </c>
      <c r="E258" s="20">
        <v>30</v>
      </c>
      <c r="F258" s="20">
        <v>0</v>
      </c>
      <c r="G258" s="20" t="s">
        <v>175</v>
      </c>
      <c r="H258" s="20" t="s">
        <v>175</v>
      </c>
      <c r="I258" s="20" t="s">
        <v>8</v>
      </c>
      <c r="J258" s="20" t="s">
        <v>8</v>
      </c>
      <c r="K258" s="166">
        <f t="shared" si="10"/>
        <v>7800</v>
      </c>
      <c r="L258" s="166">
        <f t="shared" si="11"/>
        <v>30</v>
      </c>
      <c r="M258" s="143" t="s">
        <v>8</v>
      </c>
      <c r="N258" s="20" t="s">
        <v>8</v>
      </c>
      <c r="O258" s="167" t="s">
        <v>654</v>
      </c>
      <c r="P258" s="167">
        <v>8572</v>
      </c>
      <c r="Q258" s="167">
        <v>66</v>
      </c>
      <c r="R258" s="167">
        <v>107</v>
      </c>
    </row>
    <row r="259" spans="1:18" ht="17">
      <c r="A259" s="20" t="s">
        <v>945</v>
      </c>
      <c r="B259" s="20" t="s">
        <v>945</v>
      </c>
      <c r="C259" s="20">
        <v>1</v>
      </c>
      <c r="D259" s="20">
        <v>6780</v>
      </c>
      <c r="E259" s="20">
        <v>30</v>
      </c>
      <c r="F259" s="20">
        <v>100</v>
      </c>
      <c r="G259" s="20" t="s">
        <v>175</v>
      </c>
      <c r="H259" s="20" t="s">
        <v>175</v>
      </c>
      <c r="I259" s="20" t="s">
        <v>8</v>
      </c>
      <c r="J259" s="20" t="s">
        <v>8</v>
      </c>
      <c r="K259" s="166">
        <f t="shared" si="10"/>
        <v>6780</v>
      </c>
      <c r="L259" s="166">
        <f t="shared" si="11"/>
        <v>104.4030650891055</v>
      </c>
      <c r="M259" s="143" t="s">
        <v>8</v>
      </c>
      <c r="N259" s="20" t="s">
        <v>8</v>
      </c>
      <c r="O259" s="167" t="s">
        <v>654</v>
      </c>
      <c r="P259" s="167">
        <v>7634</v>
      </c>
      <c r="Q259" s="167">
        <v>201</v>
      </c>
      <c r="R259" s="167">
        <v>202</v>
      </c>
    </row>
    <row r="260" spans="1:18" ht="17">
      <c r="A260" s="20" t="s">
        <v>916</v>
      </c>
      <c r="B260" s="20" t="s">
        <v>916</v>
      </c>
      <c r="C260" s="20">
        <v>1</v>
      </c>
      <c r="D260" s="20">
        <v>250</v>
      </c>
      <c r="E260" s="20">
        <v>30</v>
      </c>
      <c r="F260" s="20">
        <v>0</v>
      </c>
      <c r="G260" s="20" t="s">
        <v>175</v>
      </c>
      <c r="H260" s="20" t="s">
        <v>175</v>
      </c>
      <c r="I260" s="20" t="s">
        <v>8</v>
      </c>
      <c r="J260" s="20" t="s">
        <v>8</v>
      </c>
      <c r="K260" s="166">
        <f t="shared" si="10"/>
        <v>250</v>
      </c>
      <c r="L260" s="166">
        <f t="shared" si="11"/>
        <v>30</v>
      </c>
      <c r="M260" s="143" t="s">
        <v>8</v>
      </c>
      <c r="N260" s="20" t="s">
        <v>8</v>
      </c>
      <c r="O260" s="167" t="s">
        <v>654</v>
      </c>
      <c r="P260" s="167">
        <v>296</v>
      </c>
      <c r="Q260" s="167">
        <v>131</v>
      </c>
      <c r="R260" s="167">
        <v>295</v>
      </c>
    </row>
    <row r="261" spans="1:18" ht="17">
      <c r="A261" s="20" t="s">
        <v>917</v>
      </c>
      <c r="B261" s="20" t="s">
        <v>917</v>
      </c>
      <c r="C261" s="20">
        <v>1</v>
      </c>
      <c r="D261" s="20">
        <v>940</v>
      </c>
      <c r="E261" s="20">
        <v>30</v>
      </c>
      <c r="F261" s="20">
        <v>0</v>
      </c>
      <c r="G261" s="20" t="s">
        <v>175</v>
      </c>
      <c r="H261" s="20" t="s">
        <v>175</v>
      </c>
      <c r="I261" s="20" t="s">
        <v>8</v>
      </c>
      <c r="J261" s="20" t="s">
        <v>8</v>
      </c>
      <c r="K261" s="166">
        <f t="shared" si="10"/>
        <v>940</v>
      </c>
      <c r="L261" s="166">
        <f t="shared" si="11"/>
        <v>30</v>
      </c>
      <c r="M261" s="143" t="s">
        <v>8</v>
      </c>
      <c r="N261" s="20" t="s">
        <v>8</v>
      </c>
      <c r="O261" s="167" t="s">
        <v>654</v>
      </c>
      <c r="P261" s="167">
        <v>849</v>
      </c>
      <c r="Q261" s="167">
        <v>72</v>
      </c>
      <c r="R261" s="167">
        <v>66</v>
      </c>
    </row>
    <row r="262" spans="1:18" ht="17">
      <c r="A262" s="20" t="s">
        <v>912</v>
      </c>
      <c r="B262" s="20" t="s">
        <v>912</v>
      </c>
      <c r="C262" s="20">
        <v>1</v>
      </c>
      <c r="D262" s="20">
        <v>1620</v>
      </c>
      <c r="E262" s="20">
        <v>30</v>
      </c>
      <c r="F262" s="20">
        <v>0</v>
      </c>
      <c r="G262" s="20" t="s">
        <v>175</v>
      </c>
      <c r="H262" s="20" t="s">
        <v>175</v>
      </c>
      <c r="I262" s="20" t="s">
        <v>8</v>
      </c>
      <c r="J262" s="20" t="s">
        <v>8</v>
      </c>
      <c r="K262" s="166">
        <f t="shared" si="10"/>
        <v>1620</v>
      </c>
      <c r="L262" s="166">
        <f t="shared" si="11"/>
        <v>30</v>
      </c>
      <c r="M262" s="143" t="s">
        <v>8</v>
      </c>
      <c r="N262" s="20" t="s">
        <v>8</v>
      </c>
      <c r="O262" s="167" t="s">
        <v>654</v>
      </c>
      <c r="P262" s="167">
        <v>1480</v>
      </c>
      <c r="Q262" s="167">
        <v>63</v>
      </c>
      <c r="R262" s="167">
        <v>71</v>
      </c>
    </row>
    <row r="263" spans="1:18" ht="17">
      <c r="A263" s="20" t="s">
        <v>913</v>
      </c>
      <c r="B263" s="20" t="s">
        <v>913</v>
      </c>
      <c r="C263" s="20">
        <v>1</v>
      </c>
      <c r="D263" s="20">
        <v>1770</v>
      </c>
      <c r="E263" s="20">
        <v>30</v>
      </c>
      <c r="F263" s="20">
        <v>0</v>
      </c>
      <c r="G263" s="20" t="s">
        <v>175</v>
      </c>
      <c r="H263" s="20" t="s">
        <v>175</v>
      </c>
      <c r="I263" s="20" t="s">
        <v>8</v>
      </c>
      <c r="J263" s="20" t="s">
        <v>8</v>
      </c>
      <c r="K263" s="166">
        <f t="shared" si="10"/>
        <v>1770</v>
      </c>
      <c r="L263" s="166">
        <f t="shared" si="11"/>
        <v>30</v>
      </c>
      <c r="M263" s="143" t="s">
        <v>8</v>
      </c>
      <c r="N263" s="20" t="s">
        <v>8</v>
      </c>
      <c r="O263" s="167" t="s">
        <v>654</v>
      </c>
      <c r="P263" s="167">
        <v>1652</v>
      </c>
      <c r="Q263" s="167">
        <v>72</v>
      </c>
      <c r="R263" s="167">
        <v>77</v>
      </c>
    </row>
    <row r="264" spans="1:18" ht="17">
      <c r="A264" s="20" t="s">
        <v>914</v>
      </c>
      <c r="B264" s="20" t="s">
        <v>914</v>
      </c>
      <c r="C264" s="20">
        <v>1</v>
      </c>
      <c r="D264" s="20">
        <v>2140</v>
      </c>
      <c r="E264" s="20">
        <v>30</v>
      </c>
      <c r="F264" s="20">
        <v>0</v>
      </c>
      <c r="G264" s="20" t="s">
        <v>175</v>
      </c>
      <c r="H264" s="20" t="s">
        <v>175</v>
      </c>
      <c r="I264" s="20" t="s">
        <v>8</v>
      </c>
      <c r="J264" s="20" t="s">
        <v>8</v>
      </c>
      <c r="K264" s="166">
        <f t="shared" si="10"/>
        <v>2140</v>
      </c>
      <c r="L264" s="166">
        <f t="shared" si="11"/>
        <v>30</v>
      </c>
      <c r="M264" s="143" t="s">
        <v>8</v>
      </c>
      <c r="N264" s="20" t="s">
        <v>8</v>
      </c>
      <c r="O264" s="167" t="s">
        <v>654</v>
      </c>
      <c r="P264" s="167">
        <v>2115</v>
      </c>
      <c r="Q264" s="167">
        <v>184</v>
      </c>
      <c r="R264" s="167">
        <v>114</v>
      </c>
    </row>
    <row r="265" spans="1:18" ht="17">
      <c r="A265" s="20" t="s">
        <v>918</v>
      </c>
      <c r="B265" s="20" t="s">
        <v>918</v>
      </c>
      <c r="C265" s="20">
        <v>1</v>
      </c>
      <c r="D265" s="20">
        <v>2270</v>
      </c>
      <c r="E265" s="20">
        <v>30</v>
      </c>
      <c r="F265" s="20">
        <v>0</v>
      </c>
      <c r="G265" s="20" t="s">
        <v>175</v>
      </c>
      <c r="H265" s="20" t="s">
        <v>175</v>
      </c>
      <c r="I265" s="20" t="s">
        <v>8</v>
      </c>
      <c r="J265" s="20" t="s">
        <v>8</v>
      </c>
      <c r="K265" s="166">
        <f t="shared" si="10"/>
        <v>2270</v>
      </c>
      <c r="L265" s="166">
        <f t="shared" si="11"/>
        <v>30</v>
      </c>
      <c r="M265" s="143" t="s">
        <v>8</v>
      </c>
      <c r="N265" s="20" t="s">
        <v>8</v>
      </c>
      <c r="O265" s="167" t="s">
        <v>654</v>
      </c>
      <c r="P265" s="167">
        <v>2241</v>
      </c>
      <c r="Q265" s="167">
        <v>104</v>
      </c>
      <c r="R265" s="167">
        <v>84</v>
      </c>
    </row>
    <row r="266" spans="1:18" ht="17">
      <c r="A266" s="20" t="s">
        <v>919</v>
      </c>
      <c r="B266" s="20" t="s">
        <v>919</v>
      </c>
      <c r="C266" s="20">
        <v>1</v>
      </c>
      <c r="D266" s="20">
        <v>7190</v>
      </c>
      <c r="E266" s="20">
        <v>30</v>
      </c>
      <c r="F266" s="20">
        <v>0</v>
      </c>
      <c r="G266" s="20" t="s">
        <v>175</v>
      </c>
      <c r="H266" s="20" t="s">
        <v>175</v>
      </c>
      <c r="I266" s="20" t="s">
        <v>8</v>
      </c>
      <c r="J266" s="20" t="s">
        <v>8</v>
      </c>
      <c r="K266" s="166">
        <f t="shared" si="10"/>
        <v>7190</v>
      </c>
      <c r="L266" s="166">
        <f t="shared" si="11"/>
        <v>30</v>
      </c>
      <c r="M266" s="143" t="s">
        <v>8</v>
      </c>
      <c r="N266" s="20" t="s">
        <v>8</v>
      </c>
      <c r="O266" s="167" t="s">
        <v>654</v>
      </c>
      <c r="P266" s="167">
        <v>7993</v>
      </c>
      <c r="Q266" s="167">
        <v>38</v>
      </c>
      <c r="R266" s="167">
        <v>53</v>
      </c>
    </row>
    <row r="267" spans="1:18" ht="17">
      <c r="A267" s="20" t="s">
        <v>920</v>
      </c>
      <c r="B267" s="20" t="s">
        <v>920</v>
      </c>
      <c r="C267" s="20">
        <v>1</v>
      </c>
      <c r="D267" s="20">
        <v>7670</v>
      </c>
      <c r="E267" s="20">
        <v>30</v>
      </c>
      <c r="F267" s="20">
        <v>0</v>
      </c>
      <c r="G267" s="20" t="s">
        <v>175</v>
      </c>
      <c r="H267" s="20" t="s">
        <v>175</v>
      </c>
      <c r="I267" s="20" t="s">
        <v>8</v>
      </c>
      <c r="J267" s="20" t="s">
        <v>8</v>
      </c>
      <c r="K267" s="166">
        <f t="shared" si="10"/>
        <v>7670</v>
      </c>
      <c r="L267" s="166">
        <f t="shared" si="11"/>
        <v>30</v>
      </c>
      <c r="M267" s="143" t="s">
        <v>8</v>
      </c>
      <c r="N267" s="20" t="s">
        <v>8</v>
      </c>
      <c r="O267" s="167" t="s">
        <v>654</v>
      </c>
      <c r="P267" s="167">
        <v>8449</v>
      </c>
      <c r="Q267" s="167">
        <v>89</v>
      </c>
      <c r="R267" s="167">
        <v>47</v>
      </c>
    </row>
    <row r="268" spans="1:18" ht="17">
      <c r="A268" s="20" t="s">
        <v>915</v>
      </c>
      <c r="B268" s="20" t="s">
        <v>915</v>
      </c>
      <c r="C268" s="20">
        <v>1</v>
      </c>
      <c r="D268" s="20">
        <v>7930</v>
      </c>
      <c r="E268" s="20">
        <v>30</v>
      </c>
      <c r="F268" s="20">
        <v>0</v>
      </c>
      <c r="G268" s="20" t="s">
        <v>175</v>
      </c>
      <c r="H268" s="20" t="s">
        <v>175</v>
      </c>
      <c r="I268" s="20" t="s">
        <v>8</v>
      </c>
      <c r="J268" s="20" t="s">
        <v>8</v>
      </c>
      <c r="K268" s="166">
        <f t="shared" si="10"/>
        <v>7930</v>
      </c>
      <c r="L268" s="166">
        <f t="shared" si="11"/>
        <v>30</v>
      </c>
      <c r="M268" s="143" t="s">
        <v>8</v>
      </c>
      <c r="N268" s="20" t="s">
        <v>8</v>
      </c>
      <c r="O268" s="167" t="s">
        <v>654</v>
      </c>
      <c r="P268" s="167">
        <v>8760</v>
      </c>
      <c r="Q268" s="167">
        <v>222</v>
      </c>
      <c r="R268" s="167">
        <v>154</v>
      </c>
    </row>
    <row r="269" spans="1:18" ht="17">
      <c r="A269" s="20" t="s">
        <v>921</v>
      </c>
      <c r="B269" s="20" t="s">
        <v>921</v>
      </c>
      <c r="C269" s="20">
        <v>1</v>
      </c>
      <c r="D269" s="20">
        <v>5870</v>
      </c>
      <c r="E269" s="20">
        <v>40</v>
      </c>
      <c r="F269" s="20">
        <v>0</v>
      </c>
      <c r="G269" s="20" t="s">
        <v>175</v>
      </c>
      <c r="H269" s="20" t="s">
        <v>175</v>
      </c>
      <c r="I269" s="20" t="s">
        <v>8</v>
      </c>
      <c r="J269" s="20" t="s">
        <v>8</v>
      </c>
      <c r="K269" s="166">
        <f t="shared" si="10"/>
        <v>5870</v>
      </c>
      <c r="L269" s="166">
        <f t="shared" si="11"/>
        <v>40</v>
      </c>
      <c r="M269" s="143" t="s">
        <v>8</v>
      </c>
      <c r="N269" s="20" t="s">
        <v>8</v>
      </c>
      <c r="O269" s="167" t="s">
        <v>654</v>
      </c>
      <c r="P269" s="167">
        <v>6694</v>
      </c>
      <c r="Q269" s="167">
        <v>94</v>
      </c>
      <c r="R269" s="167">
        <v>130</v>
      </c>
    </row>
    <row r="270" spans="1:18" ht="17">
      <c r="A270" s="20" t="s">
        <v>922</v>
      </c>
      <c r="B270" s="20" t="s">
        <v>922</v>
      </c>
      <c r="C270" s="20">
        <v>1</v>
      </c>
      <c r="D270" s="20">
        <v>7420</v>
      </c>
      <c r="E270" s="20">
        <v>30</v>
      </c>
      <c r="F270" s="20">
        <v>0</v>
      </c>
      <c r="G270" s="20" t="s">
        <v>175</v>
      </c>
      <c r="H270" s="20" t="s">
        <v>175</v>
      </c>
      <c r="I270" s="20" t="s">
        <v>8</v>
      </c>
      <c r="J270" s="20" t="s">
        <v>8</v>
      </c>
      <c r="K270" s="166">
        <f t="shared" ref="K270:K279" si="12">IF(OR(D270="n/a",D270="nd"),0,D270)+IF(OR(I270="n/a",I270="nd"),0,I270)</f>
        <v>7420</v>
      </c>
      <c r="L270" s="166">
        <f t="shared" ref="L270:L279" si="13">SQRT(SUMSQ(IF(OR(E270="n/a",E270="nd"),0,E270),IF(OR(F270="n/a",F270="nd"),0,F270),IF(OR(J270="n/a",J270="nd"),0,J270)))</f>
        <v>30</v>
      </c>
      <c r="M270" s="143" t="s">
        <v>8</v>
      </c>
      <c r="N270" s="20" t="s">
        <v>8</v>
      </c>
      <c r="O270" s="167" t="s">
        <v>654</v>
      </c>
      <c r="P270" s="167">
        <v>8262</v>
      </c>
      <c r="Q270" s="167">
        <v>70</v>
      </c>
      <c r="R270" s="167">
        <v>82</v>
      </c>
    </row>
    <row r="271" spans="1:18" ht="17">
      <c r="A271" s="20" t="s">
        <v>549</v>
      </c>
      <c r="B271" s="20" t="s">
        <v>549</v>
      </c>
      <c r="C271" s="20">
        <v>1</v>
      </c>
      <c r="D271" s="20">
        <v>2634</v>
      </c>
      <c r="E271" s="20">
        <v>32</v>
      </c>
      <c r="F271" s="20">
        <v>0</v>
      </c>
      <c r="G271" s="20" t="s">
        <v>175</v>
      </c>
      <c r="H271" s="20" t="s">
        <v>175</v>
      </c>
      <c r="I271" s="20" t="s">
        <v>8</v>
      </c>
      <c r="J271" s="20" t="s">
        <v>8</v>
      </c>
      <c r="K271" s="166">
        <f t="shared" si="12"/>
        <v>2634</v>
      </c>
      <c r="L271" s="166">
        <f t="shared" si="13"/>
        <v>32</v>
      </c>
      <c r="M271" s="143" t="s">
        <v>8</v>
      </c>
      <c r="N271" s="20" t="s">
        <v>8</v>
      </c>
      <c r="O271" s="167" t="s">
        <v>654</v>
      </c>
      <c r="P271" s="167">
        <v>2753</v>
      </c>
      <c r="Q271" s="167">
        <v>88</v>
      </c>
      <c r="R271" s="167">
        <v>29</v>
      </c>
    </row>
    <row r="272" spans="1:18" ht="17">
      <c r="A272" s="20" t="s">
        <v>553</v>
      </c>
      <c r="B272" s="20" t="s">
        <v>553</v>
      </c>
      <c r="C272" s="20">
        <v>1</v>
      </c>
      <c r="D272" s="20">
        <v>3305</v>
      </c>
      <c r="E272" s="20">
        <v>29</v>
      </c>
      <c r="F272" s="20">
        <v>0</v>
      </c>
      <c r="G272" s="20" t="s">
        <v>175</v>
      </c>
      <c r="H272" s="20" t="s">
        <v>175</v>
      </c>
      <c r="I272" s="20" t="s">
        <v>8</v>
      </c>
      <c r="J272" s="20" t="s">
        <v>8</v>
      </c>
      <c r="K272" s="166">
        <f t="shared" si="12"/>
        <v>3305</v>
      </c>
      <c r="L272" s="166">
        <f t="shared" si="13"/>
        <v>29</v>
      </c>
      <c r="M272" s="143" t="s">
        <v>8</v>
      </c>
      <c r="N272" s="20" t="s">
        <v>8</v>
      </c>
      <c r="O272" s="167" t="s">
        <v>654</v>
      </c>
      <c r="P272" s="167">
        <v>3520</v>
      </c>
      <c r="Q272" s="167">
        <v>56</v>
      </c>
      <c r="R272" s="167">
        <v>67</v>
      </c>
    </row>
    <row r="273" spans="1:18" ht="17">
      <c r="A273" s="20" t="s">
        <v>554</v>
      </c>
      <c r="B273" s="20" t="s">
        <v>554</v>
      </c>
      <c r="C273" s="20">
        <v>1</v>
      </c>
      <c r="D273" s="20">
        <v>3375</v>
      </c>
      <c r="E273" s="20">
        <v>45</v>
      </c>
      <c r="F273" s="20">
        <v>0</v>
      </c>
      <c r="G273" s="20" t="s">
        <v>175</v>
      </c>
      <c r="H273" s="20" t="s">
        <v>175</v>
      </c>
      <c r="I273" s="20" t="s">
        <v>8</v>
      </c>
      <c r="J273" s="20" t="s">
        <v>8</v>
      </c>
      <c r="K273" s="166">
        <f t="shared" si="12"/>
        <v>3375</v>
      </c>
      <c r="L273" s="166">
        <f t="shared" si="13"/>
        <v>45</v>
      </c>
      <c r="M273" s="143" t="s">
        <v>8</v>
      </c>
      <c r="N273" s="20" t="s">
        <v>8</v>
      </c>
      <c r="O273" s="167" t="s">
        <v>654</v>
      </c>
      <c r="P273" s="167">
        <v>3608</v>
      </c>
      <c r="Q273" s="167">
        <v>205</v>
      </c>
      <c r="R273" s="167">
        <v>126</v>
      </c>
    </row>
    <row r="274" spans="1:18" ht="17">
      <c r="A274" s="20" t="s">
        <v>555</v>
      </c>
      <c r="B274" s="20" t="s">
        <v>555</v>
      </c>
      <c r="C274" s="20">
        <v>1</v>
      </c>
      <c r="D274" s="20">
        <v>3456</v>
      </c>
      <c r="E274" s="20">
        <v>28</v>
      </c>
      <c r="F274" s="20">
        <v>0</v>
      </c>
      <c r="G274" s="20" t="s">
        <v>175</v>
      </c>
      <c r="H274" s="20" t="s">
        <v>175</v>
      </c>
      <c r="I274" s="20" t="s">
        <v>8</v>
      </c>
      <c r="J274" s="20" t="s">
        <v>8</v>
      </c>
      <c r="K274" s="166">
        <f t="shared" si="12"/>
        <v>3456</v>
      </c>
      <c r="L274" s="166">
        <f t="shared" si="13"/>
        <v>28</v>
      </c>
      <c r="M274" s="143" t="s">
        <v>8</v>
      </c>
      <c r="N274" s="20" t="s">
        <v>8</v>
      </c>
      <c r="O274" s="167" t="s">
        <v>654</v>
      </c>
      <c r="P274" s="167">
        <v>3721</v>
      </c>
      <c r="Q274" s="167">
        <v>108</v>
      </c>
      <c r="R274" s="167">
        <v>83</v>
      </c>
    </row>
    <row r="275" spans="1:18" ht="17">
      <c r="A275" s="20" t="s">
        <v>556</v>
      </c>
      <c r="B275" s="20" t="s">
        <v>556</v>
      </c>
      <c r="C275" s="20">
        <v>1</v>
      </c>
      <c r="D275" s="20">
        <v>3537</v>
      </c>
      <c r="E275" s="20">
        <v>30</v>
      </c>
      <c r="F275" s="20">
        <v>0</v>
      </c>
      <c r="G275" s="20" t="s">
        <v>175</v>
      </c>
      <c r="H275" s="20" t="s">
        <v>175</v>
      </c>
      <c r="I275" s="20" t="s">
        <v>8</v>
      </c>
      <c r="J275" s="20" t="s">
        <v>8</v>
      </c>
      <c r="K275" s="166">
        <f t="shared" si="12"/>
        <v>3537</v>
      </c>
      <c r="L275" s="166">
        <f t="shared" si="13"/>
        <v>30</v>
      </c>
      <c r="M275" s="143" t="s">
        <v>8</v>
      </c>
      <c r="N275" s="20" t="s">
        <v>8</v>
      </c>
      <c r="O275" s="167" t="s">
        <v>654</v>
      </c>
      <c r="P275" s="167">
        <v>3820</v>
      </c>
      <c r="Q275" s="167">
        <v>82</v>
      </c>
      <c r="R275" s="167">
        <v>121</v>
      </c>
    </row>
    <row r="276" spans="1:18" ht="17">
      <c r="A276" s="20" t="s">
        <v>557</v>
      </c>
      <c r="B276" s="20" t="s">
        <v>557</v>
      </c>
      <c r="C276" s="20">
        <v>1</v>
      </c>
      <c r="D276" s="20">
        <v>3642</v>
      </c>
      <c r="E276" s="20">
        <v>30</v>
      </c>
      <c r="F276" s="20">
        <v>0</v>
      </c>
      <c r="G276" s="20" t="s">
        <v>175</v>
      </c>
      <c r="H276" s="20" t="s">
        <v>175</v>
      </c>
      <c r="I276" s="20" t="s">
        <v>8</v>
      </c>
      <c r="J276" s="20" t="s">
        <v>8</v>
      </c>
      <c r="K276" s="166">
        <f t="shared" si="12"/>
        <v>3642</v>
      </c>
      <c r="L276" s="166">
        <f t="shared" si="13"/>
        <v>30</v>
      </c>
      <c r="M276" s="143" t="s">
        <v>8</v>
      </c>
      <c r="N276" s="20" t="s">
        <v>8</v>
      </c>
      <c r="O276" s="167" t="s">
        <v>654</v>
      </c>
      <c r="P276" s="167">
        <v>3956</v>
      </c>
      <c r="Q276" s="167">
        <v>127</v>
      </c>
      <c r="R276" s="167">
        <v>106</v>
      </c>
    </row>
    <row r="277" spans="1:18" ht="17">
      <c r="A277" s="20" t="s">
        <v>558</v>
      </c>
      <c r="B277" s="20" t="s">
        <v>558</v>
      </c>
      <c r="C277" s="20">
        <v>1</v>
      </c>
      <c r="D277" s="20">
        <v>3665</v>
      </c>
      <c r="E277" s="20">
        <v>30</v>
      </c>
      <c r="F277" s="20">
        <v>0</v>
      </c>
      <c r="G277" s="20" t="s">
        <v>175</v>
      </c>
      <c r="H277" s="20" t="s">
        <v>175</v>
      </c>
      <c r="I277" s="20" t="s">
        <v>8</v>
      </c>
      <c r="J277" s="20" t="s">
        <v>8</v>
      </c>
      <c r="K277" s="166">
        <f t="shared" si="12"/>
        <v>3665</v>
      </c>
      <c r="L277" s="166">
        <f t="shared" si="13"/>
        <v>30</v>
      </c>
      <c r="M277" s="143" t="s">
        <v>8</v>
      </c>
      <c r="N277" s="20" t="s">
        <v>8</v>
      </c>
      <c r="O277" s="167" t="s">
        <v>654</v>
      </c>
      <c r="P277" s="167">
        <v>3994</v>
      </c>
      <c r="Q277" s="167">
        <v>93</v>
      </c>
      <c r="R277" s="167">
        <v>94</v>
      </c>
    </row>
    <row r="278" spans="1:18" ht="17">
      <c r="A278" s="20" t="s">
        <v>559</v>
      </c>
      <c r="B278" s="20" t="s">
        <v>559</v>
      </c>
      <c r="C278" s="20">
        <v>1</v>
      </c>
      <c r="D278" s="20">
        <v>3813</v>
      </c>
      <c r="E278" s="20">
        <v>31</v>
      </c>
      <c r="F278" s="20">
        <v>0</v>
      </c>
      <c r="G278" s="20" t="s">
        <v>175</v>
      </c>
      <c r="H278" s="20" t="s">
        <v>175</v>
      </c>
      <c r="I278" s="20" t="s">
        <v>8</v>
      </c>
      <c r="J278" s="20" t="s">
        <v>8</v>
      </c>
      <c r="K278" s="166">
        <f t="shared" si="12"/>
        <v>3813</v>
      </c>
      <c r="L278" s="166">
        <f t="shared" si="13"/>
        <v>31</v>
      </c>
      <c r="M278" s="143" t="s">
        <v>8</v>
      </c>
      <c r="N278" s="20" t="s">
        <v>8</v>
      </c>
      <c r="O278" s="167" t="s">
        <v>654</v>
      </c>
      <c r="P278" s="167">
        <v>4200</v>
      </c>
      <c r="Q278" s="167">
        <v>153</v>
      </c>
      <c r="R278" s="167">
        <v>110</v>
      </c>
    </row>
    <row r="279" spans="1:18" ht="17">
      <c r="A279" s="20" t="s">
        <v>560</v>
      </c>
      <c r="B279" s="20" t="s">
        <v>560</v>
      </c>
      <c r="C279" s="20">
        <v>1</v>
      </c>
      <c r="D279" s="20">
        <v>4544</v>
      </c>
      <c r="E279" s="20">
        <v>33</v>
      </c>
      <c r="F279" s="20">
        <v>0</v>
      </c>
      <c r="G279" s="20" t="s">
        <v>175</v>
      </c>
      <c r="H279" s="20" t="s">
        <v>175</v>
      </c>
      <c r="I279" s="20" t="s">
        <v>8</v>
      </c>
      <c r="J279" s="20" t="s">
        <v>8</v>
      </c>
      <c r="K279" s="166">
        <f t="shared" si="12"/>
        <v>4544</v>
      </c>
      <c r="L279" s="166">
        <f t="shared" si="13"/>
        <v>33</v>
      </c>
      <c r="M279" s="143" t="s">
        <v>8</v>
      </c>
      <c r="N279" s="20" t="s">
        <v>8</v>
      </c>
      <c r="O279" s="167" t="s">
        <v>654</v>
      </c>
      <c r="P279" s="167">
        <v>5161</v>
      </c>
      <c r="Q279" s="167">
        <v>156</v>
      </c>
      <c r="R279" s="167">
        <v>110</v>
      </c>
    </row>
    <row r="280" spans="1:18">
      <c r="A280" s="139"/>
      <c r="B280" s="139"/>
      <c r="C280" s="139"/>
      <c r="D280"/>
      <c r="E280"/>
      <c r="F280"/>
      <c r="G280"/>
      <c r="H280"/>
      <c r="I280"/>
      <c r="J280"/>
      <c r="K280"/>
      <c r="L280"/>
      <c r="M280"/>
      <c r="N280"/>
      <c r="O280"/>
    </row>
    <row r="281" spans="1:18">
      <c r="A281" s="139"/>
      <c r="B281" s="139"/>
      <c r="C281" s="139"/>
      <c r="D281"/>
      <c r="E281"/>
      <c r="F281"/>
      <c r="G281"/>
      <c r="H281"/>
      <c r="I281"/>
      <c r="J281"/>
      <c r="K281"/>
      <c r="L281"/>
      <c r="M281"/>
      <c r="N281"/>
      <c r="O281"/>
    </row>
    <row r="282" spans="1:18">
      <c r="A282" s="139"/>
      <c r="B282" s="139"/>
      <c r="C282" s="139"/>
      <c r="D282"/>
      <c r="E282"/>
      <c r="F282"/>
      <c r="G282"/>
      <c r="H282"/>
      <c r="I282"/>
      <c r="J282"/>
      <c r="K282"/>
      <c r="L282"/>
      <c r="M282"/>
      <c r="N282"/>
      <c r="O282"/>
    </row>
    <row r="283" spans="1:18">
      <c r="A283" s="139"/>
      <c r="B283" s="139"/>
      <c r="C283" s="139"/>
      <c r="D283"/>
      <c r="E283"/>
      <c r="F283"/>
      <c r="G283"/>
      <c r="H283"/>
      <c r="I283"/>
      <c r="J283"/>
      <c r="K283"/>
      <c r="L283"/>
      <c r="M283"/>
      <c r="N283"/>
      <c r="O283"/>
    </row>
    <row r="284" spans="1:18">
      <c r="A284" s="139"/>
      <c r="B284" s="139"/>
      <c r="C284" s="139"/>
      <c r="D284"/>
      <c r="E284"/>
      <c r="F284"/>
      <c r="G284"/>
      <c r="H284"/>
      <c r="I284"/>
      <c r="J284"/>
      <c r="K284"/>
      <c r="L284"/>
      <c r="M284"/>
      <c r="N284"/>
      <c r="O284"/>
    </row>
    <row r="285" spans="1:18">
      <c r="A285" s="139"/>
      <c r="B285" s="139"/>
      <c r="C285" s="139"/>
      <c r="D285"/>
      <c r="E285"/>
      <c r="F285"/>
      <c r="G285"/>
      <c r="H285"/>
      <c r="I285"/>
      <c r="J285"/>
      <c r="K285"/>
      <c r="L285"/>
      <c r="M285"/>
      <c r="N285"/>
      <c r="O285"/>
    </row>
    <row r="286" spans="1:18">
      <c r="A286" s="139"/>
      <c r="B286" s="139"/>
      <c r="C286" s="139"/>
      <c r="D286"/>
      <c r="E286"/>
      <c r="F286"/>
      <c r="G286"/>
      <c r="H286"/>
      <c r="I286"/>
      <c r="J286"/>
      <c r="K286"/>
      <c r="L286"/>
      <c r="M286"/>
      <c r="N286"/>
      <c r="O286"/>
      <c r="P286"/>
      <c r="Q286"/>
      <c r="R286"/>
    </row>
    <row r="287" spans="1:18">
      <c r="A287" s="139"/>
      <c r="B287" s="139"/>
      <c r="C287" s="139"/>
      <c r="D287"/>
      <c r="E287"/>
      <c r="F287"/>
      <c r="G287"/>
      <c r="H287"/>
      <c r="I287"/>
      <c r="J287"/>
      <c r="K287"/>
      <c r="L287"/>
      <c r="M287"/>
      <c r="N287"/>
      <c r="O287"/>
      <c r="P287"/>
      <c r="Q287"/>
      <c r="R287"/>
    </row>
    <row r="288" spans="1:18">
      <c r="A288" s="139"/>
      <c r="B288" s="139"/>
      <c r="C288" s="139"/>
      <c r="D288"/>
      <c r="E288"/>
      <c r="F288"/>
      <c r="G288"/>
      <c r="H288"/>
      <c r="I288"/>
      <c r="J288"/>
      <c r="K288"/>
      <c r="L288"/>
      <c r="M288"/>
      <c r="N288"/>
      <c r="O288"/>
      <c r="P288"/>
      <c r="Q288"/>
      <c r="R288"/>
    </row>
    <row r="289" spans="1:18">
      <c r="A289" s="139"/>
      <c r="B289" s="139"/>
      <c r="C289" s="139"/>
      <c r="D289"/>
      <c r="E289"/>
      <c r="F289"/>
      <c r="G289"/>
      <c r="H289"/>
      <c r="I289"/>
      <c r="J289"/>
      <c r="K289"/>
      <c r="L289"/>
      <c r="M289"/>
      <c r="N289"/>
      <c r="O289"/>
      <c r="P289"/>
      <c r="Q289"/>
      <c r="R289"/>
    </row>
    <row r="290" spans="1:18">
      <c r="A290" s="139"/>
      <c r="B290" s="139"/>
      <c r="C290" s="139"/>
      <c r="D290"/>
      <c r="E290"/>
      <c r="F290"/>
      <c r="G290"/>
      <c r="H290"/>
      <c r="I290"/>
      <c r="J290"/>
      <c r="K290"/>
      <c r="L290"/>
      <c r="M290"/>
      <c r="N290"/>
      <c r="O290"/>
      <c r="P290"/>
      <c r="Q290"/>
      <c r="R290"/>
    </row>
    <row r="291" spans="1:18">
      <c r="A291" s="139"/>
      <c r="B291" s="139"/>
      <c r="C291" s="139"/>
      <c r="D291"/>
      <c r="E291"/>
      <c r="F291"/>
      <c r="G291"/>
      <c r="H291"/>
      <c r="I291"/>
      <c r="J291"/>
      <c r="K291"/>
      <c r="L291"/>
      <c r="M291"/>
      <c r="N291"/>
      <c r="O291"/>
      <c r="P291"/>
      <c r="Q291"/>
      <c r="R291"/>
    </row>
    <row r="292" spans="1:18">
      <c r="A292" s="139"/>
      <c r="B292" s="139"/>
      <c r="C292" s="139"/>
      <c r="D292"/>
      <c r="E292"/>
      <c r="F292"/>
      <c r="G292"/>
      <c r="H292"/>
      <c r="I292"/>
      <c r="J292"/>
      <c r="K292"/>
      <c r="L292"/>
      <c r="M292"/>
      <c r="N292"/>
      <c r="O292"/>
      <c r="P292"/>
      <c r="Q292"/>
      <c r="R292"/>
    </row>
    <row r="293" spans="1:18">
      <c r="A293" s="139"/>
      <c r="B293" s="139"/>
      <c r="C293" s="139"/>
      <c r="D293"/>
      <c r="E293"/>
      <c r="F293"/>
      <c r="G293"/>
      <c r="H293"/>
      <c r="I293"/>
      <c r="J293"/>
      <c r="K293"/>
      <c r="L293"/>
      <c r="M293"/>
      <c r="N293"/>
      <c r="O293"/>
      <c r="P293"/>
      <c r="Q293"/>
      <c r="R293"/>
    </row>
    <row r="294" spans="1:18">
      <c r="A294" s="139"/>
      <c r="B294" s="139"/>
      <c r="C294" s="139"/>
      <c r="D294"/>
      <c r="E294"/>
      <c r="F294"/>
      <c r="G294"/>
      <c r="H294"/>
      <c r="I294"/>
      <c r="J294"/>
      <c r="K294"/>
      <c r="L294"/>
      <c r="M294"/>
      <c r="N294"/>
      <c r="O294"/>
      <c r="P294"/>
      <c r="Q294"/>
      <c r="R294"/>
    </row>
    <row r="295" spans="1:18">
      <c r="A295" s="139"/>
      <c r="B295" s="139"/>
      <c r="C295" s="139"/>
      <c r="D295"/>
      <c r="E295"/>
      <c r="F295"/>
      <c r="G295"/>
      <c r="H295"/>
      <c r="I295"/>
      <c r="J295"/>
      <c r="K295"/>
      <c r="L295"/>
      <c r="M295"/>
      <c r="N295"/>
      <c r="O295"/>
      <c r="P295"/>
      <c r="Q295"/>
      <c r="R295"/>
    </row>
    <row r="296" spans="1:18">
      <c r="A296" s="139"/>
      <c r="B296" s="139"/>
      <c r="C296" s="139"/>
      <c r="D296"/>
      <c r="E296"/>
      <c r="F296"/>
      <c r="G296"/>
      <c r="H296"/>
      <c r="I296"/>
      <c r="J296"/>
      <c r="K296"/>
      <c r="L296"/>
      <c r="M296"/>
      <c r="N296"/>
      <c r="O296"/>
      <c r="P296"/>
      <c r="Q296"/>
      <c r="R296"/>
    </row>
    <row r="297" spans="1:18">
      <c r="A297" s="139"/>
      <c r="B297" s="139"/>
      <c r="C297" s="139"/>
      <c r="D297"/>
      <c r="E297"/>
      <c r="F297"/>
      <c r="G297"/>
      <c r="H297"/>
      <c r="I297"/>
      <c r="J297"/>
      <c r="K297"/>
      <c r="L297"/>
      <c r="M297"/>
      <c r="N297"/>
      <c r="O297"/>
      <c r="P297"/>
      <c r="Q297"/>
      <c r="R297"/>
    </row>
    <row r="298" spans="1:18">
      <c r="A298" s="139"/>
      <c r="B298" s="139"/>
      <c r="C298" s="139"/>
      <c r="D298"/>
      <c r="E298"/>
      <c r="F298"/>
      <c r="G298"/>
      <c r="H298"/>
      <c r="I298"/>
      <c r="J298"/>
      <c r="K298"/>
      <c r="L298"/>
      <c r="M298"/>
      <c r="N298"/>
      <c r="O298"/>
      <c r="P298"/>
      <c r="Q298"/>
      <c r="R298"/>
    </row>
    <row r="299" spans="1:18">
      <c r="A299" s="139"/>
      <c r="B299" s="139"/>
      <c r="C299" s="139"/>
      <c r="D299"/>
      <c r="E299"/>
      <c r="F299"/>
      <c r="G299"/>
      <c r="H299"/>
      <c r="I299"/>
      <c r="J299"/>
      <c r="K299"/>
      <c r="L299"/>
      <c r="M299"/>
      <c r="N299"/>
      <c r="O299"/>
      <c r="P299"/>
      <c r="Q299"/>
      <c r="R299"/>
    </row>
    <row r="300" spans="1:18">
      <c r="A300" s="139"/>
      <c r="B300" s="139"/>
      <c r="C300" s="139"/>
      <c r="D300"/>
      <c r="E300"/>
      <c r="F300"/>
      <c r="G300"/>
      <c r="H300"/>
      <c r="I300"/>
      <c r="J300"/>
      <c r="K300"/>
      <c r="L300"/>
      <c r="M300"/>
      <c r="N300"/>
      <c r="O300"/>
      <c r="P300"/>
      <c r="Q300"/>
      <c r="R300"/>
    </row>
    <row r="301" spans="1:18">
      <c r="A301" s="139"/>
      <c r="B301" s="139"/>
      <c r="C301" s="139"/>
      <c r="D301"/>
      <c r="E301"/>
      <c r="F301"/>
      <c r="G301"/>
      <c r="H301"/>
      <c r="I301"/>
      <c r="J301"/>
      <c r="K301"/>
      <c r="L301"/>
      <c r="M301"/>
      <c r="N301"/>
      <c r="O301"/>
      <c r="P301"/>
      <c r="Q301"/>
      <c r="R301"/>
    </row>
    <row r="302" spans="1:18">
      <c r="A302" s="139"/>
      <c r="B302" s="139"/>
      <c r="C302" s="139"/>
      <c r="D302"/>
      <c r="E302"/>
      <c r="F302"/>
      <c r="G302"/>
      <c r="H302"/>
      <c r="I302"/>
      <c r="J302"/>
      <c r="K302"/>
      <c r="L302"/>
      <c r="M302"/>
      <c r="N302"/>
      <c r="O302"/>
      <c r="P302"/>
      <c r="Q302"/>
      <c r="R302"/>
    </row>
    <row r="303" spans="1:18">
      <c r="A303" s="139"/>
      <c r="B303" s="139"/>
      <c r="C303" s="139"/>
      <c r="D303"/>
      <c r="E303"/>
      <c r="F303"/>
      <c r="G303"/>
      <c r="H303"/>
      <c r="I303"/>
      <c r="J303"/>
      <c r="K303"/>
      <c r="L303"/>
      <c r="M303"/>
      <c r="N303"/>
      <c r="O303"/>
      <c r="P303"/>
      <c r="Q303"/>
      <c r="R303"/>
    </row>
    <row r="304" spans="1:18">
      <c r="A304" s="139"/>
      <c r="B304" s="139"/>
      <c r="C304" s="139"/>
      <c r="D304"/>
      <c r="E304"/>
      <c r="F304"/>
      <c r="G304"/>
      <c r="H304"/>
      <c r="I304"/>
      <c r="J304"/>
      <c r="K304"/>
      <c r="L304"/>
      <c r="M304"/>
      <c r="N304"/>
      <c r="O304"/>
      <c r="P304"/>
      <c r="Q304"/>
      <c r="R304"/>
    </row>
    <row r="305" spans="1:18">
      <c r="A305" s="139"/>
      <c r="B305" s="139"/>
      <c r="C305" s="139"/>
      <c r="D305"/>
      <c r="E305"/>
      <c r="F305"/>
      <c r="G305"/>
      <c r="H305"/>
      <c r="I305"/>
      <c r="J305"/>
      <c r="K305"/>
      <c r="L305"/>
      <c r="M305"/>
      <c r="N305"/>
      <c r="O305"/>
      <c r="P305"/>
      <c r="Q305"/>
      <c r="R305"/>
    </row>
    <row r="306" spans="1:18">
      <c r="A306" s="139"/>
      <c r="B306" s="139"/>
      <c r="C306" s="139"/>
      <c r="D306"/>
      <c r="E306"/>
      <c r="F306"/>
      <c r="G306"/>
      <c r="H306"/>
      <c r="I306"/>
      <c r="J306"/>
      <c r="K306"/>
      <c r="L306"/>
      <c r="M306"/>
      <c r="N306"/>
      <c r="O306"/>
      <c r="P306"/>
      <c r="Q306"/>
      <c r="R306"/>
    </row>
    <row r="307" spans="1:18">
      <c r="A307" s="139"/>
      <c r="B307" s="139"/>
      <c r="C307" s="139"/>
      <c r="D307"/>
      <c r="E307"/>
      <c r="F307"/>
      <c r="G307"/>
      <c r="H307"/>
      <c r="I307"/>
      <c r="J307"/>
      <c r="K307"/>
      <c r="L307"/>
      <c r="M307"/>
      <c r="N307"/>
      <c r="O307"/>
      <c r="P307"/>
      <c r="Q307"/>
      <c r="R307"/>
    </row>
    <row r="308" spans="1:18">
      <c r="A308" s="139"/>
      <c r="B308" s="139"/>
      <c r="C308" s="139"/>
      <c r="D308"/>
      <c r="E308"/>
      <c r="F308"/>
      <c r="G308"/>
      <c r="H308"/>
      <c r="I308"/>
      <c r="J308"/>
      <c r="K308"/>
      <c r="L308"/>
      <c r="M308"/>
      <c r="N308"/>
      <c r="O308"/>
      <c r="P308"/>
      <c r="Q308"/>
      <c r="R308"/>
    </row>
    <row r="309" spans="1:18">
      <c r="A309" s="139"/>
      <c r="B309" s="139"/>
      <c r="C309" s="139"/>
      <c r="D309"/>
      <c r="E309"/>
      <c r="F309"/>
      <c r="G309"/>
      <c r="H309"/>
      <c r="I309"/>
      <c r="J309"/>
      <c r="K309"/>
      <c r="L309"/>
      <c r="M309"/>
      <c r="N309"/>
      <c r="O309"/>
      <c r="P309"/>
      <c r="Q309"/>
      <c r="R309"/>
    </row>
    <row r="310" spans="1:18">
      <c r="A310" s="139"/>
      <c r="B310" s="139"/>
      <c r="C310" s="139"/>
      <c r="D310"/>
      <c r="E310"/>
      <c r="F310"/>
      <c r="G310"/>
      <c r="H310"/>
      <c r="I310"/>
      <c r="J310"/>
      <c r="K310"/>
      <c r="L310"/>
      <c r="M310"/>
      <c r="N310"/>
      <c r="O310"/>
      <c r="P310"/>
      <c r="Q310"/>
      <c r="R310"/>
    </row>
    <row r="311" spans="1:18">
      <c r="A311" s="139"/>
      <c r="B311" s="139"/>
      <c r="C311" s="139"/>
      <c r="D311"/>
      <c r="E311"/>
      <c r="F311"/>
      <c r="G311"/>
      <c r="H311"/>
      <c r="I311"/>
      <c r="J311"/>
      <c r="K311"/>
      <c r="L311"/>
      <c r="M311"/>
      <c r="N311"/>
      <c r="O311"/>
      <c r="P311"/>
      <c r="Q311"/>
      <c r="R311"/>
    </row>
    <row r="312" spans="1:18">
      <c r="A312" s="139"/>
      <c r="B312" s="139"/>
      <c r="C312" s="139"/>
      <c r="D312"/>
      <c r="E312"/>
      <c r="F312"/>
      <c r="G312"/>
      <c r="H312"/>
      <c r="I312"/>
      <c r="J312"/>
      <c r="K312"/>
      <c r="L312"/>
      <c r="M312"/>
      <c r="N312"/>
      <c r="O312"/>
      <c r="P312"/>
      <c r="Q312"/>
      <c r="R312"/>
    </row>
    <row r="313" spans="1:18">
      <c r="A313" s="139"/>
      <c r="B313" s="139"/>
      <c r="C313" s="139"/>
      <c r="D313"/>
      <c r="E313"/>
      <c r="F313"/>
      <c r="G313"/>
      <c r="H313"/>
      <c r="I313"/>
      <c r="J313"/>
      <c r="K313"/>
      <c r="L313"/>
      <c r="M313"/>
      <c r="N313"/>
      <c r="O313"/>
      <c r="P313"/>
      <c r="Q313"/>
      <c r="R313"/>
    </row>
    <row r="314" spans="1:18">
      <c r="A314" s="139"/>
      <c r="B314" s="139"/>
      <c r="C314" s="139"/>
      <c r="D314"/>
      <c r="E314"/>
      <c r="F314"/>
      <c r="G314"/>
      <c r="H314"/>
      <c r="I314"/>
      <c r="J314"/>
      <c r="K314"/>
      <c r="L314"/>
      <c r="M314"/>
      <c r="N314"/>
      <c r="O314"/>
      <c r="P314"/>
      <c r="Q314"/>
      <c r="R314"/>
    </row>
    <row r="315" spans="1:18">
      <c r="A315" s="139"/>
      <c r="B315" s="139"/>
      <c r="C315" s="139"/>
      <c r="D315"/>
      <c r="E315"/>
      <c r="F315"/>
      <c r="G315"/>
      <c r="H315"/>
      <c r="I315"/>
      <c r="J315"/>
      <c r="K315"/>
      <c r="L315"/>
      <c r="M315"/>
      <c r="N315"/>
      <c r="O315"/>
      <c r="P315"/>
      <c r="Q315"/>
      <c r="R315"/>
    </row>
    <row r="316" spans="1:18">
      <c r="A316" s="139"/>
      <c r="B316" s="139"/>
      <c r="C316" s="139"/>
      <c r="D316"/>
      <c r="E316"/>
      <c r="F316"/>
      <c r="G316"/>
      <c r="H316"/>
      <c r="I316"/>
      <c r="J316"/>
      <c r="K316"/>
      <c r="L316"/>
      <c r="M316"/>
      <c r="N316"/>
      <c r="O316"/>
      <c r="P316"/>
      <c r="Q316"/>
      <c r="R316"/>
    </row>
    <row r="317" spans="1:18">
      <c r="A317" s="139"/>
      <c r="B317" s="139"/>
      <c r="C317" s="139"/>
      <c r="D317"/>
      <c r="E317"/>
      <c r="F317"/>
      <c r="G317"/>
      <c r="H317"/>
      <c r="I317"/>
      <c r="J317"/>
      <c r="K317"/>
      <c r="L317"/>
      <c r="M317"/>
      <c r="N317"/>
      <c r="O317"/>
      <c r="P317"/>
      <c r="Q317"/>
      <c r="R317"/>
    </row>
    <row r="318" spans="1:18">
      <c r="A318" s="139"/>
      <c r="B318" s="139"/>
      <c r="C318" s="139"/>
      <c r="D318"/>
      <c r="E318"/>
      <c r="F318"/>
      <c r="G318"/>
      <c r="H318"/>
      <c r="I318"/>
      <c r="J318"/>
      <c r="K318"/>
      <c r="L318"/>
      <c r="M318"/>
      <c r="N318"/>
      <c r="O318"/>
      <c r="P318"/>
      <c r="Q318"/>
      <c r="R318"/>
    </row>
    <row r="319" spans="1:18">
      <c r="A319" s="139"/>
      <c r="B319" s="139"/>
      <c r="C319" s="139"/>
      <c r="D319"/>
      <c r="E319"/>
      <c r="F319"/>
      <c r="G319"/>
      <c r="H319"/>
      <c r="I319"/>
      <c r="J319"/>
      <c r="K319"/>
      <c r="L319"/>
      <c r="M319"/>
      <c r="N319"/>
      <c r="O319"/>
      <c r="P319"/>
      <c r="Q319"/>
      <c r="R319"/>
    </row>
    <row r="320" spans="1:18">
      <c r="A320" s="139"/>
      <c r="B320" s="139"/>
      <c r="C320" s="139"/>
      <c r="D320"/>
      <c r="E320"/>
      <c r="F320"/>
      <c r="G320"/>
      <c r="H320"/>
      <c r="I320"/>
      <c r="J320"/>
      <c r="K320"/>
      <c r="L320"/>
      <c r="M320"/>
      <c r="N320"/>
      <c r="O320"/>
      <c r="P320"/>
      <c r="Q320"/>
      <c r="R320"/>
    </row>
    <row r="321" spans="1:18">
      <c r="A321" s="139"/>
      <c r="B321" s="139"/>
      <c r="C321" s="139"/>
      <c r="D321"/>
      <c r="E321"/>
      <c r="F321"/>
      <c r="G321"/>
      <c r="H321"/>
      <c r="I321"/>
      <c r="J321"/>
      <c r="K321"/>
      <c r="L321"/>
      <c r="M321"/>
      <c r="N321"/>
      <c r="O321"/>
      <c r="P321"/>
      <c r="Q321"/>
      <c r="R321"/>
    </row>
    <row r="322" spans="1:18">
      <c r="A322" s="139"/>
      <c r="B322" s="139"/>
      <c r="C322" s="139"/>
      <c r="D322"/>
      <c r="E322"/>
      <c r="F322"/>
      <c r="G322"/>
      <c r="H322"/>
      <c r="I322"/>
      <c r="J322"/>
      <c r="K322"/>
      <c r="L322"/>
      <c r="M322"/>
      <c r="N322"/>
      <c r="O322"/>
      <c r="P322"/>
      <c r="Q322"/>
      <c r="R322"/>
    </row>
    <row r="323" spans="1:18">
      <c r="A323" s="139"/>
      <c r="B323" s="139"/>
      <c r="C323" s="139"/>
      <c r="D323"/>
      <c r="E323"/>
      <c r="F323"/>
      <c r="G323"/>
      <c r="H323"/>
      <c r="I323"/>
      <c r="J323"/>
      <c r="K323"/>
      <c r="L323"/>
      <c r="M323"/>
      <c r="N323"/>
      <c r="O323"/>
      <c r="P323"/>
      <c r="Q323"/>
      <c r="R323"/>
    </row>
    <row r="324" spans="1:18">
      <c r="A324" s="139"/>
      <c r="B324" s="139"/>
      <c r="C324" s="139"/>
      <c r="D324"/>
      <c r="E324"/>
      <c r="F324"/>
      <c r="G324"/>
      <c r="H324"/>
      <c r="I324"/>
      <c r="J324"/>
      <c r="K324"/>
      <c r="L324"/>
      <c r="M324"/>
      <c r="N324"/>
      <c r="O324"/>
      <c r="P324"/>
      <c r="Q324"/>
      <c r="R324"/>
    </row>
    <row r="325" spans="1:18">
      <c r="A325" s="139"/>
      <c r="B325" s="139"/>
      <c r="C325" s="139"/>
      <c r="D325"/>
      <c r="E325"/>
      <c r="F325"/>
      <c r="G325"/>
      <c r="H325"/>
      <c r="I325"/>
      <c r="J325"/>
      <c r="K325"/>
      <c r="L325"/>
      <c r="M325"/>
      <c r="N325"/>
      <c r="O325"/>
      <c r="P325"/>
      <c r="Q325"/>
      <c r="R325"/>
    </row>
    <row r="326" spans="1:18">
      <c r="A326" s="139"/>
      <c r="B326" s="139"/>
      <c r="C326" s="139"/>
      <c r="D326"/>
      <c r="E326"/>
      <c r="F326"/>
      <c r="G326"/>
      <c r="H326"/>
      <c r="I326"/>
      <c r="J326"/>
      <c r="K326"/>
      <c r="L326"/>
      <c r="M326"/>
      <c r="N326"/>
      <c r="O326"/>
      <c r="P326"/>
      <c r="Q326"/>
      <c r="R326"/>
    </row>
    <row r="327" spans="1:18">
      <c r="A327" s="139"/>
      <c r="B327" s="139"/>
      <c r="C327" s="139"/>
      <c r="D327"/>
      <c r="E327"/>
      <c r="F327"/>
      <c r="G327"/>
      <c r="H327"/>
      <c r="I327"/>
      <c r="J327"/>
      <c r="K327"/>
      <c r="L327"/>
      <c r="M327"/>
      <c r="N327"/>
      <c r="O327"/>
      <c r="P327"/>
      <c r="Q327"/>
      <c r="R327"/>
    </row>
    <row r="328" spans="1:18">
      <c r="A328" s="139"/>
      <c r="B328" s="139"/>
      <c r="C328" s="139"/>
      <c r="D328"/>
      <c r="E328"/>
      <c r="F328"/>
      <c r="G328"/>
      <c r="H328"/>
      <c r="I328"/>
      <c r="J328"/>
      <c r="K328"/>
      <c r="L328"/>
      <c r="M328"/>
      <c r="N328"/>
      <c r="O328"/>
      <c r="P328"/>
      <c r="Q328"/>
      <c r="R328"/>
    </row>
    <row r="329" spans="1:18">
      <c r="A329" s="139"/>
      <c r="B329" s="139"/>
      <c r="C329" s="139"/>
      <c r="D329"/>
      <c r="E329"/>
      <c r="F329"/>
      <c r="G329"/>
      <c r="H329"/>
      <c r="I329"/>
      <c r="J329"/>
      <c r="K329"/>
      <c r="L329"/>
      <c r="M329"/>
      <c r="N329"/>
      <c r="O329"/>
      <c r="P329"/>
      <c r="Q329"/>
      <c r="R329"/>
    </row>
    <row r="330" spans="1:18">
      <c r="A330" s="139"/>
      <c r="B330" s="139"/>
      <c r="C330" s="139"/>
      <c r="D330"/>
      <c r="E330"/>
      <c r="F330"/>
      <c r="G330"/>
      <c r="H330"/>
      <c r="I330"/>
      <c r="J330"/>
      <c r="K330"/>
      <c r="L330"/>
      <c r="M330"/>
      <c r="N330"/>
      <c r="O330"/>
      <c r="P330"/>
      <c r="Q330"/>
      <c r="R330"/>
    </row>
    <row r="331" spans="1:18">
      <c r="A331" s="139"/>
      <c r="B331" s="139"/>
      <c r="C331" s="139"/>
      <c r="D331"/>
      <c r="E331"/>
      <c r="F331"/>
      <c r="G331"/>
      <c r="H331"/>
      <c r="I331"/>
      <c r="J331"/>
      <c r="K331"/>
      <c r="L331"/>
      <c r="M331"/>
      <c r="N331"/>
      <c r="O331"/>
      <c r="P331"/>
      <c r="Q331"/>
      <c r="R331"/>
    </row>
    <row r="332" spans="1:18">
      <c r="A332" s="139"/>
      <c r="B332" s="139"/>
      <c r="C332" s="139"/>
      <c r="D332"/>
      <c r="E332"/>
      <c r="F332"/>
      <c r="G332"/>
      <c r="H332"/>
      <c r="I332"/>
      <c r="J332"/>
      <c r="K332"/>
      <c r="L332"/>
      <c r="M332"/>
      <c r="N332"/>
      <c r="O332"/>
      <c r="P332"/>
      <c r="Q332"/>
      <c r="R332"/>
    </row>
    <row r="333" spans="1:18">
      <c r="A333" s="139"/>
      <c r="B333" s="139"/>
      <c r="C333" s="139"/>
      <c r="D333"/>
      <c r="E333"/>
      <c r="F333"/>
      <c r="G333"/>
      <c r="H333"/>
      <c r="I333"/>
      <c r="J333"/>
      <c r="K333"/>
      <c r="L333"/>
      <c r="M333"/>
      <c r="N333"/>
      <c r="O333"/>
      <c r="P333"/>
      <c r="Q333"/>
      <c r="R333"/>
    </row>
    <row r="334" spans="1:18">
      <c r="A334" s="139"/>
      <c r="B334" s="139"/>
      <c r="C334" s="139"/>
      <c r="D334"/>
      <c r="E334"/>
      <c r="F334"/>
      <c r="G334"/>
      <c r="H334"/>
      <c r="I334"/>
      <c r="J334"/>
      <c r="K334"/>
      <c r="L334"/>
      <c r="M334"/>
      <c r="N334"/>
      <c r="O334"/>
      <c r="P334"/>
      <c r="Q334"/>
      <c r="R334"/>
    </row>
    <row r="335" spans="1:18">
      <c r="A335" s="139"/>
      <c r="B335" s="139"/>
      <c r="C335" s="139"/>
      <c r="D335"/>
      <c r="E335"/>
      <c r="F335"/>
      <c r="G335"/>
      <c r="H335"/>
      <c r="I335"/>
      <c r="J335"/>
      <c r="K335"/>
      <c r="L335"/>
      <c r="M335"/>
      <c r="N335"/>
      <c r="O335"/>
      <c r="P335"/>
      <c r="Q335"/>
      <c r="R335"/>
    </row>
    <row r="336" spans="1:18">
      <c r="A336" s="139"/>
      <c r="B336" s="139"/>
      <c r="C336" s="139"/>
      <c r="D336"/>
      <c r="E336"/>
      <c r="F336"/>
      <c r="G336"/>
      <c r="H336"/>
      <c r="I336"/>
      <c r="J336"/>
      <c r="K336"/>
      <c r="L336"/>
      <c r="M336"/>
      <c r="N336"/>
      <c r="O336"/>
      <c r="P336"/>
      <c r="Q336"/>
      <c r="R336"/>
    </row>
    <row r="337" spans="1:18">
      <c r="A337" s="139"/>
      <c r="B337" s="139"/>
      <c r="C337" s="139"/>
      <c r="D337"/>
      <c r="E337"/>
      <c r="F337"/>
      <c r="G337"/>
      <c r="H337"/>
      <c r="I337"/>
      <c r="J337"/>
      <c r="K337"/>
      <c r="L337"/>
      <c r="M337"/>
      <c r="N337"/>
      <c r="O337"/>
      <c r="P337"/>
      <c r="Q337"/>
      <c r="R337"/>
    </row>
    <row r="338" spans="1:18">
      <c r="A338" s="139"/>
      <c r="B338" s="139"/>
      <c r="C338" s="139"/>
      <c r="D338"/>
      <c r="E338"/>
      <c r="F338"/>
      <c r="G338"/>
      <c r="H338"/>
      <c r="I338"/>
      <c r="J338"/>
      <c r="K338"/>
      <c r="L338"/>
      <c r="M338"/>
      <c r="N338"/>
      <c r="O338"/>
      <c r="P338"/>
      <c r="Q338"/>
      <c r="R338"/>
    </row>
    <row r="339" spans="1:18">
      <c r="A339" s="139"/>
      <c r="B339" s="139"/>
      <c r="C339" s="139"/>
      <c r="D339"/>
      <c r="E339"/>
      <c r="F339"/>
      <c r="G339"/>
      <c r="H339"/>
      <c r="I339"/>
      <c r="J339"/>
      <c r="K339"/>
      <c r="L339"/>
      <c r="M339"/>
      <c r="N339"/>
      <c r="O339"/>
      <c r="P339"/>
      <c r="Q339"/>
      <c r="R339"/>
    </row>
    <row r="340" spans="1:18">
      <c r="A340" s="139"/>
      <c r="B340" s="139"/>
      <c r="C340" s="139"/>
      <c r="D340"/>
      <c r="E340"/>
      <c r="F340"/>
      <c r="G340"/>
      <c r="H340"/>
      <c r="I340"/>
      <c r="J340"/>
      <c r="K340"/>
      <c r="L340"/>
      <c r="M340"/>
      <c r="N340"/>
      <c r="O340"/>
      <c r="P340"/>
      <c r="Q340"/>
      <c r="R340"/>
    </row>
    <row r="341" spans="1:18">
      <c r="A341" s="139"/>
      <c r="B341" s="139"/>
      <c r="C341" s="139"/>
      <c r="D341"/>
      <c r="E341"/>
      <c r="F341"/>
      <c r="G341"/>
      <c r="H341"/>
      <c r="I341"/>
      <c r="J341"/>
      <c r="K341"/>
      <c r="L341"/>
      <c r="M341"/>
      <c r="N341"/>
      <c r="O341"/>
      <c r="P341"/>
      <c r="Q341"/>
      <c r="R341"/>
    </row>
    <row r="342" spans="1:18">
      <c r="A342" s="139"/>
      <c r="B342" s="139"/>
      <c r="C342" s="139"/>
      <c r="D342"/>
      <c r="E342"/>
      <c r="F342"/>
      <c r="G342"/>
      <c r="H342"/>
      <c r="I342"/>
      <c r="J342"/>
      <c r="K342"/>
      <c r="L342"/>
      <c r="M342"/>
      <c r="N342"/>
      <c r="O342"/>
      <c r="P342"/>
      <c r="Q342"/>
      <c r="R342"/>
    </row>
    <row r="343" spans="1:18">
      <c r="A343" s="139"/>
      <c r="B343" s="139"/>
      <c r="C343" s="139"/>
      <c r="D343"/>
      <c r="E343"/>
      <c r="F343"/>
      <c r="G343"/>
      <c r="H343"/>
      <c r="I343"/>
      <c r="J343"/>
      <c r="K343"/>
      <c r="L343"/>
      <c r="M343"/>
      <c r="N343"/>
      <c r="O343"/>
      <c r="P343"/>
      <c r="Q343"/>
      <c r="R343"/>
    </row>
    <row r="344" spans="1:18">
      <c r="A344" s="139"/>
      <c r="B344" s="139"/>
      <c r="C344" s="139"/>
      <c r="D344"/>
      <c r="E344"/>
      <c r="F344"/>
      <c r="G344"/>
      <c r="H344"/>
      <c r="I344"/>
      <c r="J344"/>
      <c r="K344"/>
      <c r="L344"/>
      <c r="M344"/>
      <c r="N344"/>
      <c r="O344"/>
      <c r="P344"/>
      <c r="Q344"/>
      <c r="R344"/>
    </row>
    <row r="345" spans="1:18">
      <c r="A345" s="139"/>
      <c r="B345" s="139"/>
      <c r="C345" s="139"/>
      <c r="D345"/>
      <c r="E345"/>
      <c r="F345"/>
      <c r="G345"/>
      <c r="H345"/>
      <c r="I345"/>
      <c r="J345"/>
      <c r="K345"/>
      <c r="L345"/>
      <c r="M345"/>
      <c r="N345"/>
      <c r="O345"/>
      <c r="P345"/>
      <c r="Q345"/>
      <c r="R345"/>
    </row>
    <row r="346" spans="1:18">
      <c r="A346" s="139"/>
      <c r="B346" s="139"/>
      <c r="C346" s="139"/>
      <c r="D346"/>
      <c r="E346"/>
      <c r="F346"/>
      <c r="G346"/>
      <c r="H346"/>
      <c r="I346"/>
      <c r="J346"/>
      <c r="K346"/>
      <c r="L346"/>
      <c r="M346"/>
      <c r="N346"/>
      <c r="O346"/>
      <c r="P346"/>
      <c r="Q346"/>
      <c r="R346"/>
    </row>
    <row r="347" spans="1:18">
      <c r="A347" s="139"/>
      <c r="B347" s="139"/>
      <c r="C347" s="139"/>
      <c r="D347"/>
      <c r="E347"/>
      <c r="F347"/>
      <c r="G347"/>
      <c r="H347"/>
      <c r="I347"/>
      <c r="J347"/>
      <c r="K347"/>
      <c r="L347"/>
      <c r="M347"/>
      <c r="N347"/>
      <c r="O347"/>
      <c r="P347"/>
      <c r="Q347"/>
      <c r="R347"/>
    </row>
    <row r="348" spans="1:18">
      <c r="A348" s="139"/>
      <c r="B348" s="139"/>
      <c r="C348" s="139"/>
      <c r="D348"/>
      <c r="E348"/>
      <c r="F348"/>
      <c r="G348"/>
      <c r="H348"/>
      <c r="I348"/>
      <c r="J348"/>
      <c r="K348"/>
      <c r="L348"/>
      <c r="M348"/>
      <c r="N348"/>
      <c r="O348"/>
      <c r="P348"/>
      <c r="Q348"/>
      <c r="R348"/>
    </row>
    <row r="349" spans="1:18">
      <c r="A349" s="139"/>
      <c r="B349" s="139"/>
      <c r="C349" s="139"/>
      <c r="D349"/>
      <c r="E349"/>
      <c r="F349"/>
      <c r="G349"/>
      <c r="H349"/>
      <c r="I349"/>
      <c r="J349"/>
      <c r="K349"/>
      <c r="L349"/>
      <c r="M349"/>
      <c r="N349"/>
      <c r="O349"/>
      <c r="P349"/>
      <c r="Q349"/>
      <c r="R349"/>
    </row>
    <row r="350" spans="1:18">
      <c r="A350" s="139"/>
      <c r="B350" s="139"/>
      <c r="C350" s="139"/>
      <c r="D350"/>
      <c r="E350"/>
      <c r="F350"/>
      <c r="G350"/>
      <c r="H350"/>
      <c r="I350"/>
      <c r="J350"/>
      <c r="K350"/>
      <c r="L350"/>
      <c r="M350"/>
      <c r="N350"/>
      <c r="O350"/>
      <c r="P350"/>
      <c r="Q350"/>
      <c r="R350"/>
    </row>
    <row r="351" spans="1:18">
      <c r="A351" s="139"/>
      <c r="B351" s="139"/>
      <c r="C351" s="139"/>
      <c r="D351"/>
      <c r="E351"/>
      <c r="F351"/>
      <c r="G351"/>
      <c r="H351"/>
      <c r="I351"/>
      <c r="J351"/>
      <c r="K351"/>
      <c r="L351"/>
      <c r="M351"/>
      <c r="N351"/>
      <c r="O351"/>
      <c r="P351"/>
      <c r="Q351"/>
      <c r="R351"/>
    </row>
    <row r="352" spans="1:18">
      <c r="A352" s="139"/>
      <c r="B352" s="139"/>
      <c r="C352" s="139"/>
      <c r="D352"/>
      <c r="E352"/>
      <c r="F352"/>
      <c r="G352"/>
      <c r="H352"/>
      <c r="I352"/>
      <c r="J352"/>
      <c r="K352"/>
      <c r="L352"/>
      <c r="M352"/>
      <c r="N352"/>
      <c r="O352"/>
      <c r="P352"/>
      <c r="Q352"/>
      <c r="R352"/>
    </row>
    <row r="353" spans="1:18">
      <c r="A353" s="139"/>
      <c r="B353" s="139"/>
      <c r="C353" s="139"/>
      <c r="D353"/>
      <c r="E353"/>
      <c r="F353"/>
      <c r="G353"/>
      <c r="H353"/>
      <c r="I353"/>
      <c r="J353"/>
      <c r="K353"/>
      <c r="L353"/>
      <c r="M353"/>
      <c r="N353"/>
      <c r="O353"/>
      <c r="P353"/>
      <c r="Q353"/>
      <c r="R353"/>
    </row>
    <row r="354" spans="1:18">
      <c r="A354" s="139"/>
      <c r="B354" s="139"/>
      <c r="C354" s="139"/>
      <c r="D354"/>
      <c r="E354"/>
      <c r="F354"/>
      <c r="G354"/>
      <c r="H354"/>
      <c r="I354"/>
      <c r="J354"/>
      <c r="K354"/>
      <c r="L354"/>
      <c r="M354"/>
      <c r="N354"/>
      <c r="O354"/>
      <c r="P354"/>
      <c r="Q354"/>
      <c r="R354"/>
    </row>
    <row r="355" spans="1:18">
      <c r="A355" s="139"/>
      <c r="B355" s="139"/>
      <c r="C355" s="139"/>
      <c r="D355"/>
      <c r="E355"/>
      <c r="F355"/>
      <c r="G355"/>
      <c r="H355"/>
      <c r="I355"/>
      <c r="J355"/>
      <c r="K355"/>
      <c r="L355"/>
      <c r="M355"/>
      <c r="N355"/>
      <c r="O355"/>
      <c r="P355"/>
      <c r="Q355"/>
      <c r="R355"/>
    </row>
    <row r="356" spans="1:18">
      <c r="A356" s="139"/>
      <c r="B356" s="139"/>
      <c r="C356" s="139"/>
      <c r="D356"/>
      <c r="E356"/>
      <c r="F356"/>
      <c r="G356"/>
      <c r="H356"/>
      <c r="I356"/>
      <c r="J356"/>
      <c r="K356"/>
      <c r="L356"/>
      <c r="M356"/>
      <c r="N356"/>
      <c r="O356"/>
      <c r="P356"/>
      <c r="Q356"/>
      <c r="R356"/>
    </row>
    <row r="357" spans="1:18">
      <c r="A357" s="139"/>
      <c r="B357" s="139"/>
      <c r="C357" s="139"/>
      <c r="D357"/>
      <c r="E357"/>
      <c r="F357"/>
      <c r="G357"/>
      <c r="H357"/>
      <c r="I357"/>
      <c r="J357"/>
      <c r="K357"/>
      <c r="L357"/>
      <c r="M357"/>
      <c r="N357"/>
      <c r="O357"/>
      <c r="P357"/>
      <c r="Q357"/>
      <c r="R357"/>
    </row>
    <row r="358" spans="1:18">
      <c r="A358" s="139"/>
      <c r="B358" s="139"/>
      <c r="C358" s="139"/>
      <c r="D358"/>
      <c r="E358"/>
      <c r="F358"/>
      <c r="G358"/>
      <c r="H358"/>
      <c r="I358"/>
      <c r="J358"/>
      <c r="K358"/>
      <c r="L358"/>
      <c r="M358"/>
      <c r="N358"/>
      <c r="O358"/>
      <c r="P358"/>
      <c r="Q358"/>
      <c r="R358"/>
    </row>
    <row r="359" spans="1:18">
      <c r="A359" s="139"/>
      <c r="B359" s="139"/>
      <c r="C359" s="139"/>
      <c r="D359"/>
      <c r="E359"/>
      <c r="F359"/>
      <c r="G359"/>
      <c r="H359"/>
      <c r="I359"/>
      <c r="J359"/>
      <c r="K359"/>
      <c r="L359"/>
      <c r="M359"/>
      <c r="N359"/>
      <c r="O359"/>
      <c r="P359"/>
      <c r="Q359"/>
      <c r="R359"/>
    </row>
    <row r="360" spans="1:18">
      <c r="A360" s="139"/>
      <c r="B360" s="139"/>
      <c r="C360" s="139"/>
      <c r="D360"/>
      <c r="E360"/>
      <c r="F360"/>
      <c r="G360"/>
      <c r="H360"/>
      <c r="I360"/>
      <c r="J360"/>
      <c r="K360"/>
      <c r="L360"/>
      <c r="M360"/>
      <c r="N360"/>
      <c r="O360"/>
      <c r="P360"/>
      <c r="Q360"/>
      <c r="R360"/>
    </row>
    <row r="361" spans="1:18">
      <c r="A361" s="139"/>
      <c r="B361" s="139"/>
      <c r="C361" s="139"/>
      <c r="D361"/>
      <c r="E361"/>
      <c r="F361"/>
      <c r="G361"/>
      <c r="H361"/>
      <c r="I361"/>
      <c r="J361"/>
      <c r="K361"/>
      <c r="L361"/>
      <c r="M361"/>
      <c r="N361"/>
      <c r="O361"/>
      <c r="P361"/>
      <c r="Q361"/>
      <c r="R361"/>
    </row>
    <row r="362" spans="1:18">
      <c r="A362" s="139"/>
      <c r="B362" s="139"/>
      <c r="C362" s="139"/>
      <c r="D362"/>
      <c r="E362"/>
      <c r="F362"/>
      <c r="G362"/>
      <c r="H362"/>
      <c r="I362"/>
      <c r="J362"/>
      <c r="K362"/>
      <c r="L362"/>
      <c r="M362"/>
      <c r="N362"/>
      <c r="O362"/>
      <c r="P362"/>
      <c r="Q362"/>
      <c r="R362"/>
    </row>
    <row r="363" spans="1:18">
      <c r="A363" s="139"/>
      <c r="B363" s="139"/>
      <c r="C363" s="139"/>
      <c r="D363"/>
      <c r="E363"/>
      <c r="F363"/>
      <c r="G363"/>
      <c r="H363"/>
      <c r="I363"/>
      <c r="J363"/>
      <c r="K363"/>
      <c r="L363"/>
      <c r="M363"/>
      <c r="N363"/>
      <c r="O363"/>
      <c r="P363"/>
      <c r="Q363"/>
      <c r="R363"/>
    </row>
    <row r="364" spans="1:18">
      <c r="A364" s="139"/>
      <c r="B364" s="139"/>
      <c r="C364" s="139"/>
      <c r="D364"/>
      <c r="E364"/>
      <c r="F364"/>
      <c r="G364"/>
      <c r="H364"/>
      <c r="I364"/>
      <c r="J364"/>
      <c r="K364"/>
      <c r="L364"/>
      <c r="M364"/>
      <c r="N364"/>
      <c r="O364"/>
      <c r="P364"/>
      <c r="Q364"/>
      <c r="R364"/>
    </row>
    <row r="365" spans="1:18">
      <c r="A365" s="139"/>
      <c r="B365" s="139"/>
      <c r="C365" s="139"/>
      <c r="D365"/>
      <c r="E365"/>
      <c r="F365"/>
      <c r="G365"/>
      <c r="H365"/>
      <c r="I365"/>
      <c r="J365"/>
      <c r="K365"/>
      <c r="L365"/>
      <c r="M365"/>
      <c r="N365"/>
      <c r="O365"/>
      <c r="P365"/>
      <c r="Q365"/>
      <c r="R365"/>
    </row>
    <row r="366" spans="1:18">
      <c r="A366" s="139"/>
      <c r="B366" s="139"/>
      <c r="C366" s="139"/>
      <c r="D366"/>
      <c r="E366"/>
      <c r="F366"/>
      <c r="G366"/>
      <c r="H366"/>
      <c r="I366"/>
      <c r="J366"/>
      <c r="K366"/>
      <c r="L366"/>
      <c r="M366"/>
      <c r="N366"/>
      <c r="O366"/>
      <c r="P366"/>
      <c r="Q366"/>
      <c r="R366"/>
    </row>
    <row r="367" spans="1:18">
      <c r="A367" s="139"/>
      <c r="B367" s="139"/>
      <c r="C367" s="139"/>
      <c r="D367" s="121"/>
      <c r="E367" s="121"/>
      <c r="F367"/>
      <c r="G367"/>
      <c r="H367"/>
      <c r="I367"/>
      <c r="J367"/>
      <c r="K367"/>
      <c r="L367"/>
      <c r="M367"/>
      <c r="N367"/>
      <c r="O367"/>
      <c r="P367"/>
      <c r="Q367"/>
      <c r="R367"/>
    </row>
    <row r="368" spans="1:18">
      <c r="A368" s="139"/>
      <c r="B368" s="139"/>
      <c r="C368" s="139"/>
      <c r="D368" s="121"/>
      <c r="E368" s="121"/>
      <c r="F368"/>
      <c r="G368"/>
      <c r="H368"/>
      <c r="I368"/>
      <c r="J368"/>
      <c r="K368"/>
      <c r="L368"/>
      <c r="M368"/>
      <c r="N368"/>
      <c r="O368"/>
      <c r="P368"/>
      <c r="Q368"/>
      <c r="R368"/>
    </row>
    <row r="369" spans="1:19">
      <c r="A369" s="139"/>
      <c r="B369" s="139"/>
      <c r="C369" s="139"/>
      <c r="D369" s="121"/>
      <c r="E369" s="121"/>
      <c r="F369"/>
      <c r="G369"/>
      <c r="H369"/>
      <c r="I369"/>
      <c r="J369"/>
      <c r="K369"/>
      <c r="L369"/>
      <c r="M369"/>
      <c r="N369"/>
      <c r="O369"/>
      <c r="P369"/>
      <c r="Q369"/>
      <c r="R369"/>
    </row>
    <row r="370" spans="1:19">
      <c r="A370" s="139"/>
      <c r="B370" s="139"/>
      <c r="C370" s="139"/>
      <c r="D370" s="121"/>
      <c r="E370" s="121"/>
      <c r="F370"/>
      <c r="G370"/>
      <c r="H370"/>
      <c r="I370"/>
      <c r="J370"/>
      <c r="K370"/>
      <c r="L370"/>
      <c r="M370"/>
      <c r="N370"/>
      <c r="O370"/>
      <c r="P370"/>
      <c r="Q370"/>
      <c r="R370"/>
      <c r="S370" s="121"/>
    </row>
    <row r="371" spans="1:19">
      <c r="A371" s="139"/>
      <c r="B371" s="139"/>
      <c r="C371" s="139"/>
      <c r="D371" s="121"/>
      <c r="E371" s="121"/>
      <c r="F371"/>
      <c r="G371"/>
      <c r="H371"/>
      <c r="I371"/>
      <c r="J371"/>
      <c r="K371"/>
      <c r="L371"/>
      <c r="M371"/>
      <c r="N371"/>
      <c r="O371"/>
      <c r="P371"/>
      <c r="Q371"/>
      <c r="R371"/>
      <c r="S371" s="121"/>
    </row>
    <row r="372" spans="1:19">
      <c r="A372" s="139"/>
      <c r="B372" s="139"/>
      <c r="C372" s="139"/>
      <c r="D372" s="121"/>
      <c r="E372" s="121"/>
      <c r="F372"/>
      <c r="G372"/>
      <c r="H372"/>
      <c r="I372"/>
      <c r="J372"/>
      <c r="K372"/>
      <c r="L372"/>
      <c r="M372"/>
      <c r="N372"/>
      <c r="O372"/>
      <c r="P372"/>
      <c r="Q372"/>
      <c r="R372"/>
      <c r="S372" s="121"/>
    </row>
    <row r="373" spans="1:19">
      <c r="A373" s="139"/>
      <c r="B373" s="139"/>
      <c r="C373" s="139"/>
      <c r="D373" s="121"/>
      <c r="E373" s="121"/>
      <c r="F373"/>
      <c r="G373"/>
      <c r="H373"/>
      <c r="I373"/>
      <c r="J373"/>
      <c r="K373"/>
      <c r="L373"/>
      <c r="M373"/>
      <c r="N373"/>
      <c r="O373"/>
      <c r="P373"/>
      <c r="Q373"/>
      <c r="R373"/>
      <c r="S373" s="121"/>
    </row>
    <row r="374" spans="1:19">
      <c r="A374" s="139"/>
      <c r="B374" s="139"/>
      <c r="C374" s="139"/>
      <c r="D374"/>
      <c r="E374"/>
      <c r="F374"/>
      <c r="G374"/>
      <c r="H374"/>
      <c r="I374"/>
      <c r="J374"/>
      <c r="K374"/>
      <c r="L374"/>
      <c r="M374"/>
      <c r="N374"/>
      <c r="O374"/>
      <c r="P374"/>
      <c r="Q374"/>
      <c r="R374"/>
      <c r="S374" s="121"/>
    </row>
    <row r="375" spans="1:19">
      <c r="A375" s="139"/>
      <c r="B375" s="139"/>
      <c r="C375" s="139"/>
      <c r="D375"/>
      <c r="E375"/>
      <c r="F375"/>
      <c r="G375"/>
      <c r="H375"/>
      <c r="I375"/>
      <c r="J375"/>
      <c r="K375"/>
      <c r="L375"/>
      <c r="M375"/>
      <c r="N375"/>
      <c r="O375"/>
      <c r="P375"/>
      <c r="Q375"/>
      <c r="R375"/>
      <c r="S375" s="121"/>
    </row>
    <row r="376" spans="1:19">
      <c r="A376" s="139"/>
      <c r="B376" s="139"/>
      <c r="C376" s="139"/>
      <c r="D376"/>
      <c r="E376"/>
      <c r="F376"/>
      <c r="G376"/>
      <c r="H376"/>
      <c r="I376"/>
      <c r="J376"/>
      <c r="K376"/>
      <c r="L376"/>
      <c r="M376"/>
      <c r="N376"/>
      <c r="O376"/>
      <c r="P376"/>
      <c r="Q376"/>
      <c r="R376"/>
      <c r="S376" s="121"/>
    </row>
    <row r="377" spans="1:19">
      <c r="A377" s="139"/>
      <c r="B377" s="139"/>
      <c r="C377" s="139"/>
      <c r="D377"/>
      <c r="E377"/>
      <c r="F377"/>
      <c r="G377"/>
      <c r="H377"/>
      <c r="I377"/>
      <c r="J377"/>
      <c r="K377"/>
      <c r="L377"/>
      <c r="M377"/>
      <c r="N377"/>
      <c r="O377"/>
      <c r="P377"/>
      <c r="Q377"/>
      <c r="R377"/>
    </row>
    <row r="378" spans="1:19">
      <c r="A378" s="139"/>
      <c r="B378" s="139"/>
      <c r="C378" s="139"/>
      <c r="D378"/>
      <c r="E378"/>
      <c r="F378"/>
      <c r="G378"/>
      <c r="H378"/>
      <c r="I378"/>
      <c r="J378"/>
      <c r="K378"/>
      <c r="L378"/>
      <c r="M378"/>
      <c r="N378"/>
      <c r="O378"/>
      <c r="P378"/>
      <c r="Q378"/>
      <c r="R378"/>
    </row>
    <row r="379" spans="1:19">
      <c r="A379" s="139"/>
      <c r="B379" s="139"/>
      <c r="C379" s="139"/>
      <c r="D379"/>
      <c r="E379"/>
      <c r="F379"/>
      <c r="G379"/>
      <c r="H379"/>
      <c r="I379"/>
      <c r="J379"/>
      <c r="K379"/>
      <c r="L379"/>
      <c r="M379"/>
      <c r="N379"/>
      <c r="O379"/>
      <c r="P379"/>
      <c r="Q379"/>
      <c r="R379"/>
    </row>
    <row r="380" spans="1:19">
      <c r="A380" s="139"/>
      <c r="B380" s="139"/>
      <c r="C380" s="139"/>
      <c r="D380"/>
      <c r="E380"/>
      <c r="F380"/>
      <c r="G380"/>
      <c r="H380"/>
      <c r="I380"/>
      <c r="J380"/>
      <c r="K380"/>
      <c r="L380"/>
      <c r="M380"/>
      <c r="N380"/>
      <c r="O380"/>
      <c r="P380"/>
      <c r="Q380"/>
      <c r="R380"/>
    </row>
    <row r="381" spans="1:19">
      <c r="A381" s="139"/>
      <c r="B381" s="139"/>
      <c r="C381" s="139"/>
      <c r="D381"/>
      <c r="E381"/>
      <c r="F381"/>
      <c r="G381"/>
      <c r="H381"/>
      <c r="I381"/>
      <c r="J381"/>
      <c r="K381"/>
      <c r="L381"/>
      <c r="M381"/>
      <c r="N381"/>
      <c r="O381"/>
      <c r="P381"/>
      <c r="Q381"/>
      <c r="R381"/>
    </row>
    <row r="382" spans="1:19">
      <c r="A382" s="139"/>
      <c r="B382" s="139"/>
      <c r="C382" s="139"/>
      <c r="D382"/>
      <c r="E382"/>
      <c r="F382"/>
      <c r="G382"/>
      <c r="H382"/>
      <c r="I382"/>
      <c r="J382"/>
      <c r="K382"/>
      <c r="L382"/>
      <c r="M382"/>
      <c r="N382"/>
      <c r="O382"/>
      <c r="P382"/>
      <c r="Q382"/>
      <c r="R382"/>
    </row>
    <row r="383" spans="1:19">
      <c r="A383" s="139"/>
      <c r="B383" s="139"/>
      <c r="C383" s="139"/>
      <c r="D383"/>
      <c r="E383"/>
      <c r="F383"/>
      <c r="G383"/>
      <c r="H383"/>
      <c r="I383"/>
      <c r="J383"/>
      <c r="K383"/>
      <c r="L383"/>
      <c r="M383"/>
      <c r="N383"/>
      <c r="O383"/>
      <c r="P383"/>
      <c r="Q383"/>
      <c r="R383"/>
    </row>
    <row r="384" spans="1:19">
      <c r="A384" s="139"/>
      <c r="B384" s="139"/>
      <c r="C384" s="139"/>
      <c r="D384"/>
      <c r="E384"/>
      <c r="F384"/>
      <c r="G384"/>
      <c r="H384"/>
      <c r="I384"/>
      <c r="J384"/>
      <c r="K384"/>
      <c r="L384"/>
      <c r="M384"/>
      <c r="N384"/>
      <c r="O384"/>
      <c r="P384"/>
      <c r="Q384"/>
      <c r="R384"/>
    </row>
    <row r="385" spans="1:19">
      <c r="A385" s="139"/>
      <c r="B385" s="139"/>
      <c r="C385" s="139"/>
      <c r="D385"/>
      <c r="E385"/>
      <c r="F385"/>
      <c r="G385"/>
      <c r="H385"/>
      <c r="I385"/>
      <c r="J385"/>
      <c r="K385"/>
      <c r="L385"/>
      <c r="M385"/>
      <c r="N385"/>
      <c r="O385"/>
      <c r="P385"/>
      <c r="Q385"/>
      <c r="R385"/>
    </row>
    <row r="386" spans="1:19">
      <c r="A386" s="139"/>
      <c r="B386" s="139"/>
      <c r="C386" s="139"/>
      <c r="D386"/>
      <c r="E386"/>
      <c r="F386"/>
      <c r="G386"/>
      <c r="H386"/>
      <c r="I386"/>
      <c r="J386"/>
      <c r="K386"/>
      <c r="L386"/>
      <c r="M386"/>
      <c r="N386"/>
      <c r="O386"/>
      <c r="P386"/>
      <c r="Q386"/>
      <c r="R386"/>
    </row>
    <row r="387" spans="1:19">
      <c r="A387" s="139"/>
      <c r="B387" s="139"/>
      <c r="C387" s="139"/>
      <c r="D387"/>
      <c r="E387"/>
      <c r="F387"/>
      <c r="G387"/>
      <c r="H387"/>
      <c r="I387"/>
      <c r="J387"/>
      <c r="K387"/>
      <c r="L387"/>
      <c r="M387"/>
      <c r="N387"/>
      <c r="O387"/>
      <c r="P387"/>
      <c r="Q387"/>
      <c r="R387"/>
    </row>
    <row r="388" spans="1:19">
      <c r="A388" s="139"/>
      <c r="B388" s="139"/>
      <c r="C388" s="139"/>
      <c r="D388"/>
      <c r="E388"/>
      <c r="F388"/>
      <c r="G388"/>
      <c r="H388"/>
      <c r="I388"/>
      <c r="J388"/>
      <c r="K388"/>
      <c r="L388"/>
      <c r="M388"/>
      <c r="N388"/>
      <c r="O388"/>
      <c r="P388"/>
      <c r="Q388"/>
      <c r="R388"/>
    </row>
    <row r="389" spans="1:19">
      <c r="A389" s="139"/>
      <c r="B389" s="139"/>
      <c r="C389" s="139"/>
      <c r="D389"/>
      <c r="E389"/>
      <c r="F389"/>
      <c r="G389"/>
      <c r="H389"/>
      <c r="I389"/>
      <c r="J389"/>
      <c r="K389"/>
      <c r="L389"/>
      <c r="M389"/>
      <c r="N389"/>
      <c r="O389"/>
      <c r="P389"/>
      <c r="Q389"/>
      <c r="R389"/>
    </row>
    <row r="390" spans="1:19">
      <c r="A390" s="139"/>
      <c r="B390" s="139"/>
      <c r="C390" s="139"/>
      <c r="D390"/>
      <c r="E390"/>
      <c r="F390"/>
      <c r="G390"/>
      <c r="H390"/>
      <c r="I390"/>
      <c r="J390"/>
      <c r="K390"/>
      <c r="L390"/>
      <c r="M390"/>
      <c r="N390"/>
      <c r="O390"/>
      <c r="P390"/>
      <c r="Q390"/>
      <c r="R390"/>
    </row>
    <row r="391" spans="1:19">
      <c r="A391" s="139"/>
      <c r="B391" s="139"/>
      <c r="C391" s="139"/>
      <c r="D391"/>
      <c r="E391"/>
      <c r="F391"/>
      <c r="G391"/>
      <c r="H391"/>
      <c r="I391"/>
      <c r="J391"/>
      <c r="K391"/>
      <c r="L391"/>
      <c r="M391"/>
      <c r="N391"/>
      <c r="O391"/>
      <c r="P391"/>
      <c r="Q391"/>
      <c r="R391"/>
    </row>
    <row r="392" spans="1:19">
      <c r="A392" s="139"/>
      <c r="B392" s="139"/>
      <c r="C392" s="139"/>
      <c r="D392"/>
      <c r="E392"/>
      <c r="F392"/>
      <c r="G392"/>
      <c r="H392"/>
      <c r="I392"/>
      <c r="J392"/>
      <c r="K392"/>
      <c r="L392"/>
      <c r="M392"/>
      <c r="N392"/>
      <c r="O392"/>
      <c r="P392"/>
      <c r="Q392"/>
      <c r="R392"/>
    </row>
    <row r="393" spans="1:19">
      <c r="A393" s="139"/>
      <c r="B393" s="139"/>
      <c r="C393" s="139"/>
      <c r="D393"/>
      <c r="E393"/>
      <c r="F393"/>
      <c r="G393"/>
      <c r="H393"/>
      <c r="I393"/>
      <c r="J393"/>
      <c r="K393"/>
      <c r="L393"/>
      <c r="M393"/>
      <c r="N393"/>
      <c r="O393"/>
      <c r="P393"/>
      <c r="Q393"/>
      <c r="R393"/>
    </row>
    <row r="394" spans="1:19" s="121" customFormat="1">
      <c r="A394" s="139"/>
      <c r="B394" s="139"/>
      <c r="C394" s="139"/>
      <c r="D394"/>
      <c r="E394"/>
      <c r="F394"/>
      <c r="G394"/>
      <c r="H394"/>
      <c r="I394"/>
      <c r="J394"/>
      <c r="K394"/>
      <c r="L394"/>
      <c r="M394"/>
      <c r="N394"/>
      <c r="O394"/>
      <c r="S394"/>
    </row>
    <row r="395" spans="1:19" s="121" customFormat="1">
      <c r="A395" s="139"/>
      <c r="B395" s="139"/>
      <c r="C395" s="139"/>
      <c r="D395"/>
      <c r="E395"/>
      <c r="F395"/>
      <c r="G395"/>
      <c r="H395"/>
      <c r="I395"/>
      <c r="J395"/>
      <c r="K395"/>
      <c r="L395"/>
      <c r="M395"/>
      <c r="N395"/>
      <c r="O395"/>
      <c r="P395"/>
      <c r="Q395"/>
      <c r="R395"/>
      <c r="S395"/>
    </row>
    <row r="396" spans="1:19">
      <c r="A396" s="139"/>
      <c r="B396" s="139"/>
      <c r="C396" s="139"/>
      <c r="D396"/>
      <c r="E396"/>
      <c r="F396"/>
      <c r="G396"/>
      <c r="H396"/>
      <c r="I396"/>
      <c r="J396"/>
      <c r="K396"/>
      <c r="L396"/>
      <c r="M396"/>
      <c r="N396"/>
      <c r="O396"/>
      <c r="P396"/>
      <c r="Q396"/>
      <c r="R396"/>
    </row>
    <row r="397" spans="1:19">
      <c r="A397" s="139"/>
      <c r="B397" s="139"/>
      <c r="C397" s="139"/>
      <c r="D397"/>
      <c r="E397"/>
      <c r="F397"/>
      <c r="G397"/>
      <c r="H397"/>
      <c r="I397"/>
      <c r="J397"/>
      <c r="K397"/>
      <c r="L397"/>
      <c r="M397"/>
      <c r="N397"/>
      <c r="O397"/>
      <c r="P397"/>
      <c r="Q397"/>
      <c r="R397"/>
    </row>
    <row r="398" spans="1:19">
      <c r="A398" s="139"/>
      <c r="B398" s="139"/>
      <c r="C398" s="139"/>
      <c r="D398"/>
      <c r="E398"/>
      <c r="F398"/>
      <c r="G398"/>
      <c r="H398"/>
      <c r="I398"/>
      <c r="J398"/>
      <c r="K398"/>
      <c r="L398"/>
      <c r="M398"/>
      <c r="N398"/>
      <c r="O398"/>
      <c r="P398"/>
      <c r="Q398"/>
      <c r="R398"/>
    </row>
    <row r="399" spans="1:19">
      <c r="A399" s="139"/>
      <c r="B399" s="139"/>
      <c r="C399" s="139"/>
      <c r="D399"/>
      <c r="E399"/>
      <c r="F399"/>
      <c r="G399"/>
      <c r="H399"/>
      <c r="I399"/>
      <c r="J399"/>
      <c r="K399"/>
      <c r="L399"/>
      <c r="M399"/>
      <c r="N399"/>
      <c r="O399"/>
      <c r="P399"/>
      <c r="Q399"/>
      <c r="R399"/>
    </row>
    <row r="400" spans="1:19">
      <c r="A400" s="139"/>
      <c r="B400" s="139"/>
      <c r="C400" s="139"/>
      <c r="D400"/>
      <c r="E400"/>
      <c r="F400"/>
      <c r="G400"/>
      <c r="H400"/>
      <c r="I400"/>
      <c r="J400"/>
      <c r="K400"/>
      <c r="L400"/>
      <c r="M400"/>
      <c r="N400"/>
      <c r="O400"/>
      <c r="P400"/>
      <c r="Q400"/>
      <c r="R400"/>
    </row>
    <row r="401" spans="1:18">
      <c r="A401" s="139"/>
      <c r="B401" s="139"/>
      <c r="C401" s="139"/>
      <c r="D401"/>
      <c r="E401"/>
      <c r="F401"/>
      <c r="G401"/>
      <c r="H401"/>
      <c r="I401"/>
      <c r="J401"/>
      <c r="K401"/>
      <c r="L401"/>
      <c r="M401"/>
      <c r="N401"/>
      <c r="O401"/>
      <c r="P401"/>
      <c r="Q401"/>
      <c r="R401"/>
    </row>
    <row r="402" spans="1:18">
      <c r="A402" s="139"/>
      <c r="B402" s="139"/>
      <c r="C402" s="139"/>
      <c r="D402"/>
      <c r="E402"/>
      <c r="F402"/>
      <c r="G402"/>
      <c r="H402"/>
      <c r="I402"/>
      <c r="J402"/>
      <c r="K402"/>
      <c r="L402"/>
      <c r="M402"/>
      <c r="N402"/>
      <c r="O402"/>
      <c r="P402"/>
      <c r="Q402"/>
      <c r="R402"/>
    </row>
    <row r="403" spans="1:18">
      <c r="A403" s="139"/>
      <c r="B403" s="139"/>
      <c r="C403" s="139"/>
      <c r="D403"/>
      <c r="E403"/>
      <c r="F403"/>
      <c r="G403"/>
      <c r="H403"/>
      <c r="I403"/>
      <c r="J403"/>
      <c r="K403"/>
      <c r="L403"/>
      <c r="M403"/>
      <c r="N403"/>
      <c r="O403"/>
      <c r="P403"/>
      <c r="Q403"/>
      <c r="R403"/>
    </row>
    <row r="404" spans="1:18">
      <c r="A404" s="139"/>
      <c r="B404" s="139"/>
      <c r="C404" s="139"/>
      <c r="D404"/>
      <c r="E404"/>
      <c r="F404"/>
      <c r="G404"/>
      <c r="H404"/>
      <c r="I404"/>
      <c r="J404"/>
      <c r="K404"/>
      <c r="L404"/>
      <c r="M404"/>
      <c r="N404"/>
      <c r="O404"/>
      <c r="P404"/>
      <c r="Q404"/>
      <c r="R404"/>
    </row>
    <row r="405" spans="1:18">
      <c r="A405" s="139"/>
      <c r="B405" s="139"/>
      <c r="C405" s="139"/>
      <c r="D405"/>
      <c r="E405"/>
      <c r="F405"/>
      <c r="G405"/>
      <c r="H405"/>
      <c r="I405"/>
      <c r="J405"/>
      <c r="K405"/>
      <c r="L405"/>
      <c r="M405"/>
      <c r="N405"/>
      <c r="O405"/>
      <c r="P405"/>
      <c r="Q405"/>
      <c r="R405"/>
    </row>
    <row r="406" spans="1:18">
      <c r="A406" s="139"/>
      <c r="B406" s="139"/>
      <c r="C406" s="139"/>
      <c r="D406"/>
      <c r="E406"/>
      <c r="F406"/>
      <c r="G406"/>
      <c r="H406"/>
      <c r="I406"/>
      <c r="J406"/>
      <c r="K406"/>
      <c r="L406"/>
      <c r="M406"/>
      <c r="N406"/>
      <c r="O406"/>
      <c r="P406"/>
      <c r="Q406"/>
      <c r="R406"/>
    </row>
    <row r="407" spans="1:18">
      <c r="A407" s="139"/>
      <c r="B407" s="139"/>
      <c r="C407" s="139"/>
      <c r="D407"/>
      <c r="E407"/>
      <c r="F407"/>
      <c r="G407"/>
      <c r="H407"/>
      <c r="I407"/>
      <c r="J407"/>
      <c r="K407"/>
      <c r="L407"/>
      <c r="M407"/>
      <c r="N407"/>
      <c r="O407"/>
      <c r="P407"/>
      <c r="Q407"/>
      <c r="R407"/>
    </row>
    <row r="408" spans="1:18">
      <c r="A408" s="139"/>
      <c r="B408" s="139"/>
      <c r="C408" s="139"/>
      <c r="D408"/>
      <c r="E408"/>
      <c r="F408"/>
      <c r="G408"/>
      <c r="H408"/>
      <c r="I408"/>
      <c r="J408"/>
      <c r="K408"/>
      <c r="L408"/>
      <c r="M408"/>
      <c r="N408"/>
      <c r="O408"/>
      <c r="P408"/>
      <c r="Q408"/>
      <c r="R408"/>
    </row>
    <row r="409" spans="1:18">
      <c r="A409" s="139"/>
      <c r="B409" s="139"/>
      <c r="C409" s="139"/>
      <c r="D409"/>
      <c r="E409"/>
      <c r="F409"/>
      <c r="G409"/>
      <c r="H409"/>
      <c r="I409"/>
      <c r="J409"/>
      <c r="K409"/>
      <c r="L409"/>
      <c r="M409"/>
      <c r="N409"/>
      <c r="O409"/>
      <c r="P409"/>
      <c r="Q409"/>
      <c r="R409"/>
    </row>
    <row r="410" spans="1:18">
      <c r="A410" s="139"/>
      <c r="B410" s="139"/>
      <c r="C410" s="139"/>
      <c r="D410"/>
      <c r="E410"/>
      <c r="F410"/>
      <c r="G410"/>
      <c r="H410"/>
      <c r="I410"/>
      <c r="J410"/>
      <c r="K410"/>
      <c r="L410"/>
      <c r="M410"/>
      <c r="N410"/>
      <c r="O410"/>
      <c r="P410"/>
      <c r="Q410"/>
      <c r="R410"/>
    </row>
    <row r="411" spans="1:18">
      <c r="A411" s="139"/>
      <c r="B411" s="139"/>
      <c r="C411" s="139"/>
      <c r="D411"/>
      <c r="E411"/>
      <c r="F411"/>
      <c r="G411"/>
      <c r="H411"/>
      <c r="I411"/>
      <c r="J411"/>
      <c r="K411"/>
      <c r="L411"/>
      <c r="M411"/>
      <c r="N411"/>
      <c r="O411"/>
      <c r="P411"/>
      <c r="Q411"/>
      <c r="R411"/>
    </row>
    <row r="412" spans="1:18">
      <c r="A412" s="139"/>
      <c r="B412" s="139"/>
      <c r="C412" s="139"/>
      <c r="D412"/>
      <c r="E412"/>
      <c r="F412"/>
      <c r="G412"/>
      <c r="H412"/>
      <c r="I412"/>
      <c r="J412"/>
      <c r="K412"/>
      <c r="L412"/>
      <c r="M412"/>
      <c r="N412"/>
      <c r="O412"/>
      <c r="P412"/>
      <c r="Q412"/>
      <c r="R412"/>
    </row>
    <row r="413" spans="1:18">
      <c r="A413" s="139"/>
      <c r="B413" s="139"/>
      <c r="C413" s="139"/>
      <c r="D413"/>
      <c r="E413"/>
      <c r="F413"/>
      <c r="G413"/>
      <c r="H413"/>
      <c r="I413"/>
      <c r="J413"/>
      <c r="K413"/>
      <c r="L413"/>
      <c r="M413"/>
      <c r="N413"/>
      <c r="O413"/>
      <c r="P413"/>
      <c r="Q413"/>
      <c r="R413"/>
    </row>
    <row r="414" spans="1:18">
      <c r="A414" s="139"/>
      <c r="B414" s="139"/>
      <c r="C414" s="139"/>
      <c r="D414"/>
      <c r="E414"/>
      <c r="F414"/>
      <c r="G414"/>
      <c r="H414"/>
      <c r="I414"/>
      <c r="J414"/>
      <c r="K414"/>
      <c r="L414"/>
      <c r="M414"/>
      <c r="N414"/>
      <c r="O414"/>
      <c r="P414"/>
      <c r="Q414"/>
      <c r="R414"/>
    </row>
    <row r="415" spans="1:18">
      <c r="A415" s="139"/>
      <c r="B415" s="139"/>
      <c r="C415" s="139"/>
      <c r="D415"/>
      <c r="E415"/>
      <c r="F415"/>
      <c r="G415"/>
      <c r="H415"/>
      <c r="I415"/>
      <c r="J415"/>
      <c r="K415"/>
      <c r="L415"/>
      <c r="M415"/>
      <c r="N415"/>
      <c r="O415"/>
      <c r="P415"/>
      <c r="Q415"/>
      <c r="R415"/>
    </row>
    <row r="416" spans="1:18">
      <c r="A416" s="139"/>
      <c r="B416" s="139"/>
      <c r="C416" s="139"/>
      <c r="D416"/>
      <c r="E416"/>
      <c r="F416"/>
      <c r="G416"/>
      <c r="H416"/>
      <c r="I416"/>
      <c r="J416"/>
      <c r="K416"/>
      <c r="L416"/>
      <c r="M416"/>
      <c r="N416"/>
      <c r="O416"/>
      <c r="P416"/>
      <c r="Q416"/>
      <c r="R416"/>
    </row>
    <row r="417" spans="1:18">
      <c r="A417" s="139"/>
      <c r="B417" s="139"/>
      <c r="C417" s="139"/>
      <c r="D417"/>
      <c r="E417"/>
      <c r="F417"/>
      <c r="G417"/>
      <c r="H417"/>
      <c r="I417"/>
      <c r="J417"/>
      <c r="K417"/>
      <c r="L417"/>
      <c r="M417"/>
      <c r="N417"/>
      <c r="O417"/>
      <c r="P417"/>
      <c r="Q417"/>
      <c r="R417"/>
    </row>
    <row r="418" spans="1:18">
      <c r="A418" s="139"/>
      <c r="B418" s="139"/>
      <c r="C418" s="139"/>
      <c r="D418"/>
      <c r="E418"/>
      <c r="F418"/>
      <c r="G418"/>
      <c r="H418"/>
      <c r="I418"/>
      <c r="J418"/>
      <c r="K418"/>
      <c r="L418"/>
      <c r="M418"/>
      <c r="N418"/>
      <c r="O418"/>
      <c r="P418"/>
      <c r="Q418"/>
      <c r="R418"/>
    </row>
    <row r="419" spans="1:18">
      <c r="A419" s="139"/>
      <c r="B419" s="139"/>
      <c r="C419" s="139"/>
      <c r="D419"/>
      <c r="E419"/>
      <c r="F419"/>
      <c r="G419"/>
      <c r="H419"/>
      <c r="I419"/>
      <c r="J419"/>
      <c r="K419"/>
      <c r="L419"/>
      <c r="M419"/>
      <c r="N419"/>
      <c r="O419"/>
      <c r="P419"/>
      <c r="Q419"/>
      <c r="R419"/>
    </row>
    <row r="420" spans="1:18">
      <c r="A420" s="139"/>
      <c r="B420" s="139"/>
      <c r="C420" s="139"/>
      <c r="D420"/>
      <c r="E420"/>
      <c r="F420"/>
      <c r="G420"/>
      <c r="H420"/>
      <c r="I420"/>
      <c r="J420"/>
      <c r="K420"/>
      <c r="L420"/>
      <c r="M420"/>
      <c r="N420"/>
      <c r="O420"/>
      <c r="P420"/>
      <c r="Q420"/>
      <c r="R420"/>
    </row>
    <row r="421" spans="1:18">
      <c r="A421" s="139"/>
      <c r="B421" s="139"/>
      <c r="C421" s="139"/>
      <c r="D421"/>
      <c r="E421"/>
      <c r="F421"/>
      <c r="G421"/>
      <c r="H421"/>
      <c r="I421"/>
      <c r="J421"/>
      <c r="K421"/>
      <c r="L421"/>
      <c r="M421"/>
      <c r="N421"/>
      <c r="O421"/>
      <c r="P421"/>
      <c r="Q421"/>
      <c r="R421"/>
    </row>
    <row r="422" spans="1:18">
      <c r="A422" s="139"/>
      <c r="B422" s="139"/>
      <c r="C422" s="139"/>
      <c r="D422"/>
      <c r="E422"/>
      <c r="F422"/>
      <c r="G422"/>
      <c r="H422"/>
      <c r="I422"/>
      <c r="J422"/>
      <c r="K422"/>
      <c r="L422"/>
      <c r="M422"/>
      <c r="N422"/>
      <c r="O422"/>
      <c r="P422"/>
      <c r="Q422"/>
      <c r="R422"/>
    </row>
    <row r="423" spans="1:18">
      <c r="A423" s="139"/>
      <c r="B423" s="139"/>
      <c r="C423" s="139"/>
      <c r="D423"/>
      <c r="E423"/>
      <c r="F423"/>
      <c r="G423"/>
      <c r="H423"/>
      <c r="I423"/>
      <c r="J423"/>
      <c r="K423"/>
      <c r="L423"/>
      <c r="M423"/>
      <c r="N423"/>
      <c r="O423"/>
      <c r="P423"/>
      <c r="Q423"/>
      <c r="R423"/>
    </row>
    <row r="424" spans="1:18">
      <c r="A424" s="139"/>
      <c r="B424" s="139"/>
      <c r="C424" s="139"/>
      <c r="D424"/>
      <c r="E424"/>
      <c r="F424"/>
      <c r="G424"/>
      <c r="H424"/>
      <c r="I424"/>
      <c r="J424"/>
      <c r="K424"/>
      <c r="L424"/>
      <c r="M424"/>
      <c r="N424"/>
      <c r="O424"/>
      <c r="P424"/>
      <c r="Q424"/>
      <c r="R424"/>
    </row>
    <row r="425" spans="1:18">
      <c r="A425" s="139"/>
      <c r="B425" s="139"/>
      <c r="C425" s="139"/>
      <c r="D425"/>
      <c r="E425"/>
      <c r="F425"/>
      <c r="G425"/>
      <c r="H425"/>
      <c r="I425"/>
      <c r="J425"/>
      <c r="K425"/>
      <c r="L425"/>
      <c r="M425"/>
      <c r="N425"/>
      <c r="O425"/>
      <c r="P425"/>
      <c r="Q425"/>
      <c r="R425"/>
    </row>
    <row r="426" spans="1:18">
      <c r="A426" s="139"/>
      <c r="B426" s="139"/>
      <c r="C426" s="139"/>
      <c r="D426"/>
      <c r="E426"/>
      <c r="F426"/>
      <c r="G426"/>
      <c r="H426"/>
      <c r="I426"/>
      <c r="J426"/>
      <c r="K426"/>
      <c r="L426"/>
      <c r="M426"/>
      <c r="N426"/>
      <c r="O426"/>
      <c r="P426"/>
      <c r="Q426"/>
      <c r="R426"/>
    </row>
    <row r="427" spans="1:18">
      <c r="A427" s="139"/>
      <c r="B427" s="139"/>
      <c r="C427" s="139"/>
      <c r="D427"/>
      <c r="E427"/>
      <c r="F427"/>
      <c r="G427"/>
      <c r="H427"/>
      <c r="I427"/>
      <c r="J427"/>
      <c r="K427"/>
      <c r="L427"/>
      <c r="M427"/>
      <c r="N427"/>
      <c r="O427"/>
      <c r="P427"/>
      <c r="Q427"/>
      <c r="R427"/>
    </row>
    <row r="428" spans="1:18">
      <c r="A428" s="139"/>
      <c r="B428" s="139"/>
      <c r="C428" s="139"/>
      <c r="D428"/>
      <c r="E428"/>
      <c r="F428"/>
      <c r="G428"/>
      <c r="H428"/>
      <c r="I428"/>
      <c r="J428"/>
      <c r="K428"/>
      <c r="L428"/>
      <c r="M428"/>
      <c r="N428"/>
      <c r="O428"/>
      <c r="P428"/>
      <c r="Q428"/>
      <c r="R428"/>
    </row>
    <row r="429" spans="1:18">
      <c r="A429" s="139"/>
      <c r="B429" s="139"/>
      <c r="C429" s="139"/>
      <c r="D429"/>
      <c r="E429"/>
      <c r="F429"/>
      <c r="G429"/>
      <c r="H429"/>
      <c r="I429"/>
      <c r="J429"/>
      <c r="K429"/>
      <c r="L429"/>
      <c r="M429"/>
      <c r="N429"/>
      <c r="O429"/>
      <c r="P429"/>
      <c r="Q429"/>
      <c r="R429"/>
    </row>
    <row r="430" spans="1:18">
      <c r="A430" s="139"/>
      <c r="B430" s="139"/>
      <c r="C430" s="139"/>
      <c r="D430"/>
      <c r="E430"/>
      <c r="F430"/>
      <c r="G430"/>
      <c r="H430"/>
      <c r="I430"/>
      <c r="J430"/>
      <c r="K430"/>
      <c r="L430"/>
      <c r="M430"/>
      <c r="N430"/>
      <c r="O430"/>
      <c r="P430"/>
      <c r="Q430"/>
      <c r="R430"/>
    </row>
    <row r="431" spans="1:18">
      <c r="A431" s="139"/>
      <c r="B431" s="139"/>
      <c r="C431" s="139"/>
      <c r="D431"/>
      <c r="E431"/>
      <c r="F431"/>
      <c r="G431"/>
      <c r="H431"/>
      <c r="I431"/>
      <c r="J431"/>
      <c r="K431"/>
      <c r="L431"/>
      <c r="M431"/>
      <c r="N431"/>
      <c r="O431"/>
      <c r="P431"/>
      <c r="Q431"/>
      <c r="R431"/>
    </row>
    <row r="432" spans="1:18">
      <c r="A432" s="139"/>
      <c r="B432" s="139"/>
      <c r="C432" s="139"/>
      <c r="D432"/>
      <c r="E432"/>
      <c r="F432"/>
      <c r="G432"/>
      <c r="H432"/>
      <c r="I432"/>
      <c r="J432"/>
      <c r="K432"/>
      <c r="L432"/>
      <c r="M432"/>
      <c r="N432"/>
      <c r="O432"/>
      <c r="P432"/>
      <c r="Q432"/>
      <c r="R432"/>
    </row>
    <row r="433" spans="1:18">
      <c r="A433" s="139"/>
      <c r="B433" s="139"/>
      <c r="C433" s="139"/>
      <c r="D433"/>
      <c r="E433"/>
      <c r="F433"/>
      <c r="G433"/>
      <c r="H433"/>
      <c r="I433"/>
      <c r="J433"/>
      <c r="K433"/>
      <c r="L433"/>
      <c r="M433"/>
      <c r="N433"/>
      <c r="O433"/>
      <c r="P433"/>
      <c r="Q433"/>
      <c r="R433"/>
    </row>
    <row r="434" spans="1:18">
      <c r="A434" s="139"/>
      <c r="B434" s="139"/>
      <c r="C434" s="139"/>
      <c r="D434"/>
      <c r="E434"/>
      <c r="F434"/>
      <c r="G434"/>
      <c r="H434"/>
      <c r="I434"/>
      <c r="J434"/>
      <c r="K434"/>
      <c r="L434"/>
      <c r="M434"/>
      <c r="N434"/>
      <c r="O434"/>
      <c r="P434"/>
      <c r="Q434"/>
      <c r="R434"/>
    </row>
    <row r="435" spans="1:18">
      <c r="A435" s="139"/>
      <c r="B435" s="139"/>
      <c r="C435" s="139"/>
      <c r="D435"/>
      <c r="E435"/>
      <c r="F435"/>
      <c r="G435"/>
      <c r="H435"/>
      <c r="I435"/>
      <c r="J435"/>
      <c r="K435"/>
      <c r="L435"/>
      <c r="M435"/>
      <c r="N435"/>
      <c r="O435"/>
      <c r="P435"/>
      <c r="Q435"/>
      <c r="R435"/>
    </row>
    <row r="436" spans="1:18">
      <c r="A436" s="139"/>
      <c r="B436" s="139"/>
      <c r="C436" s="139"/>
      <c r="D436"/>
      <c r="E436"/>
      <c r="F436"/>
      <c r="G436"/>
      <c r="H436"/>
      <c r="I436"/>
      <c r="J436"/>
      <c r="K436"/>
      <c r="L436"/>
      <c r="M436"/>
      <c r="N436"/>
      <c r="O436"/>
      <c r="P436"/>
      <c r="Q436"/>
      <c r="R436"/>
    </row>
    <row r="437" spans="1:18">
      <c r="A437" s="139"/>
      <c r="B437" s="139"/>
      <c r="C437" s="139"/>
      <c r="D437"/>
      <c r="E437"/>
      <c r="F437"/>
      <c r="G437"/>
      <c r="H437"/>
      <c r="I437"/>
      <c r="J437"/>
      <c r="K437"/>
      <c r="L437"/>
      <c r="M437"/>
      <c r="N437"/>
      <c r="O437"/>
      <c r="P437"/>
      <c r="Q437"/>
      <c r="R437"/>
    </row>
    <row r="438" spans="1:18">
      <c r="A438" s="139"/>
      <c r="B438" s="139"/>
      <c r="C438" s="139"/>
      <c r="D438"/>
      <c r="E438"/>
      <c r="F438"/>
      <c r="G438"/>
      <c r="H438"/>
      <c r="I438"/>
      <c r="J438"/>
      <c r="K438"/>
      <c r="L438"/>
      <c r="M438"/>
      <c r="N438"/>
      <c r="O438"/>
      <c r="P438"/>
      <c r="Q438"/>
      <c r="R438"/>
    </row>
    <row r="439" spans="1:18">
      <c r="A439" s="139"/>
      <c r="B439" s="139"/>
      <c r="C439" s="139"/>
      <c r="D439"/>
      <c r="E439"/>
      <c r="F439"/>
      <c r="G439"/>
      <c r="H439"/>
      <c r="I439"/>
      <c r="J439"/>
      <c r="K439"/>
      <c r="L439"/>
      <c r="M439"/>
      <c r="N439"/>
      <c r="O439"/>
      <c r="P439"/>
      <c r="Q439"/>
      <c r="R439"/>
    </row>
    <row r="440" spans="1:18">
      <c r="A440" s="139"/>
      <c r="B440" s="139"/>
      <c r="C440" s="139"/>
      <c r="D440"/>
      <c r="E440"/>
      <c r="F440"/>
      <c r="G440"/>
      <c r="H440"/>
      <c r="I440"/>
      <c r="J440"/>
      <c r="K440"/>
      <c r="L440"/>
      <c r="M440"/>
      <c r="N440"/>
      <c r="O440"/>
      <c r="P440"/>
      <c r="Q440"/>
      <c r="R440"/>
    </row>
    <row r="441" spans="1:18">
      <c r="A441" s="139"/>
      <c r="B441" s="139"/>
      <c r="C441" s="139"/>
      <c r="D441"/>
      <c r="E441"/>
      <c r="F441"/>
      <c r="G441"/>
      <c r="H441"/>
      <c r="I441"/>
      <c r="J441"/>
      <c r="K441"/>
      <c r="L441"/>
      <c r="M441"/>
      <c r="N441"/>
      <c r="O441"/>
      <c r="P441"/>
      <c r="Q441"/>
      <c r="R441"/>
    </row>
    <row r="442" spans="1:18">
      <c r="A442" s="139"/>
      <c r="B442" s="139"/>
      <c r="C442" s="139"/>
      <c r="D442"/>
      <c r="E442"/>
      <c r="F442"/>
      <c r="G442"/>
      <c r="H442"/>
      <c r="I442"/>
      <c r="J442"/>
      <c r="K442"/>
      <c r="L442"/>
      <c r="M442"/>
      <c r="N442"/>
      <c r="O442"/>
      <c r="P442"/>
      <c r="Q442"/>
      <c r="R442"/>
    </row>
    <row r="443" spans="1:18">
      <c r="A443" s="139"/>
      <c r="B443" s="139"/>
      <c r="C443" s="139"/>
      <c r="D443"/>
      <c r="E443"/>
      <c r="F443"/>
      <c r="G443"/>
      <c r="H443"/>
      <c r="I443"/>
      <c r="J443"/>
      <c r="K443"/>
      <c r="L443"/>
      <c r="M443"/>
      <c r="N443"/>
      <c r="O443"/>
      <c r="P443"/>
      <c r="Q443"/>
      <c r="R443"/>
    </row>
    <row r="444" spans="1:18">
      <c r="A444" s="139"/>
      <c r="B444" s="139"/>
      <c r="C444" s="139"/>
      <c r="D444"/>
      <c r="E444"/>
      <c r="F444"/>
      <c r="G444"/>
      <c r="H444"/>
      <c r="I444"/>
      <c r="J444"/>
      <c r="K444"/>
      <c r="L444"/>
      <c r="M444"/>
      <c r="N444"/>
      <c r="O444"/>
      <c r="P444"/>
      <c r="Q444"/>
      <c r="R444"/>
    </row>
    <row r="445" spans="1:18">
      <c r="A445" s="139"/>
      <c r="B445" s="139"/>
      <c r="C445" s="139"/>
      <c r="D445"/>
      <c r="E445"/>
      <c r="F445"/>
      <c r="G445"/>
      <c r="H445"/>
      <c r="I445"/>
      <c r="J445"/>
      <c r="K445"/>
      <c r="L445"/>
      <c r="M445"/>
      <c r="N445"/>
      <c r="O445"/>
      <c r="P445"/>
      <c r="Q445"/>
      <c r="R445"/>
    </row>
    <row r="446" spans="1:18">
      <c r="A446" s="139"/>
      <c r="B446" s="139"/>
      <c r="C446" s="139"/>
      <c r="D446"/>
      <c r="E446"/>
      <c r="F446"/>
      <c r="G446"/>
      <c r="H446"/>
      <c r="I446"/>
      <c r="J446"/>
      <c r="K446"/>
      <c r="L446"/>
      <c r="M446"/>
      <c r="N446"/>
      <c r="O446"/>
      <c r="P446"/>
      <c r="Q446"/>
      <c r="R446"/>
    </row>
    <row r="447" spans="1:18">
      <c r="A447" s="139"/>
      <c r="B447" s="139"/>
      <c r="C447" s="139"/>
      <c r="D447"/>
      <c r="E447"/>
      <c r="F447"/>
      <c r="G447"/>
      <c r="H447"/>
      <c r="I447"/>
      <c r="J447"/>
      <c r="K447"/>
      <c r="L447"/>
      <c r="M447"/>
      <c r="N447"/>
      <c r="O447"/>
      <c r="P447"/>
      <c r="Q447"/>
      <c r="R447"/>
    </row>
    <row r="448" spans="1:18">
      <c r="A448" s="139"/>
      <c r="B448" s="139"/>
      <c r="C448" s="139"/>
      <c r="D448"/>
      <c r="E448"/>
      <c r="F448"/>
      <c r="G448"/>
      <c r="H448"/>
      <c r="I448"/>
      <c r="J448"/>
      <c r="K448"/>
      <c r="L448"/>
      <c r="M448"/>
      <c r="N448"/>
      <c r="O448"/>
      <c r="P448"/>
      <c r="Q448"/>
      <c r="R448"/>
    </row>
    <row r="449" spans="1:18">
      <c r="A449" s="139"/>
      <c r="B449" s="139"/>
      <c r="C449" s="139"/>
      <c r="D449"/>
      <c r="E449"/>
      <c r="F449"/>
      <c r="G449"/>
      <c r="H449"/>
      <c r="I449"/>
      <c r="J449"/>
      <c r="K449"/>
      <c r="L449"/>
      <c r="M449"/>
      <c r="N449"/>
      <c r="O449"/>
      <c r="P449"/>
      <c r="Q449"/>
      <c r="R449"/>
    </row>
    <row r="450" spans="1:18">
      <c r="A450" s="139"/>
      <c r="B450" s="139"/>
      <c r="C450" s="139"/>
      <c r="D450"/>
      <c r="E450"/>
      <c r="F450"/>
      <c r="G450"/>
      <c r="H450"/>
      <c r="I450"/>
      <c r="J450"/>
      <c r="K450"/>
      <c r="L450"/>
      <c r="M450"/>
      <c r="N450"/>
      <c r="O450"/>
      <c r="P450"/>
      <c r="Q450"/>
      <c r="R450"/>
    </row>
    <row r="451" spans="1:18">
      <c r="A451" s="139"/>
      <c r="B451" s="139"/>
      <c r="C451" s="139"/>
      <c r="D451"/>
      <c r="E451"/>
      <c r="F451"/>
      <c r="G451"/>
      <c r="H451"/>
      <c r="I451"/>
      <c r="J451"/>
      <c r="K451"/>
      <c r="L451"/>
      <c r="M451"/>
      <c r="N451"/>
      <c r="O451"/>
      <c r="P451"/>
      <c r="Q451"/>
      <c r="R451"/>
    </row>
    <row r="452" spans="1:18">
      <c r="A452" s="139"/>
      <c r="B452" s="139"/>
      <c r="C452" s="139"/>
      <c r="D452"/>
      <c r="E452"/>
      <c r="F452"/>
      <c r="G452"/>
      <c r="H452"/>
      <c r="I452"/>
      <c r="J452"/>
      <c r="K452"/>
      <c r="L452"/>
      <c r="M452"/>
      <c r="N452"/>
      <c r="O452"/>
      <c r="P452"/>
      <c r="Q452"/>
      <c r="R452"/>
    </row>
    <row r="453" spans="1:18">
      <c r="A453" s="139"/>
      <c r="B453" s="139"/>
      <c r="C453" s="139"/>
      <c r="D453"/>
      <c r="E453"/>
      <c r="F453"/>
      <c r="G453"/>
      <c r="H453"/>
      <c r="I453"/>
      <c r="J453"/>
      <c r="K453"/>
      <c r="L453"/>
      <c r="M453"/>
      <c r="N453"/>
      <c r="O453"/>
      <c r="P453"/>
      <c r="Q453"/>
      <c r="R453"/>
    </row>
    <row r="454" spans="1:18">
      <c r="A454" s="139"/>
      <c r="B454" s="139"/>
      <c r="C454" s="139"/>
      <c r="D454"/>
      <c r="E454"/>
      <c r="F454"/>
      <c r="G454"/>
      <c r="H454"/>
      <c r="I454"/>
      <c r="J454"/>
      <c r="K454"/>
      <c r="L454"/>
      <c r="M454"/>
      <c r="N454"/>
      <c r="O454"/>
      <c r="P454"/>
      <c r="Q454"/>
      <c r="R454"/>
    </row>
    <row r="455" spans="1:18">
      <c r="A455" s="139"/>
      <c r="B455" s="139"/>
      <c r="C455" s="139"/>
      <c r="D455"/>
      <c r="E455"/>
      <c r="F455"/>
      <c r="G455"/>
      <c r="H455"/>
      <c r="I455"/>
      <c r="J455"/>
      <c r="K455"/>
      <c r="L455"/>
      <c r="M455"/>
      <c r="N455"/>
      <c r="O455"/>
      <c r="P455"/>
      <c r="Q455"/>
      <c r="R455"/>
    </row>
    <row r="456" spans="1:18">
      <c r="A456" s="139"/>
      <c r="B456" s="139"/>
      <c r="C456" s="139"/>
      <c r="D456"/>
      <c r="E456"/>
      <c r="F456"/>
      <c r="G456"/>
      <c r="H456"/>
      <c r="I456"/>
      <c r="J456"/>
      <c r="K456"/>
      <c r="L456"/>
      <c r="M456"/>
      <c r="N456"/>
      <c r="O456"/>
      <c r="P456"/>
      <c r="Q456"/>
      <c r="R456"/>
    </row>
    <row r="457" spans="1:18">
      <c r="A457" s="139"/>
      <c r="B457" s="139"/>
      <c r="C457" s="139"/>
      <c r="D457"/>
      <c r="E457"/>
      <c r="F457"/>
      <c r="G457"/>
      <c r="H457"/>
      <c r="I457"/>
      <c r="J457"/>
      <c r="K457"/>
      <c r="L457"/>
      <c r="M457"/>
      <c r="N457"/>
      <c r="O457"/>
      <c r="P457"/>
      <c r="Q457"/>
      <c r="R457"/>
    </row>
    <row r="458" spans="1:18">
      <c r="A458" s="139"/>
      <c r="B458" s="139"/>
      <c r="C458" s="139"/>
      <c r="D458"/>
      <c r="E458"/>
      <c r="F458"/>
      <c r="G458"/>
      <c r="H458"/>
      <c r="I458"/>
      <c r="J458"/>
      <c r="K458"/>
      <c r="L458"/>
      <c r="M458"/>
      <c r="N458"/>
      <c r="O458"/>
      <c r="P458"/>
      <c r="Q458"/>
      <c r="R458"/>
    </row>
    <row r="459" spans="1:18">
      <c r="A459" s="139"/>
      <c r="B459" s="139"/>
      <c r="C459" s="139"/>
      <c r="D459"/>
      <c r="E459"/>
      <c r="F459"/>
      <c r="G459"/>
      <c r="H459"/>
      <c r="I459"/>
      <c r="J459"/>
      <c r="K459"/>
      <c r="L459"/>
      <c r="M459"/>
      <c r="N459"/>
      <c r="O459"/>
      <c r="P459"/>
      <c r="Q459"/>
      <c r="R459"/>
    </row>
    <row r="460" spans="1:18">
      <c r="A460" s="139"/>
      <c r="B460" s="139"/>
      <c r="C460" s="139"/>
      <c r="D460"/>
      <c r="E460"/>
      <c r="F460"/>
      <c r="G460"/>
      <c r="H460"/>
      <c r="I460"/>
      <c r="J460"/>
      <c r="K460"/>
      <c r="L460"/>
      <c r="M460"/>
      <c r="N460"/>
      <c r="O460"/>
      <c r="P460"/>
      <c r="Q460"/>
      <c r="R460"/>
    </row>
    <row r="461" spans="1:18">
      <c r="A461" s="139"/>
      <c r="B461" s="139"/>
      <c r="C461" s="139"/>
      <c r="D461"/>
      <c r="E461"/>
      <c r="F461"/>
      <c r="G461"/>
      <c r="H461"/>
      <c r="I461"/>
      <c r="J461"/>
      <c r="K461"/>
      <c r="L461"/>
      <c r="M461"/>
      <c r="N461"/>
      <c r="O461"/>
      <c r="P461"/>
      <c r="Q461"/>
      <c r="R461"/>
    </row>
    <row r="462" spans="1:18">
      <c r="A462" s="139"/>
      <c r="B462" s="139"/>
      <c r="C462" s="139"/>
      <c r="D462"/>
      <c r="E462"/>
      <c r="F462"/>
      <c r="G462"/>
      <c r="H462"/>
      <c r="I462"/>
      <c r="J462"/>
      <c r="K462"/>
      <c r="L462"/>
      <c r="M462"/>
      <c r="N462"/>
      <c r="O462"/>
      <c r="P462"/>
      <c r="Q462"/>
      <c r="R462"/>
    </row>
    <row r="463" spans="1:18">
      <c r="A463" s="139"/>
      <c r="B463" s="139"/>
      <c r="C463" s="139"/>
      <c r="D463"/>
      <c r="E463"/>
      <c r="F463"/>
      <c r="G463"/>
      <c r="H463"/>
      <c r="I463"/>
      <c r="J463"/>
      <c r="K463"/>
      <c r="L463"/>
      <c r="M463"/>
      <c r="N463"/>
      <c r="O463"/>
      <c r="P463"/>
      <c r="Q463"/>
      <c r="R463"/>
    </row>
    <row r="464" spans="1:18">
      <c r="A464" s="139"/>
      <c r="B464" s="139"/>
      <c r="C464" s="139"/>
      <c r="D464"/>
      <c r="E464"/>
      <c r="F464"/>
      <c r="G464"/>
      <c r="H464"/>
      <c r="I464"/>
      <c r="J464"/>
      <c r="K464"/>
      <c r="L464"/>
      <c r="M464"/>
      <c r="N464"/>
      <c r="O464"/>
      <c r="P464"/>
      <c r="Q464"/>
      <c r="R464"/>
    </row>
    <row r="465" spans="1:18">
      <c r="A465" s="139"/>
      <c r="B465" s="139"/>
      <c r="C465" s="139"/>
      <c r="D465"/>
      <c r="E465"/>
      <c r="F465"/>
      <c r="G465"/>
      <c r="H465"/>
      <c r="I465"/>
      <c r="J465"/>
      <c r="K465"/>
      <c r="L465"/>
      <c r="M465"/>
      <c r="N465"/>
      <c r="O465"/>
      <c r="P465"/>
      <c r="Q465"/>
      <c r="R465"/>
    </row>
    <row r="466" spans="1:18">
      <c r="A466" s="139"/>
      <c r="B466" s="139"/>
      <c r="C466" s="139"/>
      <c r="D466"/>
      <c r="E466"/>
      <c r="F466"/>
      <c r="G466"/>
      <c r="H466"/>
      <c r="I466"/>
      <c r="J466"/>
      <c r="K466"/>
      <c r="L466"/>
      <c r="M466"/>
      <c r="N466"/>
      <c r="O466"/>
      <c r="P466"/>
      <c r="Q466"/>
      <c r="R466"/>
    </row>
    <row r="467" spans="1:18">
      <c r="A467" s="139"/>
      <c r="B467" s="139"/>
      <c r="C467" s="139"/>
      <c r="D467"/>
      <c r="E467"/>
      <c r="F467"/>
      <c r="G467"/>
      <c r="H467"/>
      <c r="I467"/>
      <c r="J467"/>
      <c r="K467"/>
      <c r="L467"/>
      <c r="M467"/>
      <c r="N467"/>
      <c r="O467"/>
      <c r="P467"/>
      <c r="Q467"/>
      <c r="R467"/>
    </row>
    <row r="468" spans="1:18">
      <c r="A468" s="139"/>
      <c r="B468" s="139"/>
      <c r="C468" s="139"/>
      <c r="D468"/>
      <c r="E468"/>
      <c r="F468"/>
      <c r="G468"/>
      <c r="H468"/>
      <c r="I468"/>
      <c r="J468"/>
      <c r="K468"/>
      <c r="L468"/>
      <c r="M468"/>
      <c r="N468"/>
      <c r="O468"/>
      <c r="P468"/>
      <c r="Q468"/>
      <c r="R468"/>
    </row>
    <row r="469" spans="1:18">
      <c r="A469" s="139"/>
      <c r="B469" s="139"/>
      <c r="C469" s="139"/>
      <c r="D469"/>
      <c r="E469"/>
      <c r="F469"/>
      <c r="G469"/>
      <c r="H469"/>
      <c r="I469"/>
      <c r="J469"/>
      <c r="K469"/>
      <c r="L469"/>
      <c r="M469"/>
      <c r="N469"/>
      <c r="O469"/>
      <c r="P469"/>
      <c r="Q469"/>
      <c r="R469"/>
    </row>
    <row r="470" spans="1:18">
      <c r="A470" s="139"/>
      <c r="B470" s="139"/>
      <c r="C470" s="139"/>
      <c r="D470"/>
      <c r="E470"/>
      <c r="F470"/>
      <c r="G470"/>
      <c r="H470"/>
      <c r="I470"/>
      <c r="J470"/>
      <c r="K470"/>
      <c r="L470"/>
      <c r="M470"/>
      <c r="N470"/>
      <c r="O470"/>
      <c r="P470"/>
      <c r="Q470"/>
      <c r="R470"/>
    </row>
    <row r="471" spans="1:18">
      <c r="A471" s="139"/>
      <c r="B471" s="139"/>
      <c r="C471" s="139"/>
      <c r="D471"/>
      <c r="E471"/>
      <c r="F471"/>
      <c r="G471"/>
      <c r="H471"/>
      <c r="I471"/>
      <c r="J471"/>
      <c r="K471"/>
      <c r="L471"/>
      <c r="M471"/>
      <c r="N471"/>
      <c r="O471"/>
      <c r="P471"/>
      <c r="Q471"/>
      <c r="R471"/>
    </row>
    <row r="472" spans="1:18">
      <c r="A472" s="139"/>
      <c r="B472" s="139"/>
      <c r="C472" s="139"/>
      <c r="D472"/>
      <c r="E472"/>
      <c r="F472"/>
      <c r="G472"/>
      <c r="H472"/>
      <c r="I472"/>
      <c r="J472"/>
      <c r="K472"/>
      <c r="L472"/>
      <c r="M472"/>
      <c r="N472"/>
      <c r="O472"/>
      <c r="P472"/>
      <c r="Q472"/>
      <c r="R472"/>
    </row>
    <row r="473" spans="1:18">
      <c r="A473" s="139"/>
      <c r="B473" s="139"/>
      <c r="C473" s="139"/>
      <c r="D473"/>
      <c r="E473"/>
      <c r="F473"/>
      <c r="G473"/>
      <c r="H473"/>
      <c r="I473"/>
      <c r="J473"/>
      <c r="K473"/>
      <c r="L473"/>
      <c r="M473"/>
      <c r="N473"/>
      <c r="O473"/>
      <c r="P473"/>
      <c r="Q473"/>
      <c r="R473"/>
    </row>
    <row r="474" spans="1:18">
      <c r="A474" s="139"/>
      <c r="B474" s="139"/>
      <c r="C474" s="139"/>
      <c r="D474"/>
      <c r="E474"/>
      <c r="F474"/>
      <c r="G474"/>
      <c r="H474"/>
      <c r="I474"/>
      <c r="J474"/>
      <c r="K474"/>
      <c r="L474"/>
      <c r="M474"/>
      <c r="N474"/>
      <c r="O474"/>
      <c r="P474"/>
      <c r="Q474"/>
      <c r="R474"/>
    </row>
    <row r="475" spans="1:18">
      <c r="A475" s="139"/>
      <c r="B475" s="139"/>
      <c r="C475" s="139"/>
      <c r="D475"/>
      <c r="E475"/>
      <c r="F475"/>
      <c r="G475"/>
      <c r="H475"/>
      <c r="I475"/>
      <c r="J475"/>
      <c r="K475"/>
      <c r="L475"/>
      <c r="M475"/>
      <c r="N475"/>
      <c r="O475"/>
      <c r="P475"/>
      <c r="Q475"/>
      <c r="R475"/>
    </row>
    <row r="476" spans="1:18">
      <c r="A476" s="139"/>
      <c r="B476" s="139"/>
      <c r="C476" s="139"/>
      <c r="D476"/>
      <c r="E476"/>
      <c r="F476"/>
      <c r="G476"/>
      <c r="H476"/>
      <c r="I476"/>
      <c r="J476"/>
      <c r="K476"/>
      <c r="L476"/>
      <c r="M476"/>
      <c r="N476"/>
      <c r="O476"/>
      <c r="P476"/>
      <c r="Q476"/>
      <c r="R476"/>
    </row>
    <row r="477" spans="1:18">
      <c r="A477" s="139"/>
      <c r="B477" s="139"/>
      <c r="C477" s="139"/>
      <c r="D477"/>
      <c r="E477"/>
      <c r="F477"/>
      <c r="G477"/>
      <c r="H477"/>
      <c r="I477"/>
      <c r="J477"/>
      <c r="K477"/>
      <c r="L477"/>
      <c r="M477"/>
      <c r="N477"/>
      <c r="O477"/>
      <c r="P477"/>
      <c r="Q477"/>
      <c r="R477"/>
    </row>
    <row r="478" spans="1:18">
      <c r="A478" s="139"/>
      <c r="B478" s="139"/>
      <c r="C478" s="139"/>
      <c r="D478"/>
      <c r="E478"/>
      <c r="F478"/>
      <c r="G478"/>
      <c r="H478"/>
      <c r="I478"/>
      <c r="J478"/>
      <c r="K478"/>
      <c r="L478"/>
      <c r="M478"/>
      <c r="N478"/>
      <c r="O478"/>
      <c r="P478"/>
      <c r="Q478"/>
      <c r="R478"/>
    </row>
    <row r="479" spans="1:18">
      <c r="A479" s="139"/>
      <c r="B479" s="139"/>
      <c r="C479" s="139"/>
      <c r="D479"/>
      <c r="E479"/>
      <c r="F479"/>
      <c r="G479"/>
      <c r="H479"/>
      <c r="I479"/>
      <c r="J479"/>
      <c r="K479"/>
      <c r="L479"/>
      <c r="M479"/>
      <c r="N479"/>
      <c r="O479"/>
      <c r="P479"/>
      <c r="Q479"/>
      <c r="R479"/>
    </row>
    <row r="480" spans="1:18">
      <c r="A480" s="139"/>
      <c r="B480" s="139"/>
      <c r="C480" s="139"/>
      <c r="D480"/>
      <c r="E480"/>
      <c r="F480"/>
      <c r="G480"/>
      <c r="H480"/>
      <c r="I480"/>
      <c r="J480"/>
      <c r="K480"/>
      <c r="L480"/>
      <c r="M480"/>
      <c r="N480"/>
      <c r="O480"/>
      <c r="P480"/>
      <c r="Q480"/>
      <c r="R480"/>
    </row>
    <row r="481" spans="1:18">
      <c r="A481" s="139"/>
      <c r="B481" s="139"/>
      <c r="C481" s="139"/>
      <c r="D481"/>
      <c r="E481"/>
      <c r="F481"/>
      <c r="G481"/>
      <c r="H481"/>
      <c r="I481"/>
      <c r="J481"/>
      <c r="K481"/>
      <c r="L481"/>
      <c r="M481"/>
      <c r="N481"/>
      <c r="O481"/>
      <c r="P481"/>
      <c r="Q481"/>
      <c r="R481"/>
    </row>
    <row r="482" spans="1:18">
      <c r="A482" s="139"/>
      <c r="B482" s="139"/>
      <c r="C482" s="139"/>
      <c r="D482"/>
      <c r="E482"/>
      <c r="F482"/>
      <c r="G482"/>
      <c r="H482"/>
      <c r="I482"/>
      <c r="J482"/>
      <c r="K482"/>
      <c r="L482"/>
      <c r="M482"/>
      <c r="N482"/>
      <c r="O482"/>
      <c r="P482"/>
      <c r="Q482"/>
      <c r="R482"/>
    </row>
    <row r="483" spans="1:18">
      <c r="A483" s="139"/>
      <c r="B483" s="139"/>
      <c r="C483" s="139"/>
      <c r="D483"/>
      <c r="E483"/>
      <c r="F483"/>
      <c r="G483"/>
      <c r="H483"/>
      <c r="I483"/>
      <c r="J483"/>
      <c r="K483"/>
      <c r="L483"/>
      <c r="M483"/>
      <c r="N483"/>
      <c r="O483"/>
      <c r="P483"/>
      <c r="Q483"/>
      <c r="R483"/>
    </row>
    <row r="484" spans="1:18">
      <c r="A484" s="139"/>
      <c r="B484" s="139"/>
      <c r="C484" s="139"/>
      <c r="D484"/>
      <c r="E484"/>
      <c r="F484"/>
      <c r="G484"/>
      <c r="H484"/>
      <c r="I484"/>
      <c r="J484"/>
      <c r="K484"/>
      <c r="L484"/>
      <c r="M484"/>
      <c r="N484"/>
      <c r="O484"/>
      <c r="P484"/>
      <c r="Q484"/>
      <c r="R484"/>
    </row>
    <row r="485" spans="1:18">
      <c r="A485" s="139"/>
      <c r="B485" s="139"/>
      <c r="C485" s="139"/>
      <c r="D485"/>
      <c r="E485"/>
      <c r="F485"/>
      <c r="G485"/>
      <c r="H485"/>
      <c r="I485"/>
      <c r="J485"/>
      <c r="K485"/>
      <c r="L485"/>
      <c r="M485"/>
      <c r="N485"/>
      <c r="O485"/>
      <c r="P485"/>
      <c r="Q485"/>
      <c r="R485"/>
    </row>
    <row r="486" spans="1:18">
      <c r="A486" s="139"/>
      <c r="B486" s="139"/>
      <c r="C486" s="139"/>
      <c r="D486"/>
      <c r="E486"/>
      <c r="F486"/>
      <c r="G486"/>
      <c r="H486"/>
      <c r="I486"/>
      <c r="J486"/>
      <c r="K486"/>
      <c r="L486"/>
      <c r="M486"/>
      <c r="N486"/>
      <c r="O486"/>
      <c r="P486"/>
      <c r="Q486"/>
      <c r="R486"/>
    </row>
    <row r="487" spans="1:18">
      <c r="A487" s="139"/>
      <c r="B487" s="139"/>
      <c r="C487" s="139"/>
      <c r="D487"/>
      <c r="E487"/>
      <c r="F487"/>
      <c r="G487"/>
      <c r="H487"/>
      <c r="I487"/>
      <c r="J487"/>
      <c r="K487"/>
      <c r="L487"/>
      <c r="M487"/>
      <c r="N487"/>
      <c r="O487"/>
      <c r="P487"/>
      <c r="Q487"/>
      <c r="R487"/>
    </row>
    <row r="488" spans="1:18">
      <c r="A488" s="139"/>
      <c r="B488" s="139"/>
      <c r="C488" s="139"/>
      <c r="D488"/>
      <c r="E488"/>
      <c r="F488"/>
      <c r="G488"/>
      <c r="H488"/>
      <c r="I488"/>
      <c r="J488"/>
      <c r="K488"/>
      <c r="L488"/>
      <c r="M488"/>
      <c r="N488"/>
      <c r="O488"/>
      <c r="P488"/>
      <c r="Q488"/>
      <c r="R488"/>
    </row>
    <row r="489" spans="1:18">
      <c r="A489" s="139"/>
      <c r="B489" s="139"/>
      <c r="C489" s="139"/>
      <c r="D489"/>
      <c r="E489"/>
      <c r="F489"/>
      <c r="G489"/>
      <c r="H489"/>
      <c r="I489"/>
      <c r="J489"/>
      <c r="K489"/>
      <c r="L489"/>
      <c r="M489"/>
      <c r="N489"/>
      <c r="O489"/>
      <c r="P489"/>
      <c r="Q489"/>
      <c r="R489"/>
    </row>
    <row r="490" spans="1:18">
      <c r="A490" s="139"/>
      <c r="B490" s="139"/>
      <c r="C490" s="139"/>
      <c r="D490"/>
      <c r="E490"/>
      <c r="F490"/>
      <c r="G490"/>
      <c r="H490"/>
      <c r="I490"/>
      <c r="J490"/>
      <c r="K490"/>
      <c r="L490"/>
      <c r="M490"/>
      <c r="N490"/>
      <c r="O490"/>
      <c r="P490"/>
      <c r="Q490"/>
      <c r="R490"/>
    </row>
    <row r="491" spans="1:18">
      <c r="A491" s="139"/>
      <c r="B491" s="139"/>
      <c r="C491" s="139"/>
      <c r="D491"/>
      <c r="E491"/>
      <c r="F491"/>
      <c r="G491"/>
      <c r="H491"/>
      <c r="I491"/>
      <c r="J491"/>
      <c r="K491"/>
      <c r="L491"/>
      <c r="M491"/>
      <c r="N491"/>
      <c r="O491"/>
      <c r="P491"/>
      <c r="Q491"/>
      <c r="R491"/>
    </row>
    <row r="492" spans="1:18">
      <c r="A492" s="139"/>
      <c r="B492" s="139"/>
      <c r="C492" s="139"/>
      <c r="D492"/>
      <c r="E492"/>
      <c r="F492"/>
      <c r="G492"/>
      <c r="H492"/>
      <c r="I492"/>
      <c r="J492"/>
      <c r="K492"/>
      <c r="L492"/>
      <c r="M492"/>
      <c r="N492"/>
      <c r="O492"/>
      <c r="P492"/>
      <c r="Q492"/>
      <c r="R492"/>
    </row>
    <row r="493" spans="1:18">
      <c r="A493" s="139"/>
      <c r="B493" s="139"/>
      <c r="C493" s="139"/>
      <c r="D493"/>
      <c r="E493"/>
      <c r="F493"/>
      <c r="G493"/>
      <c r="H493"/>
      <c r="I493"/>
      <c r="J493"/>
      <c r="K493"/>
      <c r="L493"/>
      <c r="M493"/>
      <c r="N493"/>
      <c r="O493"/>
      <c r="P493"/>
      <c r="Q493"/>
      <c r="R493"/>
    </row>
    <row r="494" spans="1:18">
      <c r="A494" s="139"/>
      <c r="B494" s="139"/>
      <c r="C494" s="139"/>
      <c r="D494"/>
      <c r="E494"/>
      <c r="F494"/>
      <c r="G494"/>
      <c r="H494"/>
      <c r="I494"/>
      <c r="J494"/>
      <c r="K494"/>
      <c r="L494"/>
      <c r="M494"/>
      <c r="N494"/>
      <c r="O494"/>
      <c r="P494"/>
      <c r="Q494"/>
      <c r="R494"/>
    </row>
    <row r="495" spans="1:18">
      <c r="A495" s="139"/>
      <c r="B495" s="139"/>
      <c r="C495" s="139"/>
      <c r="D495"/>
      <c r="E495"/>
      <c r="F495"/>
      <c r="G495"/>
      <c r="H495"/>
      <c r="I495"/>
      <c r="J495"/>
      <c r="K495"/>
      <c r="L495"/>
      <c r="M495"/>
      <c r="N495"/>
      <c r="O495"/>
      <c r="P495"/>
      <c r="Q495"/>
      <c r="R495"/>
    </row>
    <row r="496" spans="1:18">
      <c r="A496" s="139"/>
      <c r="B496" s="139"/>
      <c r="C496" s="139"/>
      <c r="D496"/>
      <c r="E496"/>
      <c r="F496"/>
      <c r="G496"/>
      <c r="H496"/>
      <c r="I496"/>
      <c r="J496"/>
      <c r="K496"/>
      <c r="L496"/>
      <c r="M496"/>
      <c r="N496"/>
      <c r="O496"/>
      <c r="P496"/>
      <c r="Q496"/>
      <c r="R496"/>
    </row>
    <row r="497" spans="1:18">
      <c r="A497" s="139"/>
      <c r="B497" s="139"/>
      <c r="C497" s="139"/>
      <c r="D497"/>
      <c r="E497"/>
      <c r="F497"/>
      <c r="G497"/>
      <c r="H497"/>
      <c r="I497"/>
      <c r="J497"/>
      <c r="K497"/>
      <c r="L497"/>
      <c r="M497"/>
      <c r="N497"/>
      <c r="O497"/>
      <c r="P497"/>
      <c r="Q497"/>
      <c r="R497"/>
    </row>
    <row r="498" spans="1:18">
      <c r="A498" s="139"/>
      <c r="B498" s="139"/>
      <c r="C498" s="139"/>
      <c r="D498"/>
      <c r="E498"/>
      <c r="F498"/>
      <c r="G498"/>
      <c r="H498"/>
      <c r="I498"/>
      <c r="J498"/>
      <c r="K498"/>
      <c r="L498"/>
      <c r="M498"/>
      <c r="N498"/>
      <c r="O498"/>
      <c r="P498"/>
      <c r="Q498"/>
      <c r="R498"/>
    </row>
    <row r="499" spans="1:18">
      <c r="A499" s="139"/>
      <c r="B499" s="139"/>
      <c r="C499" s="139"/>
      <c r="D499"/>
      <c r="E499"/>
      <c r="F499"/>
      <c r="G499"/>
      <c r="H499"/>
      <c r="I499"/>
      <c r="J499"/>
      <c r="K499"/>
      <c r="L499"/>
      <c r="M499"/>
      <c r="N499"/>
      <c r="O499"/>
      <c r="P499"/>
      <c r="Q499"/>
      <c r="R499"/>
    </row>
    <row r="500" spans="1:18">
      <c r="A500" s="139"/>
      <c r="B500" s="139"/>
      <c r="C500" s="139"/>
      <c r="D500"/>
      <c r="E500"/>
      <c r="F500"/>
      <c r="G500"/>
      <c r="H500"/>
      <c r="I500"/>
      <c r="J500"/>
      <c r="K500"/>
      <c r="L500"/>
      <c r="M500"/>
      <c r="N500"/>
      <c r="O500"/>
      <c r="P500"/>
      <c r="Q500"/>
      <c r="R500"/>
    </row>
    <row r="501" spans="1:18">
      <c r="A501" s="139"/>
      <c r="B501" s="139"/>
      <c r="C501" s="139"/>
      <c r="D501"/>
      <c r="E501"/>
      <c r="F501"/>
      <c r="G501"/>
      <c r="H501"/>
      <c r="I501"/>
      <c r="J501"/>
      <c r="K501"/>
      <c r="L501"/>
      <c r="M501"/>
      <c r="N501"/>
      <c r="O501"/>
      <c r="P501"/>
      <c r="Q501"/>
      <c r="R501"/>
    </row>
    <row r="502" spans="1:18">
      <c r="A502" s="139"/>
      <c r="B502" s="139"/>
      <c r="C502" s="139"/>
      <c r="D502"/>
      <c r="E502"/>
      <c r="F502"/>
      <c r="G502"/>
      <c r="H502"/>
      <c r="I502"/>
      <c r="J502"/>
      <c r="K502"/>
      <c r="L502"/>
      <c r="M502"/>
      <c r="N502"/>
      <c r="O502"/>
      <c r="P502"/>
      <c r="Q502"/>
      <c r="R502"/>
    </row>
    <row r="503" spans="1:18">
      <c r="A503" s="139"/>
      <c r="B503" s="139"/>
      <c r="C503" s="139"/>
      <c r="D503"/>
      <c r="E503"/>
      <c r="F503"/>
      <c r="G503"/>
      <c r="H503"/>
      <c r="I503"/>
      <c r="J503"/>
      <c r="K503"/>
      <c r="L503"/>
      <c r="M503"/>
      <c r="N503"/>
      <c r="O503"/>
      <c r="P503"/>
      <c r="Q503"/>
      <c r="R503"/>
    </row>
    <row r="504" spans="1:18">
      <c r="A504" s="139"/>
      <c r="B504" s="139"/>
      <c r="C504" s="139"/>
      <c r="D504"/>
      <c r="E504"/>
      <c r="F504"/>
      <c r="G504"/>
      <c r="H504"/>
      <c r="I504"/>
      <c r="J504"/>
      <c r="K504"/>
      <c r="L504"/>
      <c r="M504"/>
      <c r="N504"/>
      <c r="O504"/>
      <c r="P504"/>
      <c r="Q504"/>
      <c r="R504"/>
    </row>
    <row r="505" spans="1:18">
      <c r="A505" s="139"/>
      <c r="B505" s="139"/>
      <c r="C505" s="139"/>
      <c r="D505"/>
      <c r="E505"/>
      <c r="F505"/>
      <c r="G505"/>
      <c r="H505"/>
      <c r="I505"/>
      <c r="J505"/>
      <c r="K505"/>
      <c r="L505"/>
      <c r="M505"/>
      <c r="N505"/>
      <c r="O505"/>
      <c r="P505"/>
      <c r="Q505"/>
      <c r="R505"/>
    </row>
    <row r="506" spans="1:18">
      <c r="A506" s="139"/>
      <c r="B506" s="139"/>
      <c r="C506" s="139"/>
      <c r="D506"/>
      <c r="E506"/>
      <c r="F506"/>
      <c r="G506"/>
      <c r="H506"/>
      <c r="I506"/>
      <c r="J506"/>
      <c r="K506"/>
      <c r="L506"/>
      <c r="M506"/>
      <c r="N506"/>
      <c r="O506"/>
      <c r="P506"/>
      <c r="Q506"/>
      <c r="R506"/>
    </row>
    <row r="507" spans="1:18">
      <c r="A507" s="139"/>
      <c r="B507" s="139"/>
      <c r="C507" s="139"/>
      <c r="D507"/>
      <c r="E507"/>
      <c r="F507"/>
      <c r="G507"/>
      <c r="H507"/>
      <c r="I507"/>
      <c r="J507"/>
      <c r="K507"/>
      <c r="L507"/>
      <c r="M507"/>
      <c r="N507"/>
      <c r="O507"/>
      <c r="P507"/>
      <c r="Q507"/>
      <c r="R507"/>
    </row>
    <row r="508" spans="1:18">
      <c r="A508" s="139"/>
      <c r="B508" s="139"/>
      <c r="C508" s="139"/>
      <c r="D508"/>
      <c r="E508"/>
      <c r="F508"/>
      <c r="G508"/>
      <c r="H508"/>
      <c r="I508"/>
      <c r="J508"/>
      <c r="K508"/>
      <c r="L508"/>
      <c r="M508"/>
      <c r="N508"/>
      <c r="O508"/>
      <c r="P508"/>
      <c r="Q508"/>
      <c r="R508"/>
    </row>
    <row r="509" spans="1:18">
      <c r="A509" s="139"/>
      <c r="B509" s="139"/>
      <c r="C509" s="139"/>
      <c r="D509"/>
      <c r="E509"/>
      <c r="F509"/>
      <c r="G509"/>
      <c r="H509"/>
      <c r="I509"/>
      <c r="J509"/>
      <c r="K509"/>
      <c r="L509"/>
      <c r="M509"/>
      <c r="N509"/>
      <c r="O509"/>
      <c r="P509"/>
      <c r="Q509"/>
      <c r="R509"/>
    </row>
    <row r="510" spans="1:18">
      <c r="A510" s="139"/>
      <c r="B510" s="139"/>
      <c r="C510" s="139"/>
      <c r="D510"/>
      <c r="E510"/>
      <c r="F510"/>
      <c r="G510"/>
      <c r="H510"/>
      <c r="I510"/>
      <c r="J510"/>
      <c r="K510"/>
      <c r="L510"/>
      <c r="M510"/>
      <c r="N510"/>
      <c r="O510"/>
      <c r="P510"/>
      <c r="Q510"/>
      <c r="R510"/>
    </row>
    <row r="511" spans="1:18">
      <c r="A511" s="139"/>
      <c r="B511" s="139"/>
      <c r="C511" s="139"/>
      <c r="D511"/>
      <c r="E511"/>
      <c r="F511"/>
      <c r="G511"/>
      <c r="H511"/>
      <c r="I511"/>
      <c r="J511"/>
      <c r="K511"/>
      <c r="L511"/>
      <c r="M511"/>
      <c r="N511"/>
      <c r="O511"/>
      <c r="P511"/>
      <c r="Q511"/>
      <c r="R511"/>
    </row>
    <row r="512" spans="1:18">
      <c r="A512" s="139"/>
      <c r="B512" s="139"/>
      <c r="C512" s="139"/>
      <c r="D512"/>
      <c r="E512"/>
      <c r="F512"/>
      <c r="G512"/>
      <c r="H512"/>
      <c r="I512"/>
      <c r="J512"/>
      <c r="K512"/>
      <c r="L512"/>
      <c r="M512"/>
      <c r="N512"/>
      <c r="O512"/>
      <c r="P512"/>
      <c r="Q512"/>
      <c r="R512"/>
    </row>
    <row r="513" spans="1:19">
      <c r="A513" s="139"/>
      <c r="B513" s="139"/>
      <c r="C513" s="139"/>
      <c r="D513"/>
      <c r="E513"/>
      <c r="F513"/>
      <c r="G513"/>
      <c r="H513"/>
      <c r="I513"/>
      <c r="J513"/>
      <c r="K513"/>
      <c r="L513"/>
      <c r="M513"/>
      <c r="N513"/>
      <c r="O513"/>
      <c r="P513"/>
      <c r="Q513"/>
      <c r="R513"/>
    </row>
    <row r="514" spans="1:19">
      <c r="A514" s="139"/>
      <c r="B514" s="139"/>
      <c r="C514" s="139"/>
      <c r="D514"/>
      <c r="E514"/>
      <c r="F514"/>
      <c r="G514"/>
      <c r="H514"/>
      <c r="I514"/>
      <c r="J514"/>
      <c r="K514"/>
      <c r="L514"/>
      <c r="M514"/>
      <c r="N514"/>
      <c r="O514"/>
      <c r="P514"/>
      <c r="Q514"/>
      <c r="R514"/>
    </row>
    <row r="515" spans="1:19">
      <c r="A515" s="139"/>
      <c r="B515" s="139"/>
      <c r="C515" s="139"/>
      <c r="D515"/>
      <c r="E515"/>
      <c r="F515"/>
      <c r="G515"/>
      <c r="H515"/>
      <c r="I515"/>
      <c r="J515"/>
      <c r="K515"/>
      <c r="L515"/>
      <c r="M515"/>
      <c r="N515"/>
      <c r="O515"/>
      <c r="P515"/>
      <c r="Q515"/>
      <c r="R515"/>
    </row>
    <row r="516" spans="1:19">
      <c r="A516" s="139"/>
      <c r="B516" s="139"/>
      <c r="C516" s="139"/>
      <c r="D516" s="121"/>
      <c r="E516" s="121"/>
      <c r="F516"/>
      <c r="G516"/>
      <c r="H516"/>
      <c r="I516"/>
      <c r="J516"/>
      <c r="K516"/>
      <c r="L516"/>
      <c r="M516"/>
      <c r="N516"/>
      <c r="O516"/>
      <c r="P516"/>
      <c r="Q516"/>
      <c r="R516"/>
    </row>
    <row r="517" spans="1:19">
      <c r="A517" s="139"/>
      <c r="B517" s="139"/>
      <c r="C517" s="139"/>
      <c r="D517" s="121"/>
      <c r="E517" s="121"/>
      <c r="F517"/>
      <c r="G517"/>
      <c r="H517"/>
      <c r="I517"/>
      <c r="J517"/>
      <c r="K517"/>
      <c r="L517"/>
      <c r="M517"/>
      <c r="N517"/>
      <c r="O517"/>
      <c r="P517"/>
      <c r="Q517"/>
      <c r="R517"/>
    </row>
    <row r="518" spans="1:19">
      <c r="A518" s="139"/>
      <c r="B518" s="139"/>
      <c r="C518" s="139"/>
      <c r="D518" s="121"/>
      <c r="E518" s="121"/>
      <c r="F518"/>
      <c r="G518"/>
      <c r="H518"/>
      <c r="I518"/>
      <c r="J518"/>
      <c r="K518"/>
      <c r="L518"/>
      <c r="M518"/>
      <c r="N518"/>
      <c r="O518"/>
      <c r="P518"/>
      <c r="Q518"/>
      <c r="R518"/>
    </row>
    <row r="519" spans="1:19">
      <c r="A519" s="139"/>
      <c r="B519" s="139"/>
      <c r="C519" s="139"/>
      <c r="D519"/>
      <c r="E519"/>
      <c r="F519"/>
      <c r="G519"/>
      <c r="H519"/>
      <c r="I519"/>
      <c r="J519"/>
      <c r="K519"/>
      <c r="L519"/>
      <c r="M519"/>
      <c r="N519"/>
      <c r="O519"/>
      <c r="P519"/>
      <c r="Q519"/>
      <c r="R519"/>
      <c r="S519" s="121"/>
    </row>
    <row r="520" spans="1:19">
      <c r="A520" s="139"/>
      <c r="B520" s="139"/>
      <c r="C520" s="139"/>
      <c r="D520"/>
      <c r="E520"/>
      <c r="F520"/>
      <c r="G520"/>
      <c r="H520"/>
      <c r="I520"/>
      <c r="J520"/>
      <c r="K520"/>
      <c r="L520"/>
      <c r="M520"/>
      <c r="N520"/>
      <c r="O520"/>
      <c r="P520"/>
      <c r="Q520"/>
      <c r="R520"/>
      <c r="S520" s="121"/>
    </row>
    <row r="521" spans="1:19">
      <c r="A521" s="139"/>
      <c r="B521" s="139"/>
      <c r="C521" s="139"/>
      <c r="D521"/>
      <c r="E521"/>
      <c r="F521"/>
      <c r="G521"/>
      <c r="H521"/>
      <c r="I521"/>
      <c r="J521"/>
      <c r="K521"/>
      <c r="L521"/>
      <c r="M521"/>
      <c r="N521"/>
      <c r="O521"/>
      <c r="P521"/>
      <c r="Q521"/>
      <c r="R521"/>
      <c r="S521" s="121"/>
    </row>
    <row r="522" spans="1:19">
      <c r="A522" s="139"/>
      <c r="B522" s="139"/>
      <c r="C522" s="139"/>
      <c r="D522"/>
      <c r="E522"/>
      <c r="F522"/>
      <c r="G522"/>
      <c r="H522"/>
      <c r="I522"/>
      <c r="J522"/>
      <c r="K522"/>
      <c r="L522"/>
      <c r="M522"/>
      <c r="N522"/>
      <c r="O522"/>
      <c r="P522"/>
      <c r="Q522"/>
      <c r="R522"/>
    </row>
    <row r="523" spans="1:19">
      <c r="A523" s="139"/>
      <c r="B523" s="139"/>
      <c r="C523" s="139"/>
      <c r="D523"/>
      <c r="E523"/>
      <c r="F523"/>
      <c r="G523"/>
      <c r="H523"/>
      <c r="I523"/>
      <c r="J523"/>
      <c r="K523"/>
      <c r="L523"/>
      <c r="M523"/>
      <c r="N523"/>
      <c r="O523"/>
      <c r="P523"/>
      <c r="Q523"/>
      <c r="R523"/>
    </row>
    <row r="524" spans="1:19">
      <c r="A524" s="139"/>
      <c r="B524" s="139"/>
      <c r="C524" s="139"/>
      <c r="D524"/>
      <c r="E524"/>
      <c r="F524"/>
      <c r="G524"/>
      <c r="H524"/>
      <c r="I524"/>
      <c r="J524"/>
      <c r="K524"/>
      <c r="L524"/>
      <c r="M524"/>
      <c r="N524"/>
      <c r="O524"/>
      <c r="P524"/>
      <c r="Q524"/>
      <c r="R524"/>
    </row>
    <row r="525" spans="1:19">
      <c r="A525" s="139"/>
      <c r="B525" s="139"/>
      <c r="C525" s="139"/>
      <c r="D525"/>
      <c r="E525"/>
      <c r="F525"/>
      <c r="G525"/>
      <c r="H525"/>
      <c r="I525"/>
      <c r="J525"/>
      <c r="K525"/>
      <c r="L525"/>
      <c r="M525"/>
      <c r="N525"/>
      <c r="O525"/>
      <c r="P525"/>
      <c r="Q525"/>
      <c r="R525"/>
    </row>
    <row r="526" spans="1:19">
      <c r="A526" s="139"/>
      <c r="B526" s="139"/>
      <c r="C526" s="139"/>
      <c r="D526"/>
      <c r="E526"/>
      <c r="F526"/>
      <c r="G526"/>
      <c r="H526"/>
      <c r="I526"/>
      <c r="J526"/>
      <c r="K526"/>
      <c r="L526"/>
      <c r="M526"/>
      <c r="N526"/>
      <c r="O526"/>
      <c r="P526"/>
      <c r="Q526"/>
      <c r="R526"/>
    </row>
    <row r="527" spans="1:19">
      <c r="A527" s="139"/>
      <c r="B527" s="139"/>
      <c r="C527" s="139"/>
      <c r="D527"/>
      <c r="E527"/>
      <c r="F527"/>
      <c r="G527"/>
      <c r="H527"/>
      <c r="I527"/>
      <c r="J527"/>
      <c r="K527"/>
      <c r="L527"/>
      <c r="M527"/>
      <c r="N527"/>
      <c r="O527"/>
      <c r="P527"/>
      <c r="Q527"/>
      <c r="R527"/>
    </row>
    <row r="528" spans="1:19">
      <c r="A528" s="139"/>
      <c r="B528" s="139"/>
      <c r="C528" s="139"/>
      <c r="D528"/>
      <c r="E528"/>
      <c r="F528"/>
      <c r="G528"/>
      <c r="H528"/>
      <c r="I528"/>
      <c r="J528"/>
      <c r="K528"/>
      <c r="L528"/>
      <c r="M528"/>
      <c r="N528"/>
      <c r="O528"/>
      <c r="P528"/>
      <c r="Q528"/>
      <c r="R528"/>
    </row>
    <row r="529" spans="1:22">
      <c r="A529" s="139"/>
      <c r="B529" s="139"/>
      <c r="C529" s="139"/>
      <c r="D529"/>
      <c r="E529"/>
      <c r="F529"/>
      <c r="G529"/>
      <c r="H529"/>
      <c r="I529"/>
      <c r="J529"/>
      <c r="K529"/>
      <c r="L529"/>
      <c r="M529"/>
      <c r="N529"/>
      <c r="O529"/>
      <c r="P529"/>
      <c r="Q529"/>
      <c r="R529"/>
    </row>
    <row r="530" spans="1:22">
      <c r="A530" s="139"/>
      <c r="B530" s="139"/>
      <c r="C530" s="139"/>
      <c r="D530"/>
      <c r="E530"/>
      <c r="F530"/>
      <c r="G530"/>
      <c r="H530"/>
      <c r="I530"/>
      <c r="J530"/>
      <c r="K530"/>
      <c r="L530"/>
      <c r="M530"/>
      <c r="N530"/>
      <c r="O530"/>
      <c r="P530"/>
      <c r="Q530"/>
      <c r="R530"/>
    </row>
    <row r="531" spans="1:22">
      <c r="A531" s="139"/>
      <c r="B531" s="139"/>
      <c r="C531" s="139"/>
      <c r="D531"/>
      <c r="E531"/>
      <c r="F531"/>
      <c r="G531"/>
      <c r="H531"/>
      <c r="I531"/>
      <c r="J531"/>
      <c r="K531"/>
      <c r="L531"/>
      <c r="M531"/>
      <c r="N531"/>
      <c r="O531"/>
      <c r="P531"/>
      <c r="Q531"/>
      <c r="R531"/>
    </row>
    <row r="532" spans="1:22">
      <c r="A532" s="139"/>
      <c r="B532" s="139"/>
      <c r="C532" s="139"/>
      <c r="D532"/>
      <c r="E532"/>
      <c r="F532"/>
      <c r="G532"/>
      <c r="H532"/>
      <c r="I532"/>
      <c r="J532"/>
      <c r="K532"/>
      <c r="L532"/>
      <c r="M532"/>
      <c r="N532"/>
      <c r="O532"/>
      <c r="P532"/>
      <c r="Q532"/>
      <c r="R532"/>
    </row>
    <row r="533" spans="1:22">
      <c r="A533" s="139"/>
      <c r="B533" s="139"/>
      <c r="C533" s="139"/>
      <c r="D533"/>
      <c r="E533"/>
      <c r="F533"/>
      <c r="G533"/>
      <c r="H533"/>
      <c r="I533"/>
      <c r="J533"/>
      <c r="K533"/>
      <c r="L533"/>
      <c r="M533"/>
      <c r="N533"/>
      <c r="O533"/>
      <c r="P533"/>
      <c r="Q533"/>
      <c r="R533"/>
      <c r="T533" s="121"/>
      <c r="U533" s="121"/>
      <c r="V533" s="121"/>
    </row>
    <row r="534" spans="1:22">
      <c r="A534" s="139"/>
      <c r="B534" s="139"/>
      <c r="C534" s="139"/>
      <c r="D534"/>
      <c r="E534"/>
      <c r="F534"/>
      <c r="G534"/>
      <c r="H534"/>
      <c r="I534"/>
      <c r="J534"/>
      <c r="K534"/>
      <c r="L534"/>
      <c r="M534"/>
      <c r="N534"/>
      <c r="O534"/>
      <c r="P534"/>
      <c r="Q534"/>
      <c r="R534"/>
      <c r="T534" s="121"/>
      <c r="U534" s="121"/>
      <c r="V534" s="121"/>
    </row>
    <row r="535" spans="1:22">
      <c r="A535" s="139"/>
      <c r="B535" s="139"/>
      <c r="C535" s="139"/>
      <c r="D535"/>
      <c r="E535"/>
      <c r="F535"/>
      <c r="G535"/>
      <c r="H535"/>
      <c r="I535"/>
      <c r="J535"/>
      <c r="K535"/>
      <c r="L535"/>
      <c r="M535"/>
      <c r="N535"/>
      <c r="O535"/>
      <c r="P535"/>
      <c r="Q535"/>
      <c r="R535"/>
      <c r="T535" s="121"/>
      <c r="U535" s="121"/>
      <c r="V535" s="121"/>
    </row>
    <row r="536" spans="1:22">
      <c r="A536" s="139"/>
      <c r="B536" s="139"/>
      <c r="C536" s="139"/>
      <c r="D536"/>
      <c r="E536"/>
      <c r="F536"/>
      <c r="G536"/>
      <c r="H536"/>
      <c r="I536"/>
      <c r="J536"/>
      <c r="K536"/>
      <c r="L536"/>
      <c r="M536"/>
      <c r="N536"/>
      <c r="O536"/>
      <c r="P536"/>
      <c r="Q536"/>
      <c r="R536"/>
    </row>
    <row r="537" spans="1:22">
      <c r="A537" s="139"/>
      <c r="B537" s="139"/>
      <c r="C537" s="139"/>
      <c r="D537"/>
      <c r="E537"/>
      <c r="F537"/>
      <c r="G537"/>
      <c r="H537"/>
      <c r="I537"/>
      <c r="J537"/>
      <c r="K537"/>
      <c r="L537"/>
      <c r="M537"/>
      <c r="N537"/>
      <c r="O537"/>
      <c r="P537"/>
      <c r="Q537"/>
      <c r="R537"/>
    </row>
    <row r="538" spans="1:22">
      <c r="A538" s="139"/>
      <c r="B538" s="139"/>
      <c r="C538" s="139"/>
      <c r="D538"/>
      <c r="E538"/>
      <c r="F538"/>
      <c r="G538"/>
      <c r="H538"/>
      <c r="I538"/>
      <c r="J538"/>
      <c r="K538"/>
      <c r="L538"/>
      <c r="M538"/>
      <c r="N538"/>
      <c r="O538"/>
      <c r="P538"/>
      <c r="Q538"/>
      <c r="R538"/>
    </row>
    <row r="539" spans="1:22">
      <c r="A539" s="139"/>
      <c r="B539" s="139"/>
      <c r="C539" s="139"/>
      <c r="D539"/>
      <c r="E539"/>
      <c r="F539"/>
      <c r="G539"/>
      <c r="H539"/>
      <c r="I539"/>
      <c r="J539"/>
      <c r="K539"/>
      <c r="L539"/>
      <c r="M539"/>
      <c r="N539"/>
      <c r="O539"/>
      <c r="P539"/>
      <c r="Q539"/>
      <c r="R539"/>
    </row>
    <row r="540" spans="1:22">
      <c r="A540" s="139"/>
      <c r="B540" s="139"/>
      <c r="C540" s="139"/>
      <c r="D540"/>
      <c r="E540"/>
      <c r="F540"/>
      <c r="G540"/>
      <c r="H540"/>
      <c r="I540"/>
      <c r="J540"/>
      <c r="K540"/>
      <c r="L540"/>
      <c r="M540"/>
      <c r="N540"/>
      <c r="O540"/>
      <c r="P540"/>
      <c r="Q540"/>
      <c r="R540"/>
    </row>
    <row r="541" spans="1:22">
      <c r="A541" s="139"/>
      <c r="B541" s="139"/>
      <c r="C541" s="139"/>
      <c r="D541"/>
      <c r="E541"/>
      <c r="F541"/>
      <c r="G541"/>
      <c r="H541"/>
      <c r="I541"/>
      <c r="J541"/>
      <c r="K541"/>
      <c r="L541"/>
      <c r="M541"/>
      <c r="N541"/>
      <c r="O541"/>
      <c r="P541"/>
      <c r="Q541"/>
      <c r="R541"/>
    </row>
    <row r="542" spans="1:22">
      <c r="A542" s="139"/>
      <c r="B542" s="139"/>
      <c r="C542" s="139"/>
      <c r="D542"/>
      <c r="E542"/>
      <c r="F542"/>
      <c r="G542"/>
      <c r="H542"/>
      <c r="I542"/>
      <c r="J542"/>
      <c r="K542"/>
      <c r="L542"/>
      <c r="M542"/>
      <c r="N542"/>
      <c r="O542"/>
      <c r="P542"/>
      <c r="Q542"/>
      <c r="R542"/>
    </row>
    <row r="543" spans="1:22">
      <c r="A543" s="144">
        <v>1300</v>
      </c>
      <c r="B543" s="144">
        <v>20</v>
      </c>
      <c r="C543" s="144">
        <v>20</v>
      </c>
      <c r="D543"/>
      <c r="E543"/>
      <c r="F543" s="121"/>
      <c r="G543" s="121"/>
      <c r="H543" s="121"/>
      <c r="I543" s="121"/>
      <c r="J543" s="121"/>
      <c r="K543" s="121"/>
      <c r="L543" s="121"/>
      <c r="M543" s="121"/>
      <c r="N543" s="121"/>
      <c r="O543" s="121"/>
      <c r="P543"/>
      <c r="Q543"/>
      <c r="R543"/>
    </row>
    <row r="544" spans="1:22">
      <c r="A544" s="144">
        <v>4800</v>
      </c>
      <c r="B544" s="144">
        <v>27</v>
      </c>
      <c r="C544" s="144">
        <v>27</v>
      </c>
      <c r="D544"/>
      <c r="E544"/>
      <c r="F544" s="121"/>
      <c r="G544" s="121"/>
      <c r="H544" s="121"/>
      <c r="I544" s="121"/>
      <c r="J544" s="121"/>
      <c r="K544" s="121"/>
      <c r="L544" s="121"/>
      <c r="M544" s="121"/>
      <c r="N544" s="121"/>
      <c r="O544" s="121"/>
      <c r="P544"/>
      <c r="Q544"/>
      <c r="R544"/>
    </row>
    <row r="545" spans="1:33">
      <c r="A545" s="144">
        <v>10122</v>
      </c>
      <c r="B545" s="144">
        <v>32</v>
      </c>
      <c r="C545" s="144">
        <v>32</v>
      </c>
      <c r="D545"/>
      <c r="E545"/>
      <c r="F545" s="121"/>
      <c r="G545" s="121"/>
      <c r="H545" s="121"/>
      <c r="I545" s="121"/>
      <c r="J545" s="121"/>
      <c r="K545" s="121"/>
      <c r="L545" s="121"/>
      <c r="M545" s="121"/>
      <c r="N545" s="121"/>
      <c r="O545" s="121"/>
      <c r="P545"/>
      <c r="Q545"/>
      <c r="R545"/>
    </row>
    <row r="546" spans="1:33">
      <c r="A546" s="139"/>
      <c r="B546" s="139"/>
      <c r="C546" s="139"/>
      <c r="D546"/>
      <c r="E546"/>
      <c r="F546"/>
      <c r="G546"/>
      <c r="H546"/>
      <c r="I546"/>
      <c r="J546"/>
      <c r="K546"/>
      <c r="L546"/>
      <c r="M546"/>
      <c r="N546"/>
      <c r="O546"/>
      <c r="P546"/>
      <c r="Q546"/>
      <c r="R546"/>
    </row>
    <row r="547" spans="1:33">
      <c r="A547" s="139"/>
      <c r="B547" s="139"/>
      <c r="C547" s="139"/>
      <c r="D547"/>
      <c r="E547"/>
      <c r="F547"/>
      <c r="G547"/>
      <c r="H547"/>
      <c r="I547"/>
      <c r="J547"/>
      <c r="K547"/>
      <c r="L547"/>
      <c r="M547"/>
      <c r="N547"/>
      <c r="O547"/>
      <c r="P547"/>
      <c r="Q547"/>
      <c r="R547"/>
    </row>
    <row r="548" spans="1:33">
      <c r="A548" s="139"/>
      <c r="B548" s="139"/>
      <c r="C548" s="139"/>
      <c r="D548"/>
      <c r="E548"/>
      <c r="F548"/>
      <c r="G548"/>
      <c r="H548"/>
      <c r="I548"/>
      <c r="J548"/>
      <c r="K548"/>
      <c r="L548"/>
      <c r="M548"/>
      <c r="N548"/>
      <c r="O548"/>
      <c r="P548"/>
      <c r="Q548"/>
      <c r="R548"/>
      <c r="W548" s="121"/>
      <c r="X548" s="121"/>
      <c r="Y548" s="121"/>
      <c r="Z548" s="121"/>
      <c r="AA548" s="121"/>
      <c r="AB548" s="121"/>
      <c r="AC548" s="121"/>
      <c r="AD548" s="121"/>
      <c r="AE548" s="121"/>
      <c r="AF548" s="121"/>
      <c r="AG548" s="121"/>
    </row>
    <row r="549" spans="1:33">
      <c r="A549" s="139"/>
      <c r="B549" s="139"/>
      <c r="C549" s="139"/>
      <c r="D549"/>
      <c r="E549"/>
      <c r="F549"/>
      <c r="G549"/>
      <c r="H549"/>
      <c r="I549"/>
      <c r="J549"/>
      <c r="K549"/>
      <c r="L549"/>
      <c r="M549"/>
      <c r="N549"/>
      <c r="O549"/>
      <c r="P549" s="121"/>
      <c r="Q549" s="121"/>
      <c r="R549" s="121"/>
      <c r="W549" s="121"/>
      <c r="X549" s="121"/>
      <c r="Y549" s="121"/>
      <c r="Z549" s="121"/>
      <c r="AA549" s="121"/>
      <c r="AB549" s="121"/>
      <c r="AC549" s="121"/>
      <c r="AD549" s="121"/>
      <c r="AE549" s="121"/>
      <c r="AF549" s="121"/>
      <c r="AG549" s="121"/>
    </row>
    <row r="550" spans="1:33" s="121" customFormat="1">
      <c r="A550" s="139"/>
      <c r="B550" s="139"/>
      <c r="C550" s="139"/>
      <c r="D550"/>
      <c r="E550"/>
      <c r="F550"/>
      <c r="G550"/>
      <c r="H550"/>
      <c r="I550"/>
      <c r="J550"/>
      <c r="K550"/>
      <c r="L550"/>
      <c r="M550"/>
      <c r="N550"/>
      <c r="O550"/>
      <c r="S550"/>
      <c r="T550"/>
      <c r="U550"/>
      <c r="V550"/>
    </row>
    <row r="551" spans="1:33" s="121" customFormat="1">
      <c r="A551" s="139"/>
      <c r="B551" s="139"/>
      <c r="C551" s="139"/>
      <c r="D551"/>
      <c r="E551"/>
      <c r="F551"/>
      <c r="G551"/>
      <c r="H551"/>
      <c r="I551"/>
      <c r="J551"/>
      <c r="K551"/>
      <c r="L551"/>
      <c r="M551"/>
      <c r="N551"/>
      <c r="O551"/>
      <c r="S551"/>
      <c r="T551"/>
      <c r="U551"/>
      <c r="V551"/>
      <c r="W551"/>
      <c r="X551"/>
      <c r="Y551"/>
      <c r="Z551"/>
      <c r="AA551"/>
      <c r="AB551"/>
      <c r="AC551"/>
      <c r="AD551"/>
      <c r="AE551"/>
      <c r="AF551"/>
      <c r="AG551"/>
    </row>
    <row r="552" spans="1:33" s="121" customFormat="1">
      <c r="A552" s="139"/>
      <c r="B552" s="139"/>
      <c r="C552" s="139"/>
      <c r="D552"/>
      <c r="E552"/>
      <c r="F552"/>
      <c r="G552"/>
      <c r="H552"/>
      <c r="I552"/>
      <c r="J552"/>
      <c r="K552"/>
      <c r="L552"/>
      <c r="M552"/>
      <c r="N552"/>
      <c r="O552"/>
      <c r="P552"/>
      <c r="Q552"/>
      <c r="R552"/>
      <c r="S552"/>
      <c r="T552"/>
      <c r="U552"/>
      <c r="V552"/>
      <c r="W552"/>
      <c r="X552"/>
      <c r="Y552"/>
      <c r="Z552"/>
      <c r="AA552"/>
      <c r="AB552"/>
      <c r="AC552"/>
      <c r="AD552"/>
      <c r="AE552"/>
      <c r="AF552"/>
      <c r="AG552"/>
    </row>
    <row r="553" spans="1:33">
      <c r="A553" s="139"/>
      <c r="B553" s="139"/>
      <c r="C553" s="139"/>
      <c r="D553"/>
      <c r="E553"/>
      <c r="F553"/>
      <c r="G553"/>
      <c r="H553"/>
      <c r="I553"/>
      <c r="J553"/>
      <c r="K553"/>
      <c r="L553"/>
      <c r="M553"/>
      <c r="N553"/>
      <c r="O553"/>
      <c r="P553"/>
      <c r="Q553"/>
      <c r="R553"/>
    </row>
    <row r="554" spans="1:33">
      <c r="A554" s="139"/>
      <c r="B554" s="139"/>
      <c r="C554" s="139"/>
      <c r="D554"/>
      <c r="E554"/>
      <c r="F554"/>
      <c r="G554"/>
      <c r="H554"/>
      <c r="I554"/>
      <c r="J554"/>
      <c r="K554"/>
      <c r="L554"/>
      <c r="M554"/>
      <c r="N554"/>
      <c r="O554"/>
      <c r="P554"/>
      <c r="Q554"/>
      <c r="R554"/>
    </row>
    <row r="555" spans="1:33">
      <c r="A555" s="139"/>
      <c r="B555" s="139"/>
      <c r="C555" s="139"/>
      <c r="D555"/>
      <c r="E555"/>
      <c r="F555"/>
      <c r="G555"/>
      <c r="H555"/>
      <c r="I555"/>
      <c r="J555"/>
      <c r="K555"/>
      <c r="L555"/>
      <c r="M555"/>
      <c r="N555"/>
      <c r="O555"/>
      <c r="P555"/>
      <c r="Q555"/>
      <c r="R555"/>
    </row>
    <row r="556" spans="1:33">
      <c r="A556" s="139"/>
      <c r="B556" s="139"/>
      <c r="C556" s="139"/>
      <c r="D556"/>
      <c r="E556"/>
      <c r="F556"/>
      <c r="G556"/>
      <c r="H556"/>
      <c r="I556"/>
      <c r="J556"/>
      <c r="K556"/>
      <c r="L556"/>
      <c r="M556"/>
      <c r="N556"/>
      <c r="O556"/>
      <c r="P556"/>
      <c r="Q556"/>
      <c r="R556"/>
    </row>
    <row r="557" spans="1:33">
      <c r="A557" s="139"/>
      <c r="B557" s="139"/>
      <c r="C557" s="139"/>
      <c r="D557"/>
      <c r="E557"/>
      <c r="F557"/>
      <c r="G557"/>
      <c r="H557"/>
      <c r="I557"/>
      <c r="J557"/>
      <c r="K557"/>
      <c r="L557"/>
      <c r="M557"/>
      <c r="N557"/>
      <c r="O557"/>
      <c r="P557"/>
      <c r="Q557"/>
      <c r="R557"/>
    </row>
    <row r="558" spans="1:33">
      <c r="A558" s="139"/>
      <c r="B558" s="139"/>
      <c r="C558" s="139"/>
      <c r="D558"/>
      <c r="E558"/>
      <c r="F558"/>
      <c r="G558"/>
      <c r="H558"/>
      <c r="I558"/>
      <c r="J558"/>
      <c r="K558"/>
      <c r="L558"/>
      <c r="M558"/>
      <c r="N558"/>
      <c r="O558"/>
      <c r="P558"/>
      <c r="Q558"/>
      <c r="R558"/>
    </row>
    <row r="559" spans="1:33">
      <c r="A559" s="139"/>
      <c r="B559" s="139"/>
      <c r="C559" s="139"/>
      <c r="D559"/>
      <c r="E559"/>
      <c r="F559"/>
      <c r="G559"/>
      <c r="H559"/>
      <c r="I559"/>
      <c r="J559"/>
      <c r="K559"/>
      <c r="L559"/>
      <c r="M559"/>
      <c r="N559"/>
      <c r="O559"/>
      <c r="P559"/>
      <c r="Q559"/>
      <c r="R559"/>
    </row>
    <row r="560" spans="1:33">
      <c r="A560" s="139"/>
      <c r="B560" s="139"/>
      <c r="C560" s="139"/>
      <c r="D560"/>
      <c r="E560"/>
      <c r="F560"/>
      <c r="G560"/>
      <c r="H560"/>
      <c r="I560"/>
      <c r="J560"/>
      <c r="K560"/>
      <c r="L560"/>
      <c r="M560"/>
      <c r="N560"/>
      <c r="O560"/>
      <c r="P560"/>
      <c r="Q560"/>
      <c r="R560"/>
    </row>
    <row r="561" spans="1:18">
      <c r="A561" s="139"/>
      <c r="B561" s="139"/>
      <c r="C561" s="139"/>
      <c r="D561"/>
      <c r="E561"/>
      <c r="F561"/>
      <c r="G561"/>
      <c r="H561"/>
      <c r="I561"/>
      <c r="J561"/>
      <c r="K561"/>
      <c r="L561"/>
      <c r="M561"/>
      <c r="N561"/>
      <c r="O561"/>
      <c r="P561"/>
      <c r="Q561"/>
      <c r="R561"/>
    </row>
    <row r="562" spans="1:18">
      <c r="A562" s="139"/>
      <c r="B562" s="139"/>
      <c r="C562" s="139"/>
      <c r="D562"/>
      <c r="E562"/>
      <c r="F562"/>
      <c r="G562"/>
      <c r="H562"/>
      <c r="I562"/>
      <c r="J562"/>
      <c r="K562"/>
      <c r="L562"/>
      <c r="M562"/>
      <c r="N562"/>
      <c r="O562"/>
      <c r="P562"/>
      <c r="Q562"/>
      <c r="R562"/>
    </row>
    <row r="563" spans="1:18">
      <c r="A563" s="139"/>
      <c r="B563" s="139"/>
      <c r="C563" s="139"/>
      <c r="D563"/>
      <c r="E563"/>
      <c r="F563"/>
      <c r="G563"/>
      <c r="H563"/>
      <c r="I563"/>
      <c r="J563"/>
      <c r="K563"/>
      <c r="L563"/>
      <c r="M563"/>
      <c r="N563"/>
      <c r="O563"/>
      <c r="P563"/>
      <c r="Q563"/>
      <c r="R563"/>
    </row>
    <row r="564" spans="1:18">
      <c r="A564" s="139"/>
      <c r="B564" s="139"/>
      <c r="C564" s="139"/>
      <c r="D564"/>
      <c r="E564"/>
      <c r="F564"/>
      <c r="G564"/>
      <c r="H564"/>
      <c r="I564"/>
      <c r="J564"/>
      <c r="K564"/>
      <c r="L564"/>
      <c r="M564"/>
      <c r="N564"/>
      <c r="O564"/>
      <c r="P564"/>
      <c r="Q564"/>
      <c r="R564"/>
    </row>
    <row r="565" spans="1:18">
      <c r="A565" s="139"/>
      <c r="B565" s="139"/>
      <c r="C565" s="139"/>
      <c r="D565"/>
      <c r="E565"/>
      <c r="F565"/>
      <c r="G565"/>
      <c r="H565"/>
      <c r="I565"/>
      <c r="J565"/>
      <c r="K565"/>
      <c r="L565"/>
      <c r="M565"/>
      <c r="N565"/>
      <c r="O565"/>
      <c r="P565"/>
      <c r="Q565"/>
      <c r="R565"/>
    </row>
    <row r="566" spans="1:18">
      <c r="A566" s="139"/>
      <c r="B566" s="139"/>
      <c r="C566" s="139"/>
      <c r="D566"/>
      <c r="E566"/>
      <c r="F566"/>
      <c r="G566"/>
      <c r="H566"/>
      <c r="I566"/>
      <c r="J566"/>
      <c r="K566"/>
      <c r="L566"/>
      <c r="M566"/>
      <c r="N566"/>
      <c r="O566"/>
      <c r="P566"/>
      <c r="Q566"/>
      <c r="R566"/>
    </row>
    <row r="567" spans="1:18">
      <c r="A567" s="139"/>
      <c r="B567" s="139"/>
      <c r="C567" s="139"/>
      <c r="D567"/>
      <c r="E567"/>
      <c r="F567"/>
      <c r="G567"/>
      <c r="H567"/>
      <c r="I567"/>
      <c r="J567"/>
      <c r="K567"/>
      <c r="L567"/>
      <c r="M567"/>
      <c r="N567"/>
      <c r="O567"/>
      <c r="P567"/>
      <c r="Q567"/>
      <c r="R567"/>
    </row>
    <row r="568" spans="1:18">
      <c r="A568" s="139"/>
      <c r="B568" s="139"/>
      <c r="C568" s="139"/>
      <c r="D568"/>
      <c r="E568"/>
      <c r="F568"/>
      <c r="G568"/>
      <c r="H568"/>
      <c r="I568"/>
      <c r="J568"/>
      <c r="K568"/>
      <c r="L568"/>
      <c r="M568"/>
      <c r="N568"/>
      <c r="O568"/>
      <c r="P568"/>
      <c r="Q568"/>
      <c r="R568"/>
    </row>
    <row r="569" spans="1:18">
      <c r="A569" s="139"/>
      <c r="B569" s="139"/>
      <c r="C569" s="139"/>
      <c r="D569"/>
      <c r="E569"/>
      <c r="F569"/>
      <c r="G569"/>
      <c r="H569"/>
      <c r="I569"/>
      <c r="J569"/>
      <c r="K569"/>
      <c r="L569"/>
      <c r="M569"/>
      <c r="N569"/>
      <c r="O569"/>
      <c r="P569"/>
      <c r="Q569"/>
      <c r="R569"/>
    </row>
    <row r="570" spans="1:18">
      <c r="A570" s="139"/>
      <c r="B570" s="139"/>
      <c r="C570" s="139"/>
      <c r="D570"/>
      <c r="E570"/>
      <c r="F570"/>
      <c r="G570"/>
      <c r="H570"/>
      <c r="I570"/>
      <c r="J570"/>
      <c r="K570"/>
      <c r="L570"/>
      <c r="M570"/>
      <c r="N570"/>
      <c r="O570"/>
      <c r="P570"/>
      <c r="Q570"/>
      <c r="R570"/>
    </row>
    <row r="571" spans="1:18">
      <c r="A571" s="139"/>
      <c r="B571" s="139"/>
      <c r="C571" s="139"/>
      <c r="D571"/>
      <c r="E571"/>
      <c r="F571"/>
      <c r="G571"/>
      <c r="H571"/>
      <c r="I571"/>
      <c r="J571"/>
      <c r="K571"/>
      <c r="L571"/>
      <c r="M571"/>
      <c r="N571"/>
      <c r="O571"/>
      <c r="P571"/>
      <c r="Q571"/>
      <c r="R571"/>
    </row>
    <row r="572" spans="1:18">
      <c r="A572" s="139"/>
      <c r="B572" s="139"/>
      <c r="C572" s="139"/>
      <c r="D572"/>
      <c r="E572"/>
      <c r="F572"/>
      <c r="G572"/>
      <c r="H572"/>
      <c r="I572"/>
      <c r="J572"/>
      <c r="K572"/>
      <c r="L572"/>
      <c r="M572"/>
      <c r="N572"/>
      <c r="O572"/>
      <c r="P572"/>
      <c r="Q572"/>
      <c r="R572"/>
    </row>
    <row r="573" spans="1:18">
      <c r="A573" s="139"/>
      <c r="B573" s="139"/>
      <c r="C573" s="139"/>
      <c r="D573"/>
      <c r="E573"/>
      <c r="F573"/>
      <c r="G573"/>
      <c r="H573"/>
      <c r="I573"/>
      <c r="J573"/>
      <c r="K573"/>
      <c r="L573"/>
      <c r="M573"/>
      <c r="N573"/>
      <c r="O573"/>
      <c r="P573"/>
      <c r="Q573"/>
      <c r="R573"/>
    </row>
    <row r="574" spans="1:18">
      <c r="A574" s="139"/>
      <c r="B574" s="139"/>
      <c r="C574" s="139"/>
      <c r="D574"/>
      <c r="E574"/>
      <c r="F574"/>
      <c r="G574"/>
      <c r="H574"/>
      <c r="I574"/>
      <c r="J574"/>
      <c r="K574"/>
      <c r="L574"/>
      <c r="M574"/>
      <c r="N574"/>
      <c r="O574"/>
      <c r="P574"/>
      <c r="Q574"/>
      <c r="R574"/>
    </row>
    <row r="575" spans="1:18">
      <c r="A575" s="139"/>
      <c r="B575" s="139"/>
      <c r="C575" s="139"/>
      <c r="D575"/>
      <c r="E575"/>
      <c r="F575"/>
      <c r="G575"/>
      <c r="H575"/>
      <c r="I575"/>
      <c r="J575"/>
      <c r="K575"/>
      <c r="L575"/>
      <c r="M575"/>
      <c r="N575"/>
      <c r="O575"/>
      <c r="P575"/>
      <c r="Q575"/>
      <c r="R575"/>
    </row>
    <row r="576" spans="1:18">
      <c r="A576" s="139"/>
      <c r="B576" s="139"/>
      <c r="C576" s="139"/>
      <c r="D576"/>
      <c r="E576"/>
      <c r="F576"/>
      <c r="G576"/>
      <c r="H576"/>
      <c r="I576"/>
      <c r="J576"/>
      <c r="K576"/>
      <c r="L576"/>
      <c r="M576"/>
      <c r="N576"/>
      <c r="O576"/>
      <c r="P576"/>
      <c r="Q576"/>
      <c r="R576"/>
    </row>
    <row r="577" spans="1:18">
      <c r="A577" s="139"/>
      <c r="B577" s="139"/>
      <c r="C577" s="139"/>
      <c r="D577"/>
      <c r="E577"/>
      <c r="F577"/>
      <c r="G577"/>
      <c r="H577"/>
      <c r="I577"/>
      <c r="J577"/>
      <c r="K577"/>
      <c r="L577"/>
      <c r="M577"/>
      <c r="N577"/>
      <c r="O577"/>
      <c r="P577"/>
      <c r="Q577"/>
      <c r="R577"/>
    </row>
    <row r="578" spans="1:18">
      <c r="A578" s="139"/>
      <c r="B578" s="139"/>
      <c r="C578" s="139"/>
      <c r="D578"/>
      <c r="E578"/>
      <c r="F578"/>
      <c r="G578"/>
      <c r="H578"/>
      <c r="I578"/>
      <c r="J578"/>
      <c r="K578"/>
      <c r="L578"/>
      <c r="M578"/>
      <c r="N578"/>
      <c r="O578"/>
      <c r="P578"/>
      <c r="Q578"/>
      <c r="R578"/>
    </row>
    <row r="579" spans="1:18">
      <c r="A579" s="139"/>
      <c r="B579" s="139"/>
      <c r="C579" s="139"/>
      <c r="D579"/>
      <c r="E579"/>
      <c r="F579"/>
      <c r="G579"/>
      <c r="H579"/>
      <c r="I579"/>
      <c r="J579"/>
      <c r="K579"/>
      <c r="L579"/>
      <c r="M579"/>
      <c r="N579"/>
      <c r="O579"/>
      <c r="P579"/>
      <c r="Q579"/>
      <c r="R579"/>
    </row>
    <row r="580" spans="1:18">
      <c r="A580" s="139"/>
      <c r="B580" s="139"/>
      <c r="C580" s="139"/>
      <c r="D580"/>
      <c r="E580"/>
      <c r="F580"/>
      <c r="G580"/>
      <c r="H580"/>
      <c r="I580"/>
      <c r="J580"/>
      <c r="K580"/>
      <c r="L580"/>
      <c r="M580"/>
      <c r="N580"/>
      <c r="O580"/>
      <c r="P580"/>
      <c r="Q580"/>
      <c r="R580"/>
    </row>
    <row r="581" spans="1:18">
      <c r="A581" s="139"/>
      <c r="B581" s="139"/>
      <c r="C581" s="139"/>
      <c r="D581"/>
      <c r="E581"/>
      <c r="F581"/>
      <c r="G581"/>
      <c r="H581"/>
      <c r="I581"/>
      <c r="J581"/>
      <c r="K581"/>
      <c r="L581"/>
      <c r="M581"/>
      <c r="N581"/>
      <c r="O581"/>
      <c r="P581"/>
      <c r="Q581"/>
      <c r="R581"/>
    </row>
    <row r="582" spans="1:18">
      <c r="A582" s="139"/>
      <c r="B582" s="139"/>
      <c r="C582" s="139"/>
      <c r="D582"/>
      <c r="E582"/>
      <c r="F582"/>
      <c r="G582"/>
      <c r="H582"/>
      <c r="I582"/>
      <c r="J582"/>
      <c r="K582"/>
      <c r="L582"/>
      <c r="M582"/>
      <c r="N582"/>
      <c r="O582"/>
      <c r="P582"/>
      <c r="Q582"/>
      <c r="R582"/>
    </row>
    <row r="583" spans="1:18">
      <c r="A583" s="139"/>
      <c r="B583" s="139"/>
      <c r="C583" s="139"/>
      <c r="D583"/>
      <c r="E583"/>
      <c r="F583"/>
      <c r="G583"/>
      <c r="H583"/>
      <c r="I583"/>
      <c r="J583"/>
      <c r="K583"/>
      <c r="L583"/>
      <c r="M583"/>
      <c r="N583"/>
      <c r="O583"/>
      <c r="P583"/>
      <c r="Q583"/>
      <c r="R583"/>
    </row>
    <row r="584" spans="1:18">
      <c r="A584" s="139"/>
      <c r="B584" s="139"/>
      <c r="C584" s="139"/>
      <c r="D584"/>
      <c r="E584"/>
      <c r="F584"/>
      <c r="G584"/>
      <c r="H584"/>
      <c r="I584"/>
      <c r="J584"/>
      <c r="K584"/>
      <c r="L584"/>
      <c r="M584"/>
      <c r="N584"/>
      <c r="O584"/>
      <c r="P584"/>
      <c r="Q584"/>
      <c r="R584"/>
    </row>
    <row r="585" spans="1:18">
      <c r="A585" s="139"/>
      <c r="B585" s="139"/>
      <c r="C585" s="139"/>
      <c r="D585"/>
      <c r="E585"/>
      <c r="F585"/>
      <c r="G585"/>
      <c r="H585"/>
      <c r="I585"/>
      <c r="J585"/>
      <c r="K585"/>
      <c r="L585"/>
      <c r="M585"/>
      <c r="N585"/>
      <c r="O585"/>
      <c r="P585"/>
      <c r="Q585"/>
      <c r="R585"/>
    </row>
    <row r="586" spans="1:18">
      <c r="A586" s="139"/>
      <c r="B586" s="139"/>
      <c r="C586" s="139"/>
      <c r="D586"/>
      <c r="E586"/>
      <c r="F586"/>
      <c r="G586"/>
      <c r="H586"/>
      <c r="I586"/>
      <c r="J586"/>
      <c r="K586"/>
      <c r="L586"/>
      <c r="M586"/>
      <c r="N586"/>
      <c r="O586"/>
      <c r="P586"/>
      <c r="Q586"/>
      <c r="R586"/>
    </row>
    <row r="587" spans="1:18">
      <c r="A587" s="139"/>
      <c r="B587" s="139"/>
      <c r="C587" s="139"/>
      <c r="D587"/>
      <c r="E587"/>
      <c r="F587"/>
      <c r="G587"/>
      <c r="H587"/>
      <c r="I587"/>
      <c r="J587"/>
      <c r="K587"/>
      <c r="L587"/>
      <c r="M587"/>
      <c r="N587"/>
      <c r="O587"/>
      <c r="P587"/>
      <c r="Q587"/>
      <c r="R587"/>
    </row>
    <row r="588" spans="1:18">
      <c r="A588" s="139"/>
      <c r="B588" s="139"/>
      <c r="C588" s="139"/>
      <c r="D588"/>
      <c r="E588"/>
      <c r="F588"/>
      <c r="G588"/>
      <c r="H588"/>
      <c r="I588"/>
      <c r="J588"/>
      <c r="K588"/>
      <c r="L588"/>
      <c r="M588"/>
      <c r="N588"/>
      <c r="O588"/>
      <c r="P588"/>
      <c r="Q588"/>
      <c r="R588"/>
    </row>
    <row r="589" spans="1:18">
      <c r="A589" s="139"/>
      <c r="B589" s="139"/>
      <c r="C589" s="139"/>
      <c r="D589"/>
      <c r="E589"/>
      <c r="F589"/>
      <c r="G589"/>
      <c r="H589"/>
      <c r="I589"/>
      <c r="J589"/>
      <c r="K589"/>
      <c r="L589"/>
      <c r="M589"/>
      <c r="N589"/>
      <c r="O589"/>
      <c r="P589"/>
      <c r="Q589"/>
      <c r="R589"/>
    </row>
    <row r="590" spans="1:18">
      <c r="A590" s="139"/>
      <c r="B590" s="139"/>
      <c r="C590" s="139"/>
      <c r="D590"/>
      <c r="E590"/>
      <c r="F590"/>
      <c r="G590"/>
      <c r="H590"/>
      <c r="I590"/>
      <c r="J590"/>
      <c r="K590"/>
      <c r="L590"/>
      <c r="M590"/>
      <c r="N590"/>
      <c r="O590"/>
      <c r="P590"/>
      <c r="Q590"/>
      <c r="R590"/>
    </row>
    <row r="591" spans="1:18">
      <c r="A591" s="139"/>
      <c r="B591" s="139"/>
      <c r="C591" s="139"/>
      <c r="D591"/>
      <c r="E591"/>
      <c r="F591"/>
      <c r="G591"/>
      <c r="H591"/>
      <c r="I591"/>
      <c r="J591"/>
      <c r="K591"/>
      <c r="L591"/>
      <c r="M591"/>
      <c r="N591"/>
      <c r="O591"/>
      <c r="P591"/>
      <c r="Q591"/>
      <c r="R591"/>
    </row>
    <row r="592" spans="1:18">
      <c r="A592" s="139"/>
      <c r="B592" s="139"/>
      <c r="C592" s="139"/>
      <c r="D592"/>
      <c r="E592"/>
      <c r="F592"/>
      <c r="G592"/>
      <c r="H592"/>
      <c r="I592"/>
      <c r="J592"/>
      <c r="K592"/>
      <c r="L592"/>
      <c r="M592"/>
      <c r="N592"/>
      <c r="O592"/>
      <c r="P592"/>
      <c r="Q592"/>
      <c r="R592"/>
    </row>
    <row r="593" spans="1:18">
      <c r="A593" s="139"/>
      <c r="B593" s="139"/>
      <c r="C593" s="139"/>
      <c r="D593"/>
      <c r="E593"/>
      <c r="F593"/>
      <c r="G593"/>
      <c r="H593"/>
      <c r="I593"/>
      <c r="J593"/>
      <c r="K593"/>
      <c r="L593"/>
      <c r="M593"/>
      <c r="N593"/>
      <c r="O593"/>
      <c r="P593"/>
      <c r="Q593"/>
      <c r="R593"/>
    </row>
    <row r="594" spans="1:18">
      <c r="A594" s="139"/>
      <c r="B594" s="139"/>
      <c r="C594" s="139"/>
      <c r="D594"/>
      <c r="E594"/>
      <c r="F594"/>
      <c r="G594"/>
      <c r="H594"/>
      <c r="I594"/>
      <c r="J594"/>
      <c r="K594"/>
      <c r="L594"/>
      <c r="M594"/>
      <c r="N594"/>
      <c r="O594"/>
      <c r="P594"/>
      <c r="Q594"/>
      <c r="R594"/>
    </row>
    <row r="595" spans="1:18">
      <c r="A595" s="139"/>
      <c r="B595" s="139"/>
      <c r="C595" s="139"/>
      <c r="D595"/>
      <c r="E595"/>
      <c r="F595"/>
      <c r="G595"/>
      <c r="H595"/>
      <c r="I595"/>
      <c r="J595"/>
      <c r="K595"/>
      <c r="L595"/>
      <c r="M595"/>
      <c r="N595"/>
      <c r="O595"/>
      <c r="P595"/>
      <c r="Q595"/>
      <c r="R595"/>
    </row>
    <row r="596" spans="1:18">
      <c r="A596" s="139"/>
      <c r="B596" s="139"/>
      <c r="C596" s="139"/>
      <c r="D596"/>
      <c r="E596"/>
      <c r="F596"/>
      <c r="G596"/>
      <c r="H596"/>
      <c r="I596"/>
      <c r="J596"/>
      <c r="K596"/>
      <c r="L596"/>
      <c r="M596"/>
      <c r="N596"/>
      <c r="O596"/>
      <c r="P596"/>
      <c r="Q596"/>
      <c r="R596"/>
    </row>
    <row r="597" spans="1:18">
      <c r="A597" s="139"/>
      <c r="B597" s="139"/>
      <c r="C597" s="139"/>
      <c r="D597"/>
      <c r="E597"/>
      <c r="F597"/>
      <c r="G597"/>
      <c r="H597"/>
      <c r="I597"/>
      <c r="J597"/>
      <c r="K597"/>
      <c r="L597"/>
      <c r="M597"/>
      <c r="N597"/>
      <c r="O597"/>
      <c r="P597"/>
      <c r="Q597"/>
      <c r="R597"/>
    </row>
    <row r="598" spans="1:18">
      <c r="A598" s="139"/>
      <c r="B598" s="139"/>
      <c r="C598" s="139"/>
      <c r="D598"/>
      <c r="E598"/>
      <c r="F598"/>
      <c r="G598"/>
      <c r="H598"/>
      <c r="I598"/>
      <c r="J598"/>
      <c r="K598"/>
      <c r="L598"/>
      <c r="M598"/>
      <c r="N598"/>
      <c r="O598"/>
      <c r="P598"/>
      <c r="Q598"/>
      <c r="R598"/>
    </row>
    <row r="599" spans="1:18">
      <c r="A599" s="139"/>
      <c r="B599" s="139"/>
      <c r="C599" s="139"/>
      <c r="D599"/>
      <c r="E599"/>
      <c r="F599"/>
      <c r="G599"/>
      <c r="H599"/>
      <c r="I599"/>
      <c r="J599"/>
      <c r="K599"/>
      <c r="L599"/>
      <c r="M599"/>
      <c r="N599"/>
      <c r="O599"/>
      <c r="P599"/>
      <c r="Q599"/>
      <c r="R599"/>
    </row>
    <row r="600" spans="1:18">
      <c r="A600" s="139"/>
      <c r="B600" s="139"/>
      <c r="C600" s="139"/>
      <c r="D600"/>
      <c r="E600"/>
      <c r="F600"/>
      <c r="G600"/>
      <c r="H600"/>
      <c r="I600"/>
      <c r="J600"/>
      <c r="K600"/>
      <c r="L600"/>
      <c r="M600"/>
      <c r="N600"/>
      <c r="O600"/>
      <c r="P600"/>
      <c r="Q600"/>
      <c r="R600"/>
    </row>
    <row r="601" spans="1:18">
      <c r="A601" s="139"/>
      <c r="B601" s="139"/>
      <c r="C601" s="139"/>
      <c r="D601"/>
      <c r="E601"/>
      <c r="F601"/>
      <c r="G601"/>
      <c r="H601"/>
      <c r="I601"/>
      <c r="J601"/>
      <c r="K601"/>
      <c r="L601"/>
      <c r="M601"/>
      <c r="N601"/>
      <c r="O601"/>
      <c r="P601"/>
      <c r="Q601"/>
      <c r="R601"/>
    </row>
    <row r="602" spans="1:18">
      <c r="A602" s="139"/>
      <c r="B602" s="139"/>
      <c r="C602" s="139"/>
      <c r="D602"/>
      <c r="E602"/>
      <c r="F602"/>
      <c r="G602"/>
      <c r="H602"/>
      <c r="I602"/>
      <c r="J602"/>
      <c r="K602"/>
      <c r="L602"/>
      <c r="M602"/>
      <c r="N602"/>
      <c r="O602"/>
      <c r="P602"/>
      <c r="Q602"/>
      <c r="R602"/>
    </row>
    <row r="603" spans="1:18">
      <c r="A603" s="139"/>
      <c r="B603" s="139"/>
      <c r="C603" s="139"/>
      <c r="D603"/>
      <c r="E603"/>
      <c r="F603"/>
      <c r="G603"/>
      <c r="H603"/>
      <c r="I603"/>
      <c r="J603"/>
      <c r="K603"/>
      <c r="L603"/>
      <c r="M603"/>
      <c r="N603"/>
      <c r="O603"/>
      <c r="P603"/>
      <c r="Q603"/>
      <c r="R603"/>
    </row>
    <row r="604" spans="1:18">
      <c r="A604" s="139"/>
      <c r="B604" s="139"/>
      <c r="C604" s="139"/>
      <c r="D604"/>
      <c r="E604"/>
      <c r="F604"/>
      <c r="G604"/>
      <c r="H604"/>
      <c r="I604"/>
      <c r="J604"/>
      <c r="K604"/>
      <c r="L604"/>
      <c r="M604"/>
      <c r="N604"/>
      <c r="O604"/>
      <c r="P604"/>
      <c r="Q604"/>
      <c r="R604"/>
    </row>
    <row r="605" spans="1:18">
      <c r="A605" s="139"/>
      <c r="B605" s="139"/>
      <c r="C605" s="139"/>
      <c r="D605"/>
      <c r="E605"/>
      <c r="F605"/>
      <c r="G605"/>
      <c r="H605"/>
      <c r="I605"/>
      <c r="J605"/>
      <c r="K605"/>
      <c r="L605"/>
      <c r="M605"/>
      <c r="N605"/>
      <c r="O605"/>
      <c r="P605"/>
      <c r="Q605"/>
      <c r="R605"/>
    </row>
    <row r="606" spans="1:18">
      <c r="A606" s="139"/>
      <c r="B606" s="139"/>
      <c r="C606" s="139"/>
      <c r="D606"/>
      <c r="E606"/>
      <c r="F606"/>
      <c r="G606"/>
      <c r="H606"/>
      <c r="I606"/>
      <c r="J606"/>
      <c r="K606"/>
      <c r="L606"/>
      <c r="M606"/>
      <c r="N606"/>
      <c r="O606"/>
      <c r="P606"/>
      <c r="Q606"/>
      <c r="R606"/>
    </row>
    <row r="607" spans="1:18">
      <c r="A607" s="139"/>
      <c r="B607" s="139"/>
      <c r="C607" s="139"/>
      <c r="D607"/>
      <c r="E607"/>
      <c r="F607"/>
      <c r="G607"/>
      <c r="H607"/>
      <c r="I607"/>
      <c r="J607"/>
      <c r="K607"/>
      <c r="L607"/>
      <c r="M607"/>
      <c r="N607"/>
      <c r="O607"/>
      <c r="P607"/>
      <c r="Q607"/>
      <c r="R607"/>
    </row>
    <row r="608" spans="1:18">
      <c r="A608" s="139"/>
      <c r="B608" s="139"/>
      <c r="C608" s="139"/>
      <c r="D608"/>
      <c r="E608"/>
      <c r="F608"/>
      <c r="G608"/>
      <c r="H608"/>
      <c r="I608"/>
      <c r="J608"/>
      <c r="K608"/>
      <c r="L608"/>
      <c r="M608"/>
      <c r="N608"/>
      <c r="O608"/>
      <c r="P608"/>
      <c r="Q608"/>
      <c r="R608"/>
    </row>
    <row r="609" spans="1:18">
      <c r="A609" s="139"/>
      <c r="B609" s="139"/>
      <c r="C609" s="139"/>
      <c r="D609"/>
      <c r="E609"/>
      <c r="F609"/>
      <c r="G609"/>
      <c r="H609"/>
      <c r="I609"/>
      <c r="J609"/>
      <c r="K609"/>
      <c r="L609"/>
      <c r="M609"/>
      <c r="N609"/>
      <c r="O609"/>
      <c r="P609"/>
      <c r="Q609"/>
      <c r="R609"/>
    </row>
    <row r="610" spans="1:18">
      <c r="A610" s="139"/>
      <c r="B610" s="139"/>
      <c r="C610" s="139"/>
      <c r="D610"/>
      <c r="E610"/>
      <c r="F610"/>
      <c r="G610"/>
      <c r="H610"/>
      <c r="I610"/>
      <c r="J610"/>
      <c r="K610"/>
      <c r="L610"/>
      <c r="M610"/>
      <c r="N610"/>
      <c r="O610"/>
      <c r="P610"/>
      <c r="Q610"/>
      <c r="R610"/>
    </row>
    <row r="611" spans="1:18">
      <c r="A611" s="139"/>
      <c r="B611" s="139"/>
      <c r="C611" s="139"/>
      <c r="D611"/>
      <c r="E611"/>
      <c r="F611"/>
      <c r="G611"/>
      <c r="H611"/>
      <c r="I611"/>
      <c r="J611"/>
      <c r="K611"/>
      <c r="L611"/>
      <c r="M611"/>
      <c r="N611"/>
      <c r="O611"/>
      <c r="P611"/>
      <c r="Q611"/>
      <c r="R611"/>
    </row>
    <row r="612" spans="1:18">
      <c r="A612" s="139"/>
      <c r="B612" s="139"/>
      <c r="C612" s="139"/>
      <c r="D612"/>
      <c r="E612"/>
      <c r="F612"/>
      <c r="G612"/>
      <c r="H612"/>
      <c r="I612"/>
      <c r="J612"/>
      <c r="K612"/>
      <c r="L612"/>
      <c r="M612"/>
      <c r="N612"/>
      <c r="O612"/>
      <c r="P612"/>
      <c r="Q612"/>
      <c r="R612"/>
    </row>
    <row r="613" spans="1:18">
      <c r="A613" s="139"/>
      <c r="B613" s="139"/>
      <c r="C613" s="139"/>
      <c r="D613"/>
      <c r="E613"/>
      <c r="F613"/>
      <c r="G613"/>
      <c r="H613"/>
      <c r="I613"/>
      <c r="J613"/>
      <c r="K613"/>
      <c r="L613"/>
      <c r="M613"/>
      <c r="N613"/>
      <c r="O613"/>
      <c r="P613"/>
      <c r="Q613"/>
      <c r="R613"/>
    </row>
    <row r="614" spans="1:18">
      <c r="A614" s="139"/>
      <c r="B614" s="139"/>
      <c r="C614" s="139"/>
      <c r="D614"/>
      <c r="E614"/>
      <c r="F614"/>
      <c r="G614"/>
      <c r="H614"/>
      <c r="I614"/>
      <c r="J614"/>
      <c r="K614"/>
      <c r="L614"/>
      <c r="M614"/>
      <c r="N614"/>
      <c r="O614"/>
      <c r="P614"/>
      <c r="Q614"/>
      <c r="R614"/>
    </row>
    <row r="615" spans="1:18">
      <c r="A615" s="139"/>
      <c r="B615" s="139"/>
      <c r="C615" s="139"/>
      <c r="D615"/>
      <c r="E615"/>
      <c r="F615"/>
      <c r="G615"/>
      <c r="H615"/>
      <c r="I615"/>
      <c r="J615"/>
      <c r="K615"/>
      <c r="L615"/>
      <c r="M615"/>
      <c r="N615"/>
      <c r="O615"/>
      <c r="P615"/>
      <c r="Q615"/>
      <c r="R615"/>
    </row>
    <row r="616" spans="1:18">
      <c r="A616" s="139"/>
      <c r="B616" s="139"/>
      <c r="C616" s="139"/>
      <c r="D616"/>
      <c r="E616"/>
      <c r="F616"/>
      <c r="G616"/>
      <c r="H616"/>
      <c r="I616"/>
      <c r="J616"/>
      <c r="K616"/>
      <c r="L616"/>
      <c r="M616"/>
      <c r="N616"/>
      <c r="O616"/>
      <c r="P616"/>
      <c r="Q616"/>
      <c r="R616"/>
    </row>
    <row r="617" spans="1:18">
      <c r="A617" s="139"/>
      <c r="B617" s="139"/>
      <c r="C617" s="139"/>
      <c r="D617"/>
      <c r="E617"/>
      <c r="F617"/>
      <c r="G617"/>
      <c r="H617"/>
      <c r="I617"/>
      <c r="J617"/>
      <c r="K617"/>
      <c r="L617"/>
      <c r="M617"/>
      <c r="N617"/>
      <c r="O617"/>
      <c r="P617"/>
      <c r="Q617"/>
      <c r="R617"/>
    </row>
    <row r="618" spans="1:18">
      <c r="A618" s="139"/>
      <c r="B618" s="139"/>
      <c r="C618" s="139"/>
      <c r="D618"/>
      <c r="E618"/>
      <c r="F618"/>
      <c r="G618"/>
      <c r="H618"/>
      <c r="I618"/>
      <c r="J618"/>
      <c r="K618"/>
      <c r="L618"/>
      <c r="M618"/>
      <c r="N618"/>
      <c r="O618"/>
      <c r="P618"/>
      <c r="Q618"/>
      <c r="R618"/>
    </row>
    <row r="619" spans="1:18">
      <c r="A619" s="139"/>
      <c r="B619" s="139"/>
      <c r="C619" s="139"/>
      <c r="D619"/>
      <c r="E619"/>
      <c r="F619"/>
      <c r="G619"/>
      <c r="H619"/>
      <c r="I619"/>
      <c r="J619"/>
      <c r="K619"/>
      <c r="L619"/>
      <c r="M619"/>
      <c r="N619"/>
      <c r="O619"/>
      <c r="P619"/>
      <c r="Q619"/>
      <c r="R619"/>
    </row>
    <row r="620" spans="1:18">
      <c r="A620" s="139"/>
      <c r="B620" s="139"/>
      <c r="C620" s="139"/>
      <c r="D620"/>
      <c r="E620"/>
      <c r="F620"/>
      <c r="G620"/>
      <c r="H620"/>
      <c r="I620"/>
      <c r="J620"/>
      <c r="K620"/>
      <c r="L620"/>
      <c r="M620"/>
      <c r="N620"/>
      <c r="O620"/>
      <c r="P620"/>
      <c r="Q620"/>
      <c r="R620"/>
    </row>
    <row r="621" spans="1:18">
      <c r="A621" s="139"/>
      <c r="B621" s="139"/>
      <c r="C621" s="139"/>
      <c r="D621"/>
      <c r="E621"/>
      <c r="F621"/>
      <c r="G621"/>
      <c r="H621"/>
      <c r="I621"/>
      <c r="J621"/>
      <c r="K621"/>
      <c r="L621"/>
      <c r="M621"/>
      <c r="N621"/>
      <c r="O621"/>
      <c r="P621"/>
      <c r="Q621"/>
      <c r="R621"/>
    </row>
    <row r="622" spans="1:18">
      <c r="A622" s="139"/>
      <c r="B622" s="139"/>
      <c r="C622" s="139"/>
      <c r="D622"/>
      <c r="E622"/>
      <c r="F622"/>
      <c r="G622"/>
      <c r="H622"/>
      <c r="I622"/>
      <c r="J622"/>
      <c r="K622"/>
      <c r="L622"/>
      <c r="M622"/>
      <c r="N622"/>
      <c r="O622"/>
      <c r="P622"/>
      <c r="Q622"/>
      <c r="R622"/>
    </row>
    <row r="623" spans="1:18">
      <c r="A623" s="139"/>
      <c r="B623" s="139"/>
      <c r="C623" s="139"/>
      <c r="D623"/>
      <c r="E623"/>
      <c r="F623"/>
      <c r="G623"/>
      <c r="H623"/>
      <c r="I623"/>
      <c r="J623"/>
      <c r="K623"/>
      <c r="L623"/>
      <c r="M623"/>
      <c r="N623"/>
      <c r="O623"/>
      <c r="P623"/>
      <c r="Q623"/>
      <c r="R623"/>
    </row>
    <row r="624" spans="1:18">
      <c r="A624" s="139"/>
      <c r="B624" s="139"/>
      <c r="C624" s="139"/>
      <c r="D624"/>
      <c r="E624"/>
      <c r="F624"/>
      <c r="G624"/>
      <c r="H624"/>
      <c r="I624"/>
      <c r="J624"/>
      <c r="K624"/>
      <c r="L624"/>
      <c r="M624"/>
      <c r="N624"/>
      <c r="O624"/>
      <c r="P624"/>
      <c r="Q624"/>
      <c r="R624"/>
    </row>
    <row r="625" spans="1:18">
      <c r="A625" s="139"/>
      <c r="B625" s="139"/>
      <c r="C625" s="139"/>
      <c r="D625"/>
      <c r="E625"/>
      <c r="F625"/>
      <c r="G625"/>
      <c r="H625"/>
      <c r="I625"/>
      <c r="J625"/>
      <c r="K625"/>
      <c r="L625"/>
      <c r="M625"/>
      <c r="N625"/>
      <c r="O625"/>
      <c r="P625"/>
      <c r="Q625"/>
      <c r="R625"/>
    </row>
    <row r="626" spans="1:18">
      <c r="A626" s="139"/>
      <c r="B626" s="139"/>
      <c r="C626" s="139"/>
      <c r="D626"/>
      <c r="E626"/>
      <c r="F626"/>
      <c r="G626"/>
      <c r="H626"/>
      <c r="I626"/>
      <c r="J626"/>
      <c r="K626"/>
      <c r="L626"/>
      <c r="M626"/>
      <c r="N626"/>
      <c r="O626"/>
      <c r="P626"/>
      <c r="Q626"/>
      <c r="R626"/>
    </row>
    <row r="627" spans="1:18">
      <c r="A627" s="139"/>
      <c r="B627" s="139"/>
      <c r="C627" s="139"/>
      <c r="D627"/>
      <c r="E627"/>
      <c r="F627"/>
      <c r="G627"/>
      <c r="H627"/>
      <c r="I627"/>
      <c r="J627"/>
      <c r="K627"/>
      <c r="L627"/>
      <c r="M627"/>
      <c r="N627"/>
      <c r="O627"/>
      <c r="P627"/>
      <c r="Q627"/>
      <c r="R627"/>
    </row>
    <row r="628" spans="1:18">
      <c r="A628" s="139"/>
      <c r="B628" s="139"/>
      <c r="C628" s="139"/>
      <c r="D628"/>
      <c r="E628"/>
      <c r="F628"/>
      <c r="G628"/>
      <c r="H628"/>
      <c r="I628"/>
      <c r="J628"/>
      <c r="K628"/>
      <c r="L628"/>
      <c r="M628"/>
      <c r="N628"/>
      <c r="O628"/>
      <c r="P628"/>
      <c r="Q628"/>
      <c r="R628"/>
    </row>
    <row r="629" spans="1:18">
      <c r="A629" s="139"/>
      <c r="B629" s="139"/>
      <c r="C629" s="139"/>
      <c r="D629"/>
      <c r="E629"/>
      <c r="F629"/>
      <c r="G629"/>
      <c r="H629"/>
      <c r="I629"/>
      <c r="J629"/>
      <c r="K629"/>
      <c r="L629"/>
      <c r="M629"/>
      <c r="N629"/>
      <c r="O629"/>
      <c r="P629"/>
      <c r="Q629"/>
      <c r="R629"/>
    </row>
    <row r="630" spans="1:18">
      <c r="A630" s="139"/>
      <c r="B630" s="139"/>
      <c r="C630" s="139"/>
      <c r="D630"/>
      <c r="E630"/>
      <c r="F630"/>
      <c r="G630"/>
      <c r="H630"/>
      <c r="I630"/>
      <c r="J630"/>
      <c r="K630"/>
      <c r="L630"/>
      <c r="M630"/>
      <c r="N630"/>
      <c r="O630"/>
      <c r="P630"/>
      <c r="Q630"/>
      <c r="R630"/>
    </row>
    <row r="631" spans="1:18">
      <c r="A631" s="139"/>
      <c r="B631" s="139"/>
      <c r="C631" s="139"/>
      <c r="D631"/>
      <c r="E631"/>
      <c r="F631"/>
      <c r="G631"/>
      <c r="H631"/>
      <c r="I631"/>
      <c r="J631"/>
      <c r="K631"/>
      <c r="L631"/>
      <c r="M631"/>
      <c r="N631"/>
      <c r="O631"/>
      <c r="P631"/>
      <c r="Q631"/>
      <c r="R631"/>
    </row>
    <row r="632" spans="1:18">
      <c r="A632" s="139"/>
      <c r="B632" s="139"/>
      <c r="C632" s="139"/>
      <c r="D632"/>
      <c r="E632"/>
      <c r="F632"/>
      <c r="G632"/>
      <c r="H632"/>
      <c r="I632"/>
      <c r="J632"/>
      <c r="K632"/>
      <c r="L632"/>
      <c r="M632"/>
      <c r="N632"/>
      <c r="O632"/>
      <c r="P632"/>
      <c r="Q632"/>
      <c r="R632"/>
    </row>
    <row r="633" spans="1:18">
      <c r="A633" s="139"/>
      <c r="B633" s="139"/>
      <c r="C633" s="139"/>
      <c r="D633"/>
      <c r="E633"/>
      <c r="F633"/>
      <c r="G633"/>
      <c r="H633"/>
      <c r="I633"/>
      <c r="J633"/>
      <c r="K633"/>
      <c r="L633"/>
      <c r="M633"/>
      <c r="N633"/>
      <c r="O633"/>
      <c r="P633"/>
      <c r="Q633"/>
      <c r="R633"/>
    </row>
    <row r="634" spans="1:18">
      <c r="A634" s="139"/>
      <c r="B634" s="139"/>
      <c r="C634" s="139"/>
      <c r="D634"/>
      <c r="E634"/>
      <c r="F634"/>
      <c r="G634"/>
      <c r="H634"/>
      <c r="I634"/>
      <c r="J634"/>
      <c r="K634"/>
      <c r="L634"/>
      <c r="M634"/>
      <c r="N634"/>
      <c r="O634"/>
      <c r="P634"/>
      <c r="Q634"/>
      <c r="R634"/>
    </row>
    <row r="635" spans="1:18">
      <c r="A635" s="139"/>
      <c r="B635" s="139"/>
      <c r="C635" s="139"/>
      <c r="D635"/>
      <c r="E635"/>
      <c r="F635"/>
      <c r="G635"/>
      <c r="H635"/>
      <c r="I635"/>
      <c r="J635"/>
      <c r="K635"/>
      <c r="L635"/>
      <c r="M635"/>
      <c r="N635"/>
      <c r="O635"/>
      <c r="P635"/>
      <c r="Q635"/>
      <c r="R635"/>
    </row>
    <row r="636" spans="1:18">
      <c r="A636" s="139"/>
      <c r="B636" s="139"/>
      <c r="C636" s="139"/>
      <c r="D636"/>
      <c r="E636"/>
      <c r="F636"/>
      <c r="G636"/>
      <c r="H636"/>
      <c r="I636"/>
      <c r="J636"/>
      <c r="K636"/>
      <c r="L636"/>
      <c r="M636"/>
      <c r="N636"/>
      <c r="O636"/>
      <c r="P636"/>
      <c r="Q636"/>
      <c r="R636"/>
    </row>
    <row r="637" spans="1:18">
      <c r="A637" s="139"/>
      <c r="B637" s="139"/>
      <c r="C637" s="139"/>
      <c r="D637"/>
      <c r="E637"/>
      <c r="F637"/>
      <c r="G637"/>
      <c r="H637"/>
      <c r="I637"/>
      <c r="J637"/>
      <c r="K637"/>
      <c r="L637"/>
      <c r="M637"/>
      <c r="N637"/>
      <c r="O637"/>
      <c r="P637"/>
      <c r="Q637"/>
      <c r="R637"/>
    </row>
    <row r="638" spans="1:18">
      <c r="A638" s="139"/>
      <c r="B638" s="139"/>
      <c r="C638" s="139"/>
      <c r="D638"/>
      <c r="E638"/>
      <c r="F638"/>
      <c r="G638"/>
      <c r="H638"/>
      <c r="I638"/>
      <c r="J638"/>
      <c r="K638"/>
      <c r="L638"/>
      <c r="M638"/>
      <c r="N638"/>
      <c r="O638"/>
      <c r="P638"/>
      <c r="Q638"/>
      <c r="R638"/>
    </row>
    <row r="639" spans="1:18">
      <c r="A639" s="139"/>
      <c r="B639" s="139"/>
      <c r="C639" s="139"/>
      <c r="D639"/>
      <c r="E639"/>
      <c r="F639"/>
      <c r="G639"/>
      <c r="H639"/>
      <c r="I639"/>
      <c r="J639"/>
      <c r="K639"/>
      <c r="L639"/>
      <c r="M639"/>
      <c r="N639"/>
      <c r="O639"/>
      <c r="P639"/>
      <c r="Q639"/>
      <c r="R639"/>
    </row>
    <row r="640" spans="1:18">
      <c r="A640" s="139"/>
      <c r="B640" s="139"/>
      <c r="C640" s="139"/>
      <c r="D640"/>
      <c r="E640"/>
      <c r="F640"/>
      <c r="G640"/>
      <c r="H640"/>
      <c r="I640"/>
      <c r="J640"/>
      <c r="K640"/>
      <c r="L640"/>
      <c r="M640"/>
      <c r="N640"/>
      <c r="O640"/>
      <c r="P640"/>
      <c r="Q640"/>
      <c r="R640"/>
    </row>
    <row r="641" spans="1:18">
      <c r="A641" s="139"/>
      <c r="B641" s="139"/>
      <c r="C641" s="139"/>
      <c r="D641"/>
      <c r="E641"/>
      <c r="F641"/>
      <c r="G641"/>
      <c r="H641"/>
      <c r="I641"/>
      <c r="J641"/>
      <c r="K641"/>
      <c r="L641"/>
      <c r="M641"/>
      <c r="N641"/>
      <c r="O641"/>
      <c r="P641"/>
      <c r="Q641"/>
      <c r="R641"/>
    </row>
    <row r="642" spans="1:18">
      <c r="A642" s="139"/>
      <c r="B642" s="139"/>
      <c r="C642" s="139"/>
      <c r="D642"/>
      <c r="E642"/>
      <c r="F642"/>
      <c r="G642"/>
      <c r="H642"/>
      <c r="I642"/>
      <c r="J642"/>
      <c r="K642"/>
      <c r="L642"/>
      <c r="M642"/>
      <c r="N642"/>
      <c r="O642"/>
      <c r="P642"/>
      <c r="Q642"/>
      <c r="R642"/>
    </row>
    <row r="643" spans="1:18">
      <c r="A643" s="139"/>
      <c r="B643" s="139"/>
      <c r="C643" s="139"/>
      <c r="D643"/>
      <c r="E643"/>
      <c r="F643"/>
      <c r="G643"/>
      <c r="H643"/>
      <c r="I643"/>
      <c r="J643"/>
      <c r="K643"/>
      <c r="L643"/>
      <c r="M643"/>
      <c r="N643"/>
      <c r="O643"/>
      <c r="P643"/>
      <c r="Q643"/>
      <c r="R643"/>
    </row>
    <row r="644" spans="1:18">
      <c r="A644" s="139"/>
      <c r="B644" s="139"/>
      <c r="C644" s="139"/>
      <c r="D644"/>
      <c r="E644"/>
      <c r="F644"/>
      <c r="G644"/>
      <c r="H644"/>
      <c r="I644"/>
      <c r="J644"/>
      <c r="K644"/>
      <c r="L644"/>
      <c r="M644"/>
      <c r="N644"/>
      <c r="O644"/>
      <c r="P644"/>
      <c r="Q644"/>
      <c r="R644"/>
    </row>
    <row r="645" spans="1:18">
      <c r="A645" s="139"/>
      <c r="B645" s="139"/>
      <c r="C645" s="139"/>
      <c r="D645"/>
      <c r="E645"/>
      <c r="F645"/>
      <c r="G645"/>
      <c r="H645"/>
      <c r="I645"/>
      <c r="J645"/>
      <c r="K645"/>
      <c r="L645"/>
      <c r="M645"/>
      <c r="N645"/>
      <c r="O645"/>
      <c r="P645"/>
      <c r="Q645"/>
      <c r="R645"/>
    </row>
    <row r="646" spans="1:18">
      <c r="A646" s="139"/>
      <c r="B646" s="139"/>
      <c r="C646" s="139"/>
      <c r="D646"/>
      <c r="E646"/>
      <c r="F646"/>
      <c r="G646"/>
      <c r="H646"/>
      <c r="I646"/>
      <c r="J646"/>
      <c r="K646"/>
      <c r="L646"/>
      <c r="M646"/>
      <c r="N646"/>
      <c r="O646"/>
      <c r="P646"/>
      <c r="Q646"/>
      <c r="R646"/>
    </row>
    <row r="647" spans="1:18">
      <c r="A647" s="139"/>
      <c r="B647" s="139"/>
      <c r="C647" s="139"/>
      <c r="D647"/>
      <c r="E647"/>
      <c r="F647"/>
      <c r="G647"/>
      <c r="H647"/>
      <c r="I647"/>
      <c r="J647"/>
      <c r="K647"/>
      <c r="L647"/>
      <c r="M647"/>
      <c r="N647"/>
      <c r="O647"/>
      <c r="P647"/>
      <c r="Q647"/>
      <c r="R647"/>
    </row>
    <row r="648" spans="1:18">
      <c r="A648" s="139"/>
      <c r="B648" s="139"/>
      <c r="C648" s="139"/>
      <c r="D648"/>
      <c r="E648"/>
      <c r="F648"/>
      <c r="G648"/>
      <c r="H648"/>
      <c r="I648"/>
      <c r="J648"/>
      <c r="K648"/>
      <c r="L648"/>
      <c r="M648"/>
      <c r="N648"/>
      <c r="O648"/>
      <c r="P648"/>
      <c r="Q648"/>
      <c r="R648"/>
    </row>
    <row r="649" spans="1:18">
      <c r="A649" s="139"/>
      <c r="B649" s="139"/>
      <c r="C649" s="139"/>
      <c r="D649"/>
      <c r="E649"/>
      <c r="F649"/>
      <c r="G649"/>
      <c r="H649"/>
      <c r="I649"/>
      <c r="J649"/>
      <c r="K649"/>
      <c r="L649"/>
      <c r="M649"/>
      <c r="N649"/>
      <c r="O649"/>
      <c r="P649"/>
      <c r="Q649"/>
      <c r="R649"/>
    </row>
    <row r="650" spans="1:18">
      <c r="A650" s="139"/>
      <c r="B650" s="139"/>
      <c r="C650" s="139"/>
      <c r="D650"/>
      <c r="E650"/>
      <c r="F650"/>
      <c r="G650"/>
      <c r="H650"/>
      <c r="I650"/>
      <c r="J650"/>
      <c r="K650"/>
      <c r="L650"/>
      <c r="M650"/>
      <c r="N650"/>
      <c r="O650"/>
      <c r="P650"/>
      <c r="Q650"/>
      <c r="R650"/>
    </row>
    <row r="651" spans="1:18">
      <c r="A651" s="139"/>
      <c r="B651" s="139"/>
      <c r="C651" s="139"/>
      <c r="D651"/>
      <c r="E651"/>
      <c r="F651"/>
      <c r="G651"/>
      <c r="H651"/>
      <c r="I651"/>
      <c r="J651"/>
      <c r="K651"/>
      <c r="L651"/>
      <c r="M651"/>
      <c r="N651"/>
      <c r="O651"/>
      <c r="P651"/>
      <c r="Q651"/>
      <c r="R651"/>
    </row>
    <row r="652" spans="1:18">
      <c r="A652" s="139"/>
      <c r="B652" s="139"/>
      <c r="C652" s="139"/>
      <c r="D652"/>
      <c r="E652"/>
      <c r="F652"/>
      <c r="G652"/>
      <c r="H652"/>
      <c r="I652"/>
      <c r="J652"/>
      <c r="K652"/>
      <c r="L652"/>
      <c r="M652"/>
      <c r="N652"/>
      <c r="O652"/>
      <c r="P652"/>
      <c r="Q652"/>
      <c r="R652"/>
    </row>
    <row r="653" spans="1:18">
      <c r="A653" s="139"/>
      <c r="B653" s="139"/>
      <c r="C653" s="139"/>
      <c r="D653"/>
      <c r="E653"/>
      <c r="F653"/>
      <c r="G653"/>
      <c r="H653"/>
      <c r="I653"/>
      <c r="J653"/>
      <c r="K653"/>
      <c r="L653"/>
      <c r="M653"/>
      <c r="N653"/>
      <c r="O653"/>
      <c r="P653"/>
      <c r="Q653"/>
      <c r="R653"/>
    </row>
    <row r="654" spans="1:18">
      <c r="A654" s="139"/>
      <c r="B654" s="139"/>
      <c r="C654" s="139"/>
      <c r="D654"/>
      <c r="E654"/>
      <c r="F654"/>
      <c r="G654"/>
      <c r="H654"/>
      <c r="I654"/>
      <c r="J654"/>
      <c r="K654"/>
      <c r="L654"/>
      <c r="M654"/>
      <c r="N654"/>
      <c r="O654"/>
      <c r="P654"/>
      <c r="Q654"/>
      <c r="R654"/>
    </row>
    <row r="655" spans="1:18">
      <c r="A655" s="139"/>
      <c r="B655" s="139"/>
      <c r="C655" s="139"/>
      <c r="D655"/>
      <c r="E655"/>
      <c r="F655"/>
      <c r="G655"/>
      <c r="H655"/>
      <c r="I655"/>
      <c r="J655"/>
      <c r="K655"/>
      <c r="L655"/>
      <c r="M655"/>
      <c r="N655"/>
      <c r="O655"/>
      <c r="P655"/>
      <c r="Q655"/>
      <c r="R655"/>
    </row>
    <row r="656" spans="1:18">
      <c r="A656" s="139"/>
      <c r="B656" s="139"/>
      <c r="C656" s="139"/>
      <c r="D656"/>
      <c r="E656"/>
      <c r="F656"/>
      <c r="G656"/>
      <c r="H656"/>
      <c r="I656"/>
      <c r="J656"/>
      <c r="K656"/>
      <c r="L656"/>
      <c r="M656"/>
      <c r="N656"/>
      <c r="O656"/>
      <c r="P656"/>
      <c r="Q656"/>
      <c r="R656"/>
    </row>
    <row r="657" spans="1:18">
      <c r="A657" s="139"/>
      <c r="B657" s="139"/>
      <c r="C657" s="139"/>
      <c r="D657"/>
      <c r="E657"/>
      <c r="F657"/>
      <c r="G657"/>
      <c r="H657"/>
      <c r="I657"/>
      <c r="J657"/>
      <c r="K657"/>
      <c r="L657"/>
      <c r="M657"/>
      <c r="N657"/>
      <c r="O657"/>
      <c r="P657"/>
      <c r="Q657"/>
      <c r="R657"/>
    </row>
    <row r="658" spans="1:18">
      <c r="A658" s="139"/>
      <c r="B658" s="139"/>
      <c r="C658" s="139"/>
      <c r="D658"/>
      <c r="E658"/>
      <c r="F658"/>
      <c r="G658"/>
      <c r="H658"/>
      <c r="I658"/>
      <c r="J658"/>
      <c r="K658"/>
      <c r="L658"/>
      <c r="M658"/>
      <c r="N658"/>
      <c r="O658"/>
      <c r="P658"/>
      <c r="Q658"/>
      <c r="R658"/>
    </row>
    <row r="659" spans="1:18">
      <c r="A659" s="139"/>
      <c r="B659" s="139"/>
      <c r="C659" s="139"/>
      <c r="D659"/>
      <c r="E659"/>
      <c r="F659"/>
      <c r="G659"/>
      <c r="H659"/>
      <c r="I659"/>
      <c r="J659"/>
      <c r="K659"/>
      <c r="L659"/>
      <c r="M659"/>
      <c r="N659"/>
      <c r="O659"/>
      <c r="P659"/>
      <c r="Q659"/>
      <c r="R659"/>
    </row>
    <row r="660" spans="1:18">
      <c r="A660" s="139"/>
      <c r="B660" s="139"/>
      <c r="C660" s="139"/>
      <c r="D660"/>
      <c r="E660"/>
      <c r="F660"/>
      <c r="G660"/>
      <c r="H660"/>
      <c r="I660"/>
      <c r="J660"/>
      <c r="K660"/>
      <c r="L660"/>
      <c r="M660"/>
      <c r="N660"/>
      <c r="O660"/>
      <c r="P660"/>
      <c r="Q660"/>
      <c r="R660"/>
    </row>
    <row r="661" spans="1:18">
      <c r="A661" s="139"/>
      <c r="B661" s="139"/>
      <c r="C661" s="139"/>
      <c r="D661"/>
      <c r="E661"/>
      <c r="F661"/>
      <c r="G661"/>
      <c r="H661"/>
      <c r="I661"/>
      <c r="J661"/>
      <c r="K661"/>
      <c r="L661"/>
      <c r="M661"/>
      <c r="N661"/>
      <c r="O661"/>
      <c r="P661"/>
      <c r="Q661"/>
      <c r="R661"/>
    </row>
    <row r="662" spans="1:18">
      <c r="A662" s="139"/>
      <c r="B662" s="139"/>
      <c r="C662" s="139"/>
      <c r="D662"/>
      <c r="E662"/>
      <c r="F662"/>
      <c r="G662"/>
      <c r="H662"/>
      <c r="I662"/>
      <c r="J662"/>
      <c r="K662"/>
      <c r="L662"/>
      <c r="M662"/>
      <c r="N662"/>
      <c r="O662"/>
      <c r="P662"/>
      <c r="Q662"/>
      <c r="R662"/>
    </row>
    <row r="663" spans="1:18">
      <c r="A663" s="139"/>
      <c r="B663" s="139"/>
      <c r="C663" s="139"/>
      <c r="D663"/>
      <c r="E663"/>
      <c r="F663"/>
      <c r="G663"/>
      <c r="H663"/>
      <c r="I663"/>
      <c r="J663"/>
      <c r="K663"/>
      <c r="L663"/>
      <c r="M663"/>
      <c r="N663"/>
      <c r="O663"/>
      <c r="P663"/>
      <c r="Q663"/>
      <c r="R663"/>
    </row>
    <row r="664" spans="1:18">
      <c r="A664" s="139"/>
      <c r="B664" s="139"/>
      <c r="C664" s="139"/>
      <c r="D664"/>
      <c r="E664"/>
      <c r="F664"/>
      <c r="G664"/>
      <c r="H664"/>
      <c r="I664"/>
      <c r="J664"/>
      <c r="K664"/>
      <c r="L664"/>
      <c r="M664"/>
      <c r="N664"/>
      <c r="O664"/>
      <c r="P664"/>
      <c r="Q664"/>
      <c r="R664"/>
    </row>
    <row r="665" spans="1:18">
      <c r="A665" s="139"/>
      <c r="B665" s="139"/>
      <c r="C665" s="139"/>
      <c r="D665"/>
      <c r="E665"/>
      <c r="F665"/>
      <c r="G665"/>
      <c r="H665"/>
      <c r="I665"/>
      <c r="J665"/>
      <c r="K665"/>
      <c r="L665"/>
      <c r="M665"/>
      <c r="N665"/>
      <c r="O665"/>
      <c r="P665"/>
      <c r="Q665"/>
      <c r="R665"/>
    </row>
    <row r="666" spans="1:18">
      <c r="A666" s="139"/>
      <c r="B666" s="139"/>
      <c r="C666" s="139"/>
      <c r="D666"/>
      <c r="E666"/>
      <c r="F666"/>
      <c r="G666"/>
      <c r="H666"/>
      <c r="I666"/>
      <c r="J666"/>
      <c r="K666"/>
      <c r="L666"/>
      <c r="M666"/>
      <c r="N666"/>
      <c r="O666"/>
      <c r="P666"/>
      <c r="Q666"/>
      <c r="R666"/>
    </row>
    <row r="667" spans="1:18">
      <c r="A667" s="139"/>
      <c r="B667" s="139"/>
      <c r="C667" s="139"/>
      <c r="D667"/>
      <c r="E667"/>
      <c r="F667"/>
      <c r="G667"/>
      <c r="H667"/>
      <c r="I667"/>
      <c r="J667"/>
      <c r="K667"/>
      <c r="L667"/>
      <c r="M667"/>
      <c r="N667"/>
      <c r="O667"/>
      <c r="P667"/>
      <c r="Q667"/>
      <c r="R667"/>
    </row>
    <row r="668" spans="1:18">
      <c r="A668" s="139"/>
      <c r="B668" s="139"/>
      <c r="C668" s="139"/>
      <c r="D668"/>
      <c r="E668"/>
      <c r="F668"/>
      <c r="G668"/>
      <c r="H668"/>
      <c r="I668"/>
      <c r="J668"/>
      <c r="K668"/>
      <c r="L668"/>
      <c r="M668"/>
      <c r="N668"/>
      <c r="O668"/>
      <c r="P668"/>
      <c r="Q668"/>
      <c r="R668"/>
    </row>
    <row r="669" spans="1:18">
      <c r="A669" s="139"/>
      <c r="B669" s="139"/>
      <c r="C669" s="139"/>
      <c r="D669"/>
      <c r="E669"/>
      <c r="F669"/>
      <c r="G669"/>
      <c r="H669"/>
      <c r="I669"/>
      <c r="J669"/>
      <c r="K669"/>
      <c r="L669"/>
      <c r="M669"/>
      <c r="N669"/>
      <c r="O669"/>
      <c r="P669"/>
      <c r="Q669"/>
      <c r="R669"/>
    </row>
    <row r="670" spans="1:18">
      <c r="A670" s="139"/>
      <c r="B670" s="139"/>
      <c r="C670" s="139"/>
      <c r="D670"/>
      <c r="E670"/>
      <c r="F670"/>
      <c r="G670"/>
      <c r="H670"/>
      <c r="I670"/>
      <c r="J670"/>
      <c r="K670"/>
      <c r="L670"/>
      <c r="M670"/>
      <c r="N670"/>
      <c r="O670"/>
      <c r="P670"/>
      <c r="Q670"/>
      <c r="R670"/>
    </row>
    <row r="671" spans="1:18">
      <c r="A671" s="139"/>
      <c r="B671" s="139"/>
      <c r="C671" s="139"/>
      <c r="D671"/>
      <c r="E671"/>
      <c r="F671"/>
      <c r="G671"/>
      <c r="H671"/>
      <c r="I671"/>
      <c r="J671"/>
      <c r="K671"/>
      <c r="L671"/>
      <c r="M671"/>
      <c r="N671"/>
      <c r="O671"/>
      <c r="P671"/>
      <c r="Q671"/>
      <c r="R671"/>
    </row>
    <row r="672" spans="1:18">
      <c r="A672" s="139"/>
      <c r="B672" s="139"/>
      <c r="C672" s="139"/>
      <c r="D672"/>
      <c r="E672"/>
      <c r="F672"/>
      <c r="G672"/>
      <c r="H672"/>
      <c r="I672"/>
      <c r="J672"/>
      <c r="K672"/>
      <c r="L672"/>
      <c r="M672"/>
      <c r="N672"/>
      <c r="O672"/>
      <c r="P672"/>
      <c r="Q672"/>
      <c r="R672"/>
    </row>
    <row r="673" spans="1:18">
      <c r="A673" s="139"/>
      <c r="B673" s="139"/>
      <c r="C673" s="139"/>
      <c r="D673"/>
      <c r="E673"/>
      <c r="F673"/>
      <c r="G673"/>
      <c r="H673"/>
      <c r="I673"/>
      <c r="J673"/>
      <c r="K673"/>
      <c r="L673"/>
      <c r="M673"/>
      <c r="N673"/>
      <c r="O673"/>
      <c r="P673"/>
      <c r="Q673"/>
      <c r="R673"/>
    </row>
    <row r="674" spans="1:18">
      <c r="A674" s="139"/>
      <c r="B674" s="139"/>
      <c r="C674" s="139"/>
      <c r="D674"/>
      <c r="E674"/>
      <c r="F674"/>
      <c r="G674"/>
      <c r="H674"/>
      <c r="I674"/>
      <c r="J674"/>
      <c r="K674"/>
      <c r="L674"/>
      <c r="M674"/>
      <c r="N674"/>
      <c r="O674"/>
      <c r="P674"/>
      <c r="Q674"/>
      <c r="R674"/>
    </row>
    <row r="675" spans="1:18">
      <c r="A675" s="139"/>
      <c r="B675" s="139"/>
      <c r="C675" s="139"/>
      <c r="D675"/>
      <c r="E675"/>
      <c r="F675"/>
      <c r="G675"/>
      <c r="H675"/>
      <c r="I675"/>
      <c r="J675"/>
      <c r="K675"/>
      <c r="L675"/>
      <c r="M675"/>
      <c r="N675"/>
      <c r="O675"/>
      <c r="P675"/>
      <c r="Q675"/>
      <c r="R675"/>
    </row>
    <row r="676" spans="1:18">
      <c r="A676" s="139"/>
      <c r="B676" s="139"/>
      <c r="C676" s="139"/>
      <c r="D676"/>
      <c r="E676"/>
      <c r="F676"/>
      <c r="G676"/>
      <c r="H676"/>
      <c r="I676"/>
      <c r="J676"/>
      <c r="K676"/>
      <c r="L676"/>
      <c r="M676"/>
      <c r="N676"/>
      <c r="O676"/>
      <c r="P676"/>
      <c r="Q676"/>
      <c r="R676"/>
    </row>
    <row r="677" spans="1:18">
      <c r="A677" s="139"/>
      <c r="B677" s="139"/>
      <c r="C677" s="139"/>
      <c r="D677"/>
      <c r="E677"/>
      <c r="F677"/>
      <c r="G677"/>
      <c r="H677"/>
      <c r="I677"/>
      <c r="J677"/>
      <c r="K677"/>
      <c r="L677"/>
      <c r="M677"/>
      <c r="N677"/>
      <c r="O677"/>
      <c r="P677"/>
      <c r="Q677"/>
      <c r="R677"/>
    </row>
    <row r="678" spans="1:18">
      <c r="A678" s="139"/>
      <c r="B678" s="139"/>
      <c r="C678" s="139"/>
      <c r="D678"/>
      <c r="E678"/>
      <c r="F678"/>
      <c r="G678"/>
      <c r="H678"/>
      <c r="I678"/>
      <c r="J678"/>
      <c r="K678"/>
      <c r="L678"/>
      <c r="M678"/>
      <c r="N678"/>
      <c r="O678"/>
      <c r="P678"/>
      <c r="Q678"/>
      <c r="R678"/>
    </row>
    <row r="679" spans="1:18">
      <c r="A679" s="139"/>
      <c r="B679" s="139"/>
      <c r="C679" s="139"/>
      <c r="D679"/>
      <c r="E679"/>
      <c r="F679"/>
      <c r="G679"/>
      <c r="H679"/>
      <c r="I679"/>
      <c r="J679"/>
      <c r="K679"/>
      <c r="L679"/>
      <c r="M679"/>
      <c r="N679"/>
      <c r="O679"/>
      <c r="P679"/>
      <c r="Q679"/>
      <c r="R679"/>
    </row>
    <row r="680" spans="1:18">
      <c r="A680" s="139"/>
      <c r="B680" s="139"/>
      <c r="C680" s="139"/>
      <c r="D680"/>
      <c r="E680"/>
      <c r="F680"/>
      <c r="G680"/>
      <c r="H680"/>
      <c r="I680"/>
      <c r="J680"/>
      <c r="K680"/>
      <c r="L680"/>
      <c r="M680"/>
      <c r="N680"/>
      <c r="O680"/>
      <c r="P680"/>
      <c r="Q680"/>
      <c r="R680"/>
    </row>
    <row r="681" spans="1:18">
      <c r="A681" s="139"/>
      <c r="B681" s="139"/>
      <c r="C681" s="139"/>
      <c r="D681"/>
      <c r="E681"/>
      <c r="F681"/>
      <c r="G681"/>
      <c r="H681"/>
      <c r="I681"/>
      <c r="J681"/>
      <c r="K681"/>
      <c r="L681"/>
      <c r="M681"/>
      <c r="N681"/>
      <c r="O681"/>
      <c r="P681"/>
      <c r="Q681"/>
      <c r="R681"/>
    </row>
    <row r="682" spans="1:18">
      <c r="A682" s="139"/>
      <c r="B682" s="139"/>
      <c r="C682" s="139"/>
      <c r="D682"/>
      <c r="E682"/>
      <c r="F682"/>
      <c r="G682"/>
      <c r="H682"/>
      <c r="I682"/>
      <c r="J682"/>
      <c r="K682"/>
      <c r="L682"/>
      <c r="M682"/>
      <c r="N682"/>
      <c r="O682"/>
      <c r="P682"/>
      <c r="Q682"/>
      <c r="R682"/>
    </row>
    <row r="683" spans="1:18">
      <c r="A683" s="139"/>
      <c r="B683" s="139"/>
      <c r="C683" s="139"/>
      <c r="D683"/>
      <c r="E683"/>
      <c r="F683"/>
      <c r="G683"/>
      <c r="H683"/>
      <c r="I683"/>
      <c r="J683"/>
      <c r="K683"/>
      <c r="L683"/>
      <c r="M683"/>
      <c r="N683"/>
      <c r="O683"/>
      <c r="P683"/>
      <c r="Q683"/>
      <c r="R683"/>
    </row>
    <row r="684" spans="1:18">
      <c r="A684" s="139"/>
      <c r="B684" s="139"/>
      <c r="C684" s="139"/>
      <c r="D684"/>
      <c r="E684"/>
      <c r="F684"/>
      <c r="G684"/>
      <c r="H684"/>
      <c r="I684"/>
      <c r="J684"/>
      <c r="K684"/>
      <c r="L684"/>
      <c r="M684"/>
      <c r="N684"/>
      <c r="O684"/>
      <c r="P684"/>
      <c r="Q684"/>
      <c r="R684"/>
    </row>
    <row r="685" spans="1:18">
      <c r="A685" s="139"/>
      <c r="B685" s="139"/>
      <c r="C685" s="139"/>
      <c r="D685"/>
      <c r="E685"/>
      <c r="F685"/>
      <c r="G685"/>
      <c r="H685"/>
      <c r="I685"/>
      <c r="J685"/>
      <c r="K685"/>
      <c r="L685"/>
      <c r="M685"/>
      <c r="N685"/>
      <c r="O685"/>
      <c r="P685"/>
      <c r="Q685"/>
      <c r="R685"/>
    </row>
    <row r="686" spans="1:18">
      <c r="A686" s="139"/>
      <c r="B686" s="139"/>
      <c r="C686" s="139"/>
      <c r="D686"/>
      <c r="E686"/>
      <c r="F686"/>
      <c r="G686"/>
      <c r="H686"/>
      <c r="I686"/>
      <c r="J686"/>
      <c r="K686"/>
      <c r="L686"/>
      <c r="M686"/>
      <c r="N686"/>
      <c r="O686"/>
      <c r="P686"/>
      <c r="Q686"/>
      <c r="R686"/>
    </row>
    <row r="687" spans="1:18">
      <c r="A687" s="139"/>
      <c r="B687" s="139"/>
      <c r="C687" s="139"/>
      <c r="D687"/>
      <c r="E687"/>
      <c r="F687"/>
      <c r="G687"/>
      <c r="H687"/>
      <c r="I687"/>
      <c r="J687"/>
      <c r="K687"/>
      <c r="L687"/>
      <c r="M687"/>
      <c r="N687"/>
      <c r="O687"/>
      <c r="P687"/>
      <c r="Q687"/>
      <c r="R687"/>
    </row>
    <row r="688" spans="1:18">
      <c r="A688" s="139"/>
      <c r="B688" s="139"/>
      <c r="C688" s="139"/>
      <c r="D688"/>
      <c r="E688"/>
      <c r="F688"/>
      <c r="G688"/>
      <c r="H688"/>
      <c r="I688"/>
      <c r="J688"/>
      <c r="K688"/>
      <c r="L688"/>
      <c r="M688"/>
      <c r="N688"/>
      <c r="O688"/>
      <c r="P688"/>
      <c r="Q688"/>
      <c r="R688"/>
    </row>
    <row r="689" spans="1:18">
      <c r="A689" s="139"/>
      <c r="B689" s="139"/>
      <c r="C689" s="139"/>
      <c r="D689"/>
      <c r="E689"/>
      <c r="F689"/>
      <c r="G689"/>
      <c r="H689"/>
      <c r="I689"/>
      <c r="J689"/>
      <c r="K689"/>
      <c r="L689"/>
      <c r="M689"/>
      <c r="N689"/>
      <c r="O689"/>
      <c r="P689"/>
      <c r="Q689"/>
      <c r="R689"/>
    </row>
    <row r="690" spans="1:18">
      <c r="A690" s="139"/>
      <c r="B690" s="139"/>
      <c r="C690" s="139"/>
      <c r="D690"/>
      <c r="E690"/>
      <c r="F690"/>
      <c r="G690"/>
      <c r="H690"/>
      <c r="I690"/>
      <c r="J690"/>
      <c r="K690"/>
      <c r="L690"/>
      <c r="M690"/>
      <c r="N690"/>
      <c r="O690"/>
      <c r="P690"/>
      <c r="Q690"/>
      <c r="R690"/>
    </row>
    <row r="691" spans="1:18">
      <c r="A691" s="139"/>
      <c r="B691" s="139"/>
      <c r="C691" s="139"/>
      <c r="D691"/>
      <c r="E691"/>
      <c r="F691"/>
      <c r="G691"/>
      <c r="H691"/>
      <c r="I691"/>
      <c r="J691"/>
      <c r="K691"/>
      <c r="L691"/>
      <c r="M691"/>
      <c r="N691"/>
      <c r="O691"/>
      <c r="P691"/>
      <c r="Q691"/>
      <c r="R691"/>
    </row>
    <row r="692" spans="1:18">
      <c r="A692" s="139"/>
      <c r="B692" s="139"/>
      <c r="C692" s="139"/>
      <c r="D692"/>
      <c r="E692"/>
      <c r="F692"/>
      <c r="G692"/>
      <c r="H692"/>
      <c r="I692"/>
      <c r="J692"/>
      <c r="K692"/>
      <c r="L692"/>
      <c r="M692"/>
      <c r="N692"/>
      <c r="O692"/>
      <c r="P692"/>
      <c r="Q692"/>
      <c r="R692"/>
    </row>
    <row r="693" spans="1:18">
      <c r="A693" s="139"/>
      <c r="B693" s="139"/>
      <c r="C693" s="139"/>
      <c r="D693"/>
      <c r="E693"/>
      <c r="F693"/>
      <c r="G693"/>
      <c r="H693"/>
      <c r="I693"/>
      <c r="J693"/>
      <c r="K693"/>
      <c r="L693"/>
      <c r="M693"/>
      <c r="N693"/>
      <c r="O693"/>
      <c r="P693"/>
      <c r="Q693"/>
      <c r="R693"/>
    </row>
    <row r="694" spans="1:18">
      <c r="A694" s="139"/>
      <c r="B694" s="139"/>
      <c r="C694" s="139"/>
      <c r="D694"/>
      <c r="E694"/>
      <c r="F694"/>
      <c r="G694"/>
      <c r="H694"/>
      <c r="I694"/>
      <c r="J694"/>
      <c r="K694"/>
      <c r="L694"/>
      <c r="M694"/>
      <c r="N694"/>
      <c r="O694"/>
      <c r="P694"/>
      <c r="Q694"/>
      <c r="R694"/>
    </row>
    <row r="695" spans="1:18">
      <c r="A695" s="139"/>
      <c r="B695" s="139"/>
      <c r="C695" s="139"/>
      <c r="D695"/>
      <c r="E695"/>
      <c r="F695"/>
      <c r="G695"/>
      <c r="H695"/>
      <c r="I695"/>
      <c r="J695"/>
      <c r="K695"/>
      <c r="L695"/>
      <c r="M695"/>
      <c r="N695"/>
      <c r="O695"/>
      <c r="P695"/>
      <c r="Q695"/>
      <c r="R695"/>
    </row>
    <row r="696" spans="1:18">
      <c r="A696" s="139"/>
      <c r="B696" s="139"/>
      <c r="C696" s="139"/>
      <c r="D696"/>
      <c r="E696"/>
      <c r="F696"/>
      <c r="G696"/>
      <c r="H696"/>
      <c r="I696"/>
      <c r="J696"/>
      <c r="K696"/>
      <c r="L696"/>
      <c r="M696"/>
      <c r="N696"/>
      <c r="O696"/>
      <c r="P696"/>
      <c r="Q696"/>
      <c r="R696"/>
    </row>
    <row r="697" spans="1:18">
      <c r="A697" s="139"/>
      <c r="B697" s="139"/>
      <c r="C697" s="139"/>
      <c r="D697"/>
      <c r="E697"/>
      <c r="F697"/>
      <c r="G697"/>
      <c r="H697"/>
      <c r="I697"/>
      <c r="J697"/>
      <c r="K697"/>
      <c r="L697"/>
      <c r="M697"/>
      <c r="N697"/>
      <c r="O697"/>
      <c r="P697"/>
      <c r="Q697"/>
      <c r="R697"/>
    </row>
    <row r="698" spans="1:18">
      <c r="A698" s="139"/>
      <c r="B698" s="139"/>
      <c r="C698" s="139"/>
      <c r="D698"/>
      <c r="E698"/>
      <c r="F698"/>
      <c r="G698"/>
      <c r="H698"/>
      <c r="I698"/>
      <c r="J698"/>
      <c r="K698"/>
      <c r="L698"/>
      <c r="M698"/>
      <c r="N698"/>
      <c r="O698"/>
      <c r="P698"/>
      <c r="Q698"/>
      <c r="R698"/>
    </row>
    <row r="699" spans="1:18">
      <c r="A699" s="139"/>
      <c r="B699" s="139"/>
      <c r="C699" s="139"/>
      <c r="D699"/>
      <c r="E699"/>
      <c r="F699"/>
      <c r="G699"/>
      <c r="H699"/>
      <c r="I699"/>
      <c r="J699"/>
      <c r="K699"/>
      <c r="L699"/>
      <c r="M699"/>
      <c r="N699"/>
      <c r="O699"/>
      <c r="P699"/>
      <c r="Q699"/>
      <c r="R699"/>
    </row>
    <row r="700" spans="1:18">
      <c r="A700" s="139"/>
      <c r="B700" s="139"/>
      <c r="C700" s="139"/>
      <c r="D700"/>
      <c r="E700"/>
      <c r="F700"/>
      <c r="G700"/>
      <c r="H700"/>
      <c r="I700"/>
      <c r="J700"/>
      <c r="K700"/>
      <c r="L700"/>
      <c r="M700"/>
      <c r="N700"/>
      <c r="O700"/>
      <c r="P700"/>
      <c r="Q700"/>
      <c r="R700"/>
    </row>
    <row r="701" spans="1:18">
      <c r="A701" s="139"/>
      <c r="B701" s="139"/>
      <c r="C701" s="139"/>
      <c r="D701"/>
      <c r="E701"/>
      <c r="F701"/>
      <c r="G701"/>
      <c r="H701"/>
      <c r="I701"/>
      <c r="J701"/>
      <c r="K701"/>
      <c r="L701"/>
      <c r="M701"/>
      <c r="N701"/>
      <c r="O701"/>
      <c r="P701"/>
      <c r="Q701"/>
      <c r="R701"/>
    </row>
    <row r="702" spans="1:18">
      <c r="A702" s="139"/>
      <c r="B702" s="139"/>
      <c r="C702" s="139"/>
      <c r="D702"/>
      <c r="E702"/>
      <c r="F702"/>
      <c r="G702"/>
      <c r="H702"/>
      <c r="I702"/>
      <c r="J702"/>
      <c r="K702"/>
      <c r="L702"/>
      <c r="M702"/>
      <c r="N702"/>
      <c r="O702"/>
      <c r="P702"/>
      <c r="Q702"/>
      <c r="R702"/>
    </row>
    <row r="703" spans="1:18">
      <c r="A703" s="139"/>
      <c r="B703" s="139"/>
      <c r="C703" s="139"/>
      <c r="D703"/>
      <c r="E703"/>
      <c r="F703"/>
      <c r="G703"/>
      <c r="H703"/>
      <c r="I703"/>
      <c r="J703"/>
      <c r="K703"/>
      <c r="L703"/>
      <c r="M703"/>
      <c r="N703"/>
      <c r="O703"/>
      <c r="P703"/>
      <c r="Q703"/>
      <c r="R703"/>
    </row>
    <row r="704" spans="1:18">
      <c r="A704" s="139"/>
      <c r="B704" s="139"/>
      <c r="C704" s="139"/>
      <c r="D704"/>
      <c r="E704"/>
      <c r="F704"/>
      <c r="G704"/>
      <c r="H704"/>
      <c r="I704"/>
      <c r="J704"/>
      <c r="K704"/>
      <c r="L704"/>
      <c r="M704"/>
      <c r="N704"/>
      <c r="O704"/>
      <c r="P704"/>
      <c r="Q704"/>
      <c r="R704"/>
    </row>
    <row r="705" spans="1:18">
      <c r="A705" s="139"/>
      <c r="B705" s="139"/>
      <c r="C705" s="139"/>
      <c r="D705"/>
      <c r="E705"/>
      <c r="F705"/>
      <c r="G705"/>
      <c r="H705"/>
      <c r="I705"/>
      <c r="J705"/>
      <c r="K705"/>
      <c r="L705"/>
      <c r="M705"/>
      <c r="N705"/>
      <c r="O705"/>
      <c r="P705"/>
      <c r="Q705"/>
      <c r="R705"/>
    </row>
    <row r="706" spans="1:18">
      <c r="A706" s="139"/>
      <c r="B706" s="139"/>
      <c r="C706" s="139"/>
      <c r="D706"/>
      <c r="E706"/>
      <c r="F706"/>
      <c r="G706"/>
      <c r="H706"/>
      <c r="I706"/>
      <c r="J706"/>
      <c r="K706"/>
      <c r="L706"/>
      <c r="M706"/>
      <c r="N706"/>
      <c r="O706"/>
      <c r="P706"/>
      <c r="Q706"/>
      <c r="R706"/>
    </row>
    <row r="707" spans="1:18">
      <c r="A707" s="139"/>
      <c r="B707" s="139"/>
      <c r="C707" s="139"/>
      <c r="D707"/>
      <c r="E707"/>
      <c r="F707"/>
      <c r="G707"/>
      <c r="H707"/>
      <c r="I707"/>
      <c r="J707"/>
      <c r="K707"/>
      <c r="L707"/>
      <c r="M707"/>
      <c r="N707"/>
      <c r="O707"/>
      <c r="P707"/>
      <c r="Q707"/>
      <c r="R707"/>
    </row>
    <row r="708" spans="1:18">
      <c r="A708" s="139"/>
      <c r="B708" s="139"/>
      <c r="C708" s="139"/>
      <c r="D708"/>
      <c r="E708"/>
      <c r="F708"/>
      <c r="G708"/>
      <c r="H708"/>
      <c r="I708"/>
      <c r="J708"/>
      <c r="K708"/>
      <c r="L708"/>
      <c r="M708"/>
      <c r="N708"/>
      <c r="O708"/>
      <c r="P708"/>
      <c r="Q708"/>
      <c r="R708"/>
    </row>
    <row r="709" spans="1:18">
      <c r="A709" s="139"/>
      <c r="B709" s="139"/>
      <c r="C709" s="139"/>
      <c r="D709"/>
      <c r="E709"/>
      <c r="F709"/>
      <c r="G709"/>
      <c r="H709"/>
      <c r="I709"/>
      <c r="J709"/>
      <c r="K709"/>
      <c r="L709"/>
      <c r="M709"/>
      <c r="N709"/>
      <c r="O709"/>
      <c r="P709"/>
      <c r="Q709"/>
      <c r="R709"/>
    </row>
    <row r="710" spans="1:18">
      <c r="A710" s="139"/>
      <c r="B710" s="139"/>
      <c r="C710" s="139"/>
      <c r="D710"/>
      <c r="E710"/>
      <c r="F710"/>
      <c r="G710"/>
      <c r="H710"/>
      <c r="I710"/>
      <c r="J710"/>
      <c r="K710"/>
      <c r="L710"/>
      <c r="M710"/>
      <c r="N710"/>
      <c r="O710"/>
      <c r="P710"/>
      <c r="Q710"/>
      <c r="R710"/>
    </row>
    <row r="711" spans="1:18">
      <c r="A711" s="139"/>
      <c r="B711" s="139"/>
      <c r="C711" s="139"/>
      <c r="D711"/>
      <c r="E711"/>
      <c r="F711"/>
      <c r="G711"/>
      <c r="H711"/>
      <c r="I711"/>
      <c r="J711"/>
      <c r="K711"/>
      <c r="L711"/>
      <c r="M711"/>
      <c r="N711"/>
      <c r="O711"/>
      <c r="P711"/>
      <c r="Q711"/>
      <c r="R711"/>
    </row>
    <row r="712" spans="1:18">
      <c r="A712" s="139"/>
      <c r="B712" s="139"/>
      <c r="C712" s="139"/>
      <c r="D712"/>
      <c r="E712"/>
      <c r="F712"/>
      <c r="G712"/>
      <c r="H712"/>
      <c r="I712"/>
      <c r="J712"/>
      <c r="K712"/>
      <c r="L712"/>
      <c r="M712"/>
      <c r="N712"/>
      <c r="O712"/>
      <c r="P712"/>
      <c r="Q712"/>
      <c r="R712"/>
    </row>
    <row r="713" spans="1:18">
      <c r="A713" s="139"/>
      <c r="B713" s="139"/>
      <c r="C713" s="139"/>
      <c r="D713"/>
      <c r="E713"/>
      <c r="F713"/>
      <c r="G713"/>
      <c r="H713"/>
      <c r="I713"/>
      <c r="J713"/>
      <c r="K713"/>
      <c r="L713"/>
      <c r="M713"/>
      <c r="N713"/>
      <c r="O713"/>
      <c r="P713"/>
      <c r="Q713"/>
      <c r="R713"/>
    </row>
    <row r="714" spans="1:18">
      <c r="A714" s="139"/>
      <c r="B714" s="139"/>
      <c r="C714" s="139"/>
      <c r="D714"/>
      <c r="E714"/>
      <c r="F714"/>
      <c r="G714"/>
      <c r="H714"/>
      <c r="I714"/>
      <c r="J714"/>
      <c r="K714"/>
      <c r="L714"/>
      <c r="M714"/>
      <c r="N714"/>
      <c r="O714"/>
      <c r="P714"/>
      <c r="Q714"/>
      <c r="R714"/>
    </row>
    <row r="715" spans="1:18">
      <c r="A715" s="139"/>
      <c r="B715" s="139"/>
      <c r="C715" s="139"/>
      <c r="D715"/>
      <c r="E715"/>
      <c r="F715"/>
      <c r="G715"/>
      <c r="H715"/>
      <c r="I715"/>
      <c r="J715"/>
      <c r="K715"/>
      <c r="L715"/>
      <c r="M715"/>
      <c r="N715"/>
      <c r="O715"/>
      <c r="P715"/>
      <c r="Q715"/>
      <c r="R715"/>
    </row>
    <row r="716" spans="1:18">
      <c r="A716" s="139"/>
      <c r="B716" s="139"/>
      <c r="C716" s="139"/>
      <c r="D716"/>
      <c r="E716"/>
      <c r="F716"/>
      <c r="G716"/>
      <c r="H716"/>
      <c r="I716"/>
      <c r="J716"/>
      <c r="K716"/>
      <c r="L716"/>
      <c r="M716"/>
      <c r="N716"/>
      <c r="O716"/>
      <c r="P716"/>
      <c r="Q716"/>
      <c r="R716"/>
    </row>
    <row r="717" spans="1:18">
      <c r="A717" s="139"/>
      <c r="B717" s="139"/>
      <c r="C717" s="139"/>
      <c r="D717"/>
      <c r="E717"/>
      <c r="F717"/>
      <c r="G717"/>
      <c r="H717"/>
      <c r="I717"/>
      <c r="J717"/>
      <c r="K717"/>
      <c r="L717"/>
      <c r="M717"/>
      <c r="N717"/>
      <c r="O717"/>
      <c r="P717"/>
      <c r="Q717"/>
      <c r="R717"/>
    </row>
    <row r="718" spans="1:18">
      <c r="A718" s="139"/>
      <c r="B718" s="139"/>
      <c r="C718" s="139"/>
      <c r="D718"/>
      <c r="E718"/>
      <c r="F718"/>
      <c r="G718"/>
      <c r="H718"/>
      <c r="I718"/>
      <c r="J718"/>
      <c r="K718"/>
      <c r="L718"/>
      <c r="M718"/>
      <c r="N718"/>
      <c r="O718"/>
      <c r="P718"/>
      <c r="Q718"/>
      <c r="R718"/>
    </row>
    <row r="719" spans="1:18">
      <c r="A719" s="139"/>
      <c r="B719" s="139"/>
      <c r="C719" s="139"/>
      <c r="D719"/>
      <c r="E719"/>
      <c r="F719"/>
      <c r="G719"/>
      <c r="H719"/>
      <c r="I719"/>
      <c r="J719"/>
      <c r="K719"/>
      <c r="L719"/>
      <c r="M719"/>
      <c r="N719"/>
      <c r="O719"/>
      <c r="P719"/>
      <c r="Q719"/>
      <c r="R719"/>
    </row>
    <row r="720" spans="1:18">
      <c r="A720" s="139"/>
      <c r="B720" s="139"/>
      <c r="C720" s="139"/>
      <c r="D720"/>
      <c r="E720"/>
      <c r="F720"/>
      <c r="G720"/>
      <c r="H720"/>
      <c r="I720"/>
      <c r="J720"/>
      <c r="K720"/>
      <c r="L720"/>
      <c r="M720"/>
      <c r="N720"/>
      <c r="O720"/>
      <c r="P720"/>
      <c r="Q720"/>
      <c r="R720"/>
    </row>
    <row r="721" spans="1:18">
      <c r="A721" s="139"/>
      <c r="B721" s="139"/>
      <c r="C721" s="139"/>
      <c r="D721"/>
      <c r="E721"/>
      <c r="F721"/>
      <c r="G721"/>
      <c r="H721"/>
      <c r="I721"/>
      <c r="J721"/>
      <c r="K721"/>
      <c r="L721"/>
      <c r="M721"/>
      <c r="N721"/>
      <c r="O721"/>
      <c r="P721"/>
      <c r="Q721"/>
      <c r="R721"/>
    </row>
    <row r="722" spans="1:18">
      <c r="A722" s="139"/>
      <c r="B722" s="139"/>
      <c r="C722" s="139"/>
      <c r="D722"/>
      <c r="E722"/>
      <c r="F722"/>
      <c r="G722"/>
      <c r="H722"/>
      <c r="I722"/>
      <c r="J722"/>
      <c r="K722"/>
      <c r="L722"/>
      <c r="M722"/>
      <c r="N722"/>
      <c r="O722"/>
      <c r="P722"/>
      <c r="Q722"/>
      <c r="R722"/>
    </row>
    <row r="723" spans="1:18">
      <c r="A723" s="139"/>
      <c r="B723" s="139"/>
      <c r="C723" s="139"/>
      <c r="D723"/>
      <c r="E723"/>
      <c r="F723"/>
      <c r="G723"/>
      <c r="H723"/>
      <c r="I723"/>
      <c r="J723"/>
      <c r="K723"/>
      <c r="L723"/>
      <c r="M723"/>
      <c r="N723"/>
      <c r="O723"/>
      <c r="P723"/>
      <c r="Q723"/>
      <c r="R723"/>
    </row>
    <row r="724" spans="1:18">
      <c r="A724" s="139"/>
      <c r="B724" s="139"/>
      <c r="C724" s="139"/>
      <c r="D724"/>
      <c r="E724"/>
      <c r="F724"/>
      <c r="G724"/>
      <c r="H724"/>
      <c r="I724"/>
      <c r="J724"/>
      <c r="K724"/>
      <c r="L724"/>
      <c r="M724"/>
      <c r="N724"/>
      <c r="O724"/>
      <c r="P724"/>
      <c r="Q724"/>
      <c r="R724"/>
    </row>
    <row r="725" spans="1:18">
      <c r="A725" s="139"/>
      <c r="B725" s="139"/>
      <c r="C725" s="139"/>
      <c r="D725"/>
      <c r="E725"/>
      <c r="F725"/>
      <c r="G725"/>
      <c r="H725"/>
      <c r="I725"/>
      <c r="J725"/>
      <c r="K725"/>
      <c r="L725"/>
      <c r="M725"/>
      <c r="N725"/>
      <c r="O725"/>
      <c r="P725"/>
      <c r="Q725"/>
      <c r="R725"/>
    </row>
    <row r="726" spans="1:18">
      <c r="A726" s="139"/>
      <c r="B726" s="139"/>
      <c r="C726" s="139"/>
      <c r="D726"/>
      <c r="E726"/>
      <c r="F726"/>
      <c r="G726"/>
      <c r="H726"/>
      <c r="I726"/>
      <c r="J726"/>
      <c r="K726"/>
      <c r="L726"/>
      <c r="M726"/>
      <c r="N726"/>
      <c r="O726"/>
      <c r="P726"/>
      <c r="Q726"/>
      <c r="R726"/>
    </row>
    <row r="727" spans="1:18">
      <c r="A727" s="139"/>
      <c r="B727" s="139"/>
      <c r="C727" s="139"/>
      <c r="D727"/>
      <c r="E727"/>
      <c r="F727"/>
      <c r="G727"/>
      <c r="H727"/>
      <c r="I727"/>
      <c r="J727"/>
      <c r="K727"/>
      <c r="L727"/>
      <c r="M727"/>
      <c r="N727"/>
      <c r="O727"/>
      <c r="P727"/>
      <c r="Q727"/>
      <c r="R727"/>
    </row>
    <row r="728" spans="1:18">
      <c r="A728" s="139"/>
      <c r="B728" s="139"/>
      <c r="C728" s="139"/>
      <c r="D728"/>
      <c r="E728"/>
      <c r="F728"/>
      <c r="G728"/>
      <c r="H728"/>
      <c r="I728"/>
      <c r="J728"/>
      <c r="K728"/>
      <c r="L728"/>
      <c r="M728"/>
      <c r="N728"/>
      <c r="O728"/>
      <c r="P728"/>
      <c r="Q728"/>
      <c r="R728"/>
    </row>
    <row r="729" spans="1:18">
      <c r="A729" s="139"/>
      <c r="B729" s="139"/>
      <c r="C729" s="139"/>
      <c r="D729"/>
      <c r="E729"/>
      <c r="F729"/>
      <c r="G729"/>
      <c r="H729"/>
      <c r="I729"/>
      <c r="J729"/>
      <c r="K729"/>
      <c r="L729"/>
      <c r="M729"/>
      <c r="N729"/>
      <c r="O729"/>
      <c r="P729"/>
      <c r="Q729"/>
      <c r="R729"/>
    </row>
    <row r="730" spans="1:18">
      <c r="A730" s="139"/>
      <c r="B730" s="139"/>
      <c r="C730" s="139"/>
      <c r="D730"/>
      <c r="E730"/>
      <c r="F730"/>
      <c r="G730"/>
      <c r="H730"/>
      <c r="I730"/>
      <c r="J730"/>
      <c r="K730"/>
      <c r="L730"/>
      <c r="M730"/>
      <c r="N730"/>
      <c r="O730"/>
      <c r="P730"/>
      <c r="Q730"/>
      <c r="R730"/>
    </row>
    <row r="731" spans="1:18">
      <c r="A731" s="139"/>
      <c r="B731" s="139"/>
      <c r="C731" s="139"/>
      <c r="D731"/>
      <c r="E731"/>
      <c r="F731"/>
      <c r="G731"/>
      <c r="H731"/>
      <c r="I731"/>
      <c r="J731"/>
      <c r="K731"/>
      <c r="L731"/>
      <c r="M731"/>
      <c r="N731"/>
      <c r="O731"/>
      <c r="P731"/>
      <c r="Q731"/>
      <c r="R731"/>
    </row>
    <row r="732" spans="1:18">
      <c r="A732" s="139">
        <v>12031</v>
      </c>
      <c r="B732" s="139" t="s">
        <v>175</v>
      </c>
      <c r="C732" s="139" t="s">
        <v>175</v>
      </c>
      <c r="D732"/>
      <c r="E732"/>
      <c r="F732"/>
      <c r="G732"/>
      <c r="H732"/>
      <c r="I732"/>
      <c r="J732"/>
      <c r="K732"/>
      <c r="L732"/>
      <c r="M732"/>
      <c r="N732"/>
      <c r="O732"/>
      <c r="P732"/>
      <c r="Q732"/>
      <c r="R732"/>
    </row>
    <row r="733" spans="1:18">
      <c r="A733" s="139"/>
      <c r="B733" s="139"/>
      <c r="C733" s="139"/>
      <c r="D733"/>
      <c r="E733"/>
      <c r="F733"/>
      <c r="G733"/>
      <c r="H733"/>
      <c r="I733"/>
      <c r="J733"/>
      <c r="K733"/>
      <c r="L733"/>
      <c r="M733"/>
      <c r="N733"/>
      <c r="O733"/>
      <c r="P733"/>
      <c r="Q733"/>
      <c r="R733"/>
    </row>
    <row r="734" spans="1:18">
      <c r="A734" s="139"/>
      <c r="B734" s="139"/>
      <c r="C734" s="139"/>
      <c r="D734"/>
      <c r="E734"/>
      <c r="F734"/>
      <c r="G734"/>
      <c r="H734"/>
      <c r="I734"/>
      <c r="J734"/>
      <c r="K734"/>
      <c r="L734"/>
      <c r="M734"/>
      <c r="N734"/>
      <c r="O734"/>
      <c r="P734"/>
      <c r="Q734"/>
      <c r="R734"/>
    </row>
    <row r="735" spans="1:18">
      <c r="A735" s="139"/>
      <c r="B735" s="139"/>
      <c r="C735" s="139"/>
      <c r="D735"/>
      <c r="E735"/>
      <c r="F735"/>
      <c r="G735"/>
      <c r="H735"/>
      <c r="I735"/>
      <c r="J735"/>
      <c r="K735"/>
      <c r="L735"/>
      <c r="M735"/>
      <c r="N735"/>
      <c r="O735"/>
      <c r="P735"/>
      <c r="Q735"/>
      <c r="R735"/>
    </row>
    <row r="736" spans="1:18">
      <c r="A736" s="139"/>
      <c r="B736" s="139"/>
      <c r="C736" s="139"/>
      <c r="D736"/>
      <c r="E736"/>
      <c r="F736"/>
      <c r="G736"/>
      <c r="H736"/>
      <c r="I736"/>
      <c r="J736"/>
      <c r="K736"/>
      <c r="L736"/>
      <c r="M736"/>
      <c r="N736"/>
      <c r="O736"/>
      <c r="P736"/>
      <c r="Q736"/>
      <c r="R736"/>
    </row>
    <row r="737" spans="1:18">
      <c r="A737" s="139"/>
      <c r="B737" s="139"/>
      <c r="C737" s="139"/>
      <c r="D737"/>
      <c r="E737"/>
      <c r="F737"/>
      <c r="G737"/>
      <c r="H737"/>
      <c r="I737"/>
      <c r="J737"/>
      <c r="K737"/>
      <c r="L737"/>
      <c r="M737"/>
      <c r="N737"/>
      <c r="O737"/>
      <c r="P737"/>
      <c r="Q737"/>
      <c r="R737"/>
    </row>
    <row r="738" spans="1:18">
      <c r="A738" s="139"/>
      <c r="B738" s="139"/>
      <c r="C738" s="139"/>
      <c r="D738"/>
      <c r="E738"/>
      <c r="F738"/>
      <c r="G738"/>
      <c r="H738"/>
      <c r="I738"/>
      <c r="J738"/>
      <c r="K738"/>
      <c r="L738"/>
      <c r="M738"/>
      <c r="N738"/>
      <c r="O738"/>
      <c r="P738"/>
      <c r="Q738"/>
      <c r="R738"/>
    </row>
    <row r="739" spans="1:18">
      <c r="A739" s="139"/>
      <c r="B739" s="139"/>
      <c r="C739" s="139"/>
      <c r="D739"/>
      <c r="E739"/>
      <c r="F739"/>
      <c r="G739"/>
      <c r="H739"/>
      <c r="I739"/>
      <c r="J739"/>
      <c r="K739"/>
      <c r="L739"/>
      <c r="M739"/>
      <c r="N739"/>
      <c r="O739"/>
      <c r="P739"/>
      <c r="Q739"/>
      <c r="R739"/>
    </row>
    <row r="740" spans="1:18">
      <c r="A740" s="139"/>
      <c r="B740" s="139"/>
      <c r="C740" s="139"/>
      <c r="D740"/>
      <c r="E740"/>
      <c r="F740"/>
      <c r="G740"/>
      <c r="H740"/>
      <c r="I740"/>
      <c r="J740"/>
      <c r="K740"/>
      <c r="L740"/>
      <c r="M740"/>
      <c r="N740"/>
      <c r="O740"/>
      <c r="P740"/>
      <c r="Q740"/>
      <c r="R740"/>
    </row>
    <row r="741" spans="1:18">
      <c r="A741" s="139"/>
      <c r="B741" s="139"/>
      <c r="C741" s="139"/>
      <c r="D741"/>
      <c r="E741"/>
      <c r="F741"/>
      <c r="G741"/>
      <c r="H741"/>
      <c r="I741"/>
      <c r="J741"/>
      <c r="K741"/>
      <c r="L741"/>
      <c r="M741"/>
      <c r="N741"/>
      <c r="O741"/>
      <c r="P741"/>
      <c r="Q741"/>
      <c r="R741"/>
    </row>
    <row r="742" spans="1:18">
      <c r="A742" s="139"/>
      <c r="B742" s="139"/>
      <c r="C742" s="139"/>
      <c r="D742"/>
      <c r="E742"/>
      <c r="F742"/>
      <c r="G742"/>
      <c r="H742"/>
      <c r="I742"/>
      <c r="J742"/>
      <c r="K742"/>
      <c r="L742"/>
      <c r="M742"/>
      <c r="N742"/>
      <c r="O742"/>
      <c r="P742"/>
      <c r="Q742"/>
      <c r="R742"/>
    </row>
    <row r="743" spans="1:18">
      <c r="A743" s="139"/>
      <c r="B743" s="139"/>
      <c r="C743" s="139"/>
      <c r="D743"/>
      <c r="E743"/>
      <c r="F743"/>
      <c r="G743"/>
      <c r="H743"/>
      <c r="I743"/>
      <c r="J743"/>
      <c r="K743"/>
      <c r="L743"/>
      <c r="M743"/>
      <c r="N743"/>
      <c r="O743"/>
      <c r="P743"/>
      <c r="Q743"/>
      <c r="R743"/>
    </row>
    <row r="744" spans="1:18">
      <c r="A744" s="139"/>
      <c r="B744" s="139"/>
      <c r="C744" s="139"/>
      <c r="D744"/>
      <c r="E744"/>
      <c r="F744"/>
      <c r="G744"/>
      <c r="H744"/>
      <c r="I744"/>
      <c r="J744"/>
      <c r="K744"/>
      <c r="L744"/>
      <c r="M744"/>
      <c r="N744"/>
      <c r="O744"/>
      <c r="P744"/>
      <c r="Q744"/>
      <c r="R744"/>
    </row>
    <row r="745" spans="1:18">
      <c r="A745" s="139"/>
      <c r="B745" s="139"/>
      <c r="C745" s="139"/>
      <c r="D745"/>
      <c r="E745"/>
      <c r="F745"/>
      <c r="G745"/>
      <c r="H745"/>
      <c r="I745"/>
      <c r="J745"/>
      <c r="K745"/>
      <c r="L745"/>
      <c r="M745"/>
      <c r="N745"/>
      <c r="O745"/>
      <c r="P745"/>
      <c r="Q745"/>
      <c r="R745"/>
    </row>
    <row r="746" spans="1:18">
      <c r="A746" s="139"/>
      <c r="B746" s="139"/>
      <c r="C746" s="139"/>
      <c r="D746"/>
      <c r="E746"/>
      <c r="F746"/>
      <c r="G746"/>
      <c r="H746"/>
      <c r="I746"/>
      <c r="J746"/>
      <c r="K746"/>
      <c r="L746"/>
      <c r="M746"/>
      <c r="N746"/>
      <c r="O746"/>
      <c r="P746"/>
      <c r="Q746"/>
      <c r="R746"/>
    </row>
    <row r="747" spans="1:18">
      <c r="A747" s="139"/>
      <c r="B747" s="139"/>
      <c r="C747" s="139"/>
      <c r="D747"/>
      <c r="E747"/>
      <c r="F747"/>
      <c r="G747"/>
      <c r="H747"/>
      <c r="I747"/>
      <c r="J747"/>
      <c r="K747"/>
      <c r="L747"/>
      <c r="M747"/>
      <c r="N747"/>
      <c r="O747"/>
      <c r="P747"/>
      <c r="Q747"/>
      <c r="R747"/>
    </row>
    <row r="748" spans="1:18">
      <c r="A748" s="139"/>
      <c r="B748" s="139"/>
      <c r="C748" s="139"/>
      <c r="D748"/>
      <c r="E748"/>
      <c r="F748"/>
      <c r="G748"/>
      <c r="H748"/>
      <c r="I748"/>
      <c r="J748"/>
      <c r="K748"/>
      <c r="L748"/>
      <c r="M748"/>
      <c r="N748"/>
      <c r="O748"/>
      <c r="P748"/>
      <c r="Q748"/>
      <c r="R748"/>
    </row>
    <row r="749" spans="1:18">
      <c r="A749" s="139"/>
      <c r="B749" s="139"/>
      <c r="C749" s="139"/>
      <c r="D749"/>
      <c r="E749"/>
      <c r="F749"/>
      <c r="G749"/>
      <c r="H749"/>
      <c r="I749"/>
      <c r="J749"/>
      <c r="K749"/>
      <c r="L749"/>
      <c r="M749"/>
      <c r="N749"/>
      <c r="O749"/>
      <c r="P749"/>
      <c r="Q749"/>
      <c r="R749"/>
    </row>
    <row r="750" spans="1:18">
      <c r="A750" s="139"/>
      <c r="B750" s="139"/>
      <c r="C750" s="139"/>
      <c r="D750"/>
      <c r="E750"/>
      <c r="F750"/>
      <c r="G750"/>
      <c r="H750"/>
      <c r="I750"/>
      <c r="J750"/>
      <c r="K750"/>
      <c r="L750"/>
      <c r="M750"/>
      <c r="N750"/>
      <c r="O750"/>
      <c r="P750"/>
      <c r="Q750"/>
      <c r="R750"/>
    </row>
    <row r="751" spans="1:18">
      <c r="A751" s="139"/>
      <c r="B751" s="139"/>
      <c r="C751" s="139"/>
      <c r="D751"/>
      <c r="E751"/>
      <c r="F751"/>
      <c r="G751"/>
      <c r="H751"/>
      <c r="I751"/>
      <c r="J751"/>
      <c r="K751"/>
      <c r="L751"/>
      <c r="M751"/>
      <c r="N751"/>
      <c r="O751"/>
      <c r="P751"/>
      <c r="Q751"/>
      <c r="R751"/>
    </row>
    <row r="752" spans="1:18">
      <c r="A752" s="139"/>
      <c r="B752" s="139"/>
      <c r="C752" s="139"/>
      <c r="D752"/>
      <c r="E752"/>
      <c r="F752"/>
      <c r="G752"/>
      <c r="H752"/>
      <c r="I752"/>
      <c r="J752"/>
      <c r="K752"/>
      <c r="L752"/>
      <c r="M752"/>
      <c r="N752"/>
      <c r="O752"/>
      <c r="P752"/>
      <c r="Q752"/>
      <c r="R752"/>
    </row>
    <row r="753" spans="1:18">
      <c r="A753" s="139"/>
      <c r="B753" s="139"/>
      <c r="C753" s="139"/>
      <c r="D753"/>
      <c r="E753"/>
      <c r="F753"/>
      <c r="G753"/>
      <c r="H753"/>
      <c r="I753"/>
      <c r="J753"/>
      <c r="K753"/>
      <c r="L753"/>
      <c r="M753"/>
      <c r="N753"/>
      <c r="O753"/>
      <c r="P753"/>
      <c r="Q753"/>
      <c r="R753"/>
    </row>
    <row r="754" spans="1:18">
      <c r="A754" s="139"/>
      <c r="B754" s="139"/>
      <c r="C754" s="139"/>
      <c r="D754"/>
      <c r="E754"/>
      <c r="F754"/>
      <c r="G754"/>
      <c r="H754"/>
      <c r="I754"/>
      <c r="J754"/>
      <c r="K754"/>
      <c r="L754"/>
      <c r="M754"/>
      <c r="N754"/>
      <c r="O754"/>
      <c r="P754"/>
      <c r="Q754"/>
      <c r="R754"/>
    </row>
    <row r="755" spans="1:18">
      <c r="A755" s="139"/>
      <c r="B755" s="139"/>
      <c r="C755" s="139"/>
      <c r="D755"/>
      <c r="E755"/>
      <c r="F755"/>
      <c r="G755"/>
      <c r="H755"/>
      <c r="I755"/>
      <c r="J755"/>
      <c r="K755"/>
      <c r="L755"/>
      <c r="M755"/>
      <c r="N755"/>
      <c r="O755"/>
      <c r="P755"/>
      <c r="Q755"/>
      <c r="R755"/>
    </row>
    <row r="756" spans="1:18">
      <c r="A756" s="139"/>
      <c r="B756" s="139"/>
      <c r="C756" s="139"/>
      <c r="D756"/>
      <c r="E756"/>
      <c r="F756"/>
      <c r="G756"/>
      <c r="H756"/>
      <c r="I756"/>
      <c r="J756"/>
      <c r="K756"/>
      <c r="L756"/>
      <c r="M756"/>
      <c r="N756"/>
      <c r="O756"/>
      <c r="P756"/>
      <c r="Q756"/>
      <c r="R756"/>
    </row>
    <row r="757" spans="1:18">
      <c r="A757" s="139"/>
      <c r="B757" s="139"/>
      <c r="C757" s="139"/>
      <c r="D757"/>
      <c r="E757"/>
      <c r="F757"/>
      <c r="G757"/>
      <c r="H757"/>
      <c r="I757"/>
      <c r="J757"/>
      <c r="K757"/>
      <c r="L757"/>
      <c r="M757"/>
      <c r="N757"/>
      <c r="O757"/>
      <c r="P757"/>
      <c r="Q757"/>
      <c r="R757"/>
    </row>
    <row r="758" spans="1:18">
      <c r="A758" s="139"/>
      <c r="B758" s="139"/>
      <c r="C758" s="139"/>
      <c r="D758"/>
      <c r="E758"/>
      <c r="F758"/>
      <c r="G758"/>
      <c r="H758"/>
      <c r="I758"/>
      <c r="J758"/>
      <c r="K758"/>
      <c r="L758"/>
      <c r="M758"/>
      <c r="N758"/>
      <c r="O758"/>
      <c r="P758"/>
      <c r="Q758"/>
      <c r="R758"/>
    </row>
    <row r="759" spans="1:18">
      <c r="A759" s="139"/>
      <c r="B759" s="139"/>
      <c r="C759" s="139"/>
      <c r="D759"/>
      <c r="E759"/>
      <c r="F759"/>
      <c r="G759"/>
      <c r="H759"/>
      <c r="I759"/>
      <c r="J759"/>
      <c r="K759"/>
      <c r="L759"/>
      <c r="M759"/>
      <c r="N759"/>
      <c r="O759"/>
      <c r="P759"/>
      <c r="Q759"/>
      <c r="R759"/>
    </row>
    <row r="760" spans="1:18">
      <c r="A760" s="139"/>
      <c r="B760" s="139"/>
      <c r="C760" s="139"/>
      <c r="D760"/>
      <c r="E760"/>
      <c r="F760"/>
      <c r="G760"/>
      <c r="H760"/>
      <c r="I760"/>
      <c r="J760"/>
      <c r="K760"/>
      <c r="L760"/>
      <c r="M760"/>
      <c r="N760"/>
      <c r="O760"/>
      <c r="P760"/>
      <c r="Q760"/>
      <c r="R760"/>
    </row>
    <row r="761" spans="1:18">
      <c r="A761" s="139"/>
      <c r="B761" s="139"/>
      <c r="C761" s="139"/>
      <c r="D761"/>
      <c r="E761"/>
      <c r="F761"/>
      <c r="G761"/>
      <c r="H761"/>
      <c r="I761"/>
      <c r="J761"/>
      <c r="K761"/>
      <c r="L761"/>
      <c r="M761"/>
      <c r="N761"/>
      <c r="O761"/>
      <c r="P761"/>
      <c r="Q761"/>
      <c r="R761"/>
    </row>
    <row r="762" spans="1:18">
      <c r="A762" s="139"/>
      <c r="B762" s="139"/>
      <c r="C762" s="139"/>
      <c r="D762"/>
      <c r="E762"/>
      <c r="F762"/>
      <c r="G762"/>
      <c r="H762"/>
      <c r="I762"/>
      <c r="J762"/>
      <c r="K762"/>
      <c r="L762"/>
      <c r="M762"/>
      <c r="N762"/>
      <c r="O762"/>
      <c r="P762"/>
      <c r="Q762"/>
      <c r="R762"/>
    </row>
    <row r="763" spans="1:18">
      <c r="A763" s="139"/>
      <c r="B763" s="139"/>
      <c r="C763" s="139"/>
      <c r="D763"/>
      <c r="E763"/>
      <c r="F763"/>
      <c r="G763"/>
      <c r="H763"/>
      <c r="I763"/>
      <c r="J763"/>
      <c r="K763"/>
      <c r="L763"/>
      <c r="M763"/>
      <c r="N763"/>
      <c r="O763"/>
      <c r="P763"/>
      <c r="Q763"/>
      <c r="R763"/>
    </row>
    <row r="764" spans="1:18">
      <c r="A764" s="139"/>
      <c r="B764" s="139"/>
      <c r="C764" s="139"/>
      <c r="D764"/>
      <c r="E764"/>
      <c r="F764"/>
      <c r="G764"/>
      <c r="H764"/>
      <c r="I764"/>
      <c r="J764"/>
      <c r="K764"/>
      <c r="L764"/>
      <c r="M764"/>
      <c r="N764"/>
      <c r="O764"/>
      <c r="P764"/>
      <c r="Q764"/>
      <c r="R764"/>
    </row>
    <row r="765" spans="1:18">
      <c r="A765" s="139"/>
      <c r="B765" s="139"/>
      <c r="C765" s="139"/>
      <c r="D765"/>
      <c r="E765"/>
      <c r="F765"/>
      <c r="G765"/>
      <c r="H765"/>
      <c r="I765"/>
      <c r="J765"/>
      <c r="K765"/>
      <c r="L765"/>
      <c r="M765"/>
      <c r="N765"/>
      <c r="O765"/>
      <c r="P765"/>
      <c r="Q765"/>
      <c r="R765"/>
    </row>
    <row r="766" spans="1:18">
      <c r="A766" s="139"/>
      <c r="B766" s="139"/>
      <c r="C766" s="139"/>
      <c r="D766"/>
      <c r="E766"/>
      <c r="F766"/>
      <c r="G766"/>
      <c r="H766"/>
      <c r="I766"/>
      <c r="J766"/>
      <c r="K766"/>
      <c r="L766"/>
      <c r="M766"/>
      <c r="N766"/>
      <c r="O766"/>
      <c r="P766"/>
      <c r="Q766"/>
      <c r="R766"/>
    </row>
    <row r="767" spans="1:18">
      <c r="A767" s="139"/>
      <c r="B767" s="139"/>
      <c r="C767" s="139"/>
      <c r="D767"/>
      <c r="E767"/>
      <c r="F767"/>
      <c r="G767"/>
      <c r="H767"/>
      <c r="I767"/>
      <c r="J767"/>
      <c r="K767"/>
      <c r="L767"/>
      <c r="M767"/>
      <c r="N767"/>
      <c r="O767"/>
      <c r="P767"/>
      <c r="Q767"/>
      <c r="R767"/>
    </row>
    <row r="768" spans="1:18">
      <c r="A768" s="139"/>
      <c r="B768" s="139"/>
      <c r="C768" s="139"/>
      <c r="D768"/>
      <c r="E768"/>
      <c r="F768"/>
      <c r="G768"/>
      <c r="H768"/>
      <c r="I768"/>
      <c r="J768"/>
      <c r="K768"/>
      <c r="L768"/>
      <c r="M768"/>
      <c r="N768"/>
      <c r="O768"/>
      <c r="P768"/>
      <c r="Q768"/>
      <c r="R768"/>
    </row>
    <row r="769" spans="1:18">
      <c r="A769" s="139"/>
      <c r="B769" s="139"/>
      <c r="C769" s="139"/>
      <c r="D769"/>
      <c r="E769"/>
      <c r="F769"/>
      <c r="G769"/>
      <c r="H769"/>
      <c r="I769"/>
      <c r="J769"/>
      <c r="K769"/>
      <c r="L769"/>
      <c r="M769"/>
      <c r="N769"/>
      <c r="O769"/>
      <c r="P769"/>
      <c r="Q769"/>
      <c r="R769"/>
    </row>
    <row r="770" spans="1:18">
      <c r="A770" s="139"/>
      <c r="B770" s="139"/>
      <c r="C770" s="139"/>
      <c r="D770"/>
      <c r="E770"/>
      <c r="F770"/>
      <c r="G770"/>
      <c r="H770"/>
      <c r="I770"/>
      <c r="J770"/>
      <c r="K770"/>
      <c r="L770"/>
      <c r="M770"/>
      <c r="N770"/>
      <c r="O770"/>
      <c r="P770"/>
      <c r="Q770"/>
      <c r="R770"/>
    </row>
    <row r="771" spans="1:18">
      <c r="A771" s="139"/>
      <c r="B771" s="139"/>
      <c r="C771" s="139"/>
      <c r="D771"/>
      <c r="E771"/>
      <c r="F771"/>
      <c r="G771"/>
      <c r="H771"/>
      <c r="I771"/>
      <c r="J771"/>
      <c r="K771"/>
      <c r="L771"/>
      <c r="M771"/>
      <c r="N771"/>
      <c r="O771"/>
      <c r="P771"/>
      <c r="Q771"/>
      <c r="R771"/>
    </row>
    <row r="772" spans="1:18">
      <c r="A772" s="139"/>
      <c r="B772" s="139"/>
      <c r="C772" s="139"/>
      <c r="D772"/>
      <c r="E772"/>
      <c r="F772"/>
      <c r="G772"/>
      <c r="H772"/>
      <c r="I772"/>
      <c r="J772"/>
      <c r="K772"/>
      <c r="L772"/>
      <c r="M772"/>
      <c r="N772"/>
      <c r="O772"/>
      <c r="P772"/>
      <c r="Q772"/>
      <c r="R772"/>
    </row>
    <row r="773" spans="1:18">
      <c r="A773" s="139"/>
      <c r="B773" s="139"/>
      <c r="C773" s="139"/>
      <c r="D773"/>
      <c r="E773"/>
      <c r="F773"/>
      <c r="G773"/>
      <c r="H773"/>
      <c r="I773"/>
      <c r="J773"/>
      <c r="K773"/>
      <c r="L773"/>
      <c r="M773"/>
      <c r="N773"/>
      <c r="O773"/>
      <c r="P773"/>
      <c r="Q773"/>
      <c r="R773"/>
    </row>
    <row r="774" spans="1:18">
      <c r="A774" s="139"/>
      <c r="B774" s="139"/>
      <c r="C774" s="139"/>
      <c r="D774"/>
      <c r="E774"/>
      <c r="F774"/>
      <c r="G774"/>
      <c r="H774"/>
      <c r="I774"/>
      <c r="J774"/>
      <c r="K774"/>
      <c r="L774"/>
      <c r="M774"/>
      <c r="N774"/>
      <c r="O774"/>
      <c r="P774"/>
      <c r="Q774"/>
      <c r="R774"/>
    </row>
    <row r="775" spans="1:18">
      <c r="A775" s="139"/>
      <c r="B775" s="139"/>
      <c r="C775" s="139"/>
      <c r="D775"/>
      <c r="E775"/>
      <c r="F775"/>
      <c r="G775"/>
      <c r="H775"/>
      <c r="I775"/>
      <c r="J775"/>
      <c r="K775"/>
      <c r="L775"/>
      <c r="M775"/>
      <c r="N775"/>
      <c r="O775"/>
      <c r="P775"/>
      <c r="Q775"/>
      <c r="R775"/>
    </row>
    <row r="776" spans="1:18">
      <c r="A776" s="139"/>
      <c r="B776" s="139"/>
      <c r="C776" s="139"/>
      <c r="D776"/>
      <c r="E776"/>
      <c r="F776"/>
      <c r="G776"/>
      <c r="H776"/>
      <c r="I776"/>
      <c r="J776"/>
      <c r="K776"/>
      <c r="L776"/>
      <c r="M776"/>
      <c r="N776"/>
      <c r="O776"/>
      <c r="P776"/>
      <c r="Q776"/>
      <c r="R776"/>
    </row>
    <row r="777" spans="1:18">
      <c r="A777" s="139"/>
      <c r="B777" s="139"/>
      <c r="C777" s="139"/>
      <c r="D777"/>
      <c r="E777"/>
      <c r="F777"/>
      <c r="G777"/>
      <c r="H777"/>
      <c r="I777"/>
      <c r="J777"/>
      <c r="K777"/>
      <c r="L777"/>
      <c r="M777"/>
      <c r="N777"/>
      <c r="O777"/>
      <c r="P777"/>
      <c r="Q777"/>
      <c r="R777"/>
    </row>
    <row r="778" spans="1:18">
      <c r="A778" s="139"/>
      <c r="B778" s="139"/>
      <c r="C778" s="139"/>
      <c r="D778"/>
      <c r="E778"/>
      <c r="F778"/>
      <c r="G778"/>
      <c r="H778"/>
      <c r="I778"/>
      <c r="J778"/>
      <c r="K778"/>
      <c r="L778"/>
      <c r="M778"/>
      <c r="N778"/>
      <c r="O778"/>
      <c r="P778"/>
      <c r="Q778"/>
      <c r="R778"/>
    </row>
    <row r="779" spans="1:18">
      <c r="A779" s="139"/>
      <c r="B779" s="139"/>
      <c r="C779" s="139"/>
      <c r="D779"/>
      <c r="E779"/>
      <c r="F779"/>
      <c r="G779"/>
      <c r="H779"/>
      <c r="I779"/>
      <c r="J779"/>
      <c r="K779"/>
      <c r="L779"/>
      <c r="M779"/>
      <c r="N779"/>
      <c r="O779"/>
      <c r="P779"/>
      <c r="Q779"/>
      <c r="R779"/>
    </row>
    <row r="780" spans="1:18">
      <c r="A780" s="139"/>
      <c r="B780" s="139"/>
      <c r="C780" s="139"/>
      <c r="D780"/>
      <c r="E780"/>
      <c r="F780"/>
      <c r="G780"/>
      <c r="H780"/>
      <c r="I780"/>
      <c r="J780"/>
      <c r="K780"/>
      <c r="L780"/>
      <c r="M780"/>
      <c r="N780"/>
      <c r="O780"/>
      <c r="P780"/>
      <c r="Q780"/>
      <c r="R780"/>
    </row>
    <row r="781" spans="1:18">
      <c r="A781" s="139"/>
      <c r="B781" s="139"/>
      <c r="C781" s="139"/>
      <c r="D781"/>
      <c r="E781"/>
      <c r="F781"/>
      <c r="G781"/>
      <c r="H781"/>
      <c r="I781"/>
      <c r="J781"/>
      <c r="K781"/>
      <c r="L781"/>
      <c r="M781"/>
      <c r="N781"/>
      <c r="O781"/>
      <c r="P781"/>
      <c r="Q781"/>
      <c r="R781"/>
    </row>
    <row r="782" spans="1:18">
      <c r="A782" s="139"/>
      <c r="B782" s="139"/>
      <c r="C782" s="139"/>
      <c r="D782"/>
      <c r="E782"/>
      <c r="F782"/>
      <c r="G782"/>
      <c r="H782"/>
      <c r="I782"/>
      <c r="J782"/>
      <c r="K782"/>
      <c r="L782"/>
      <c r="M782"/>
      <c r="N782"/>
      <c r="O782"/>
      <c r="P782"/>
      <c r="Q782"/>
      <c r="R782"/>
    </row>
    <row r="783" spans="1:18">
      <c r="A783" s="139"/>
      <c r="B783" s="139"/>
      <c r="C783" s="139"/>
      <c r="D783"/>
      <c r="E783"/>
      <c r="F783"/>
      <c r="G783"/>
      <c r="H783"/>
      <c r="I783"/>
      <c r="J783"/>
      <c r="K783"/>
      <c r="L783"/>
      <c r="M783"/>
      <c r="N783"/>
      <c r="O783"/>
      <c r="P783"/>
      <c r="Q783"/>
      <c r="R783"/>
    </row>
    <row r="784" spans="1:18">
      <c r="A784" s="139"/>
      <c r="B784" s="139"/>
      <c r="C784" s="139"/>
      <c r="D784"/>
      <c r="E784"/>
      <c r="F784"/>
      <c r="G784"/>
      <c r="H784"/>
      <c r="I784"/>
      <c r="J784"/>
      <c r="K784"/>
      <c r="L784"/>
      <c r="M784"/>
      <c r="N784"/>
      <c r="O784"/>
      <c r="P784"/>
      <c r="Q784"/>
      <c r="R784"/>
    </row>
    <row r="785" spans="1:18">
      <c r="A785" s="139"/>
      <c r="B785" s="139"/>
      <c r="C785" s="139"/>
      <c r="D785"/>
      <c r="E785"/>
      <c r="F785"/>
      <c r="G785"/>
      <c r="H785"/>
      <c r="I785"/>
      <c r="J785"/>
      <c r="K785"/>
      <c r="L785"/>
      <c r="M785"/>
      <c r="N785"/>
      <c r="O785"/>
      <c r="P785"/>
      <c r="Q785"/>
      <c r="R785"/>
    </row>
    <row r="786" spans="1:18">
      <c r="A786" s="139"/>
      <c r="B786" s="139"/>
      <c r="C786" s="139"/>
      <c r="D786"/>
      <c r="E786"/>
      <c r="F786"/>
      <c r="G786"/>
      <c r="H786"/>
      <c r="I786"/>
      <c r="J786"/>
      <c r="K786"/>
      <c r="L786"/>
      <c r="M786"/>
      <c r="N786"/>
      <c r="O786"/>
      <c r="P786"/>
      <c r="Q786"/>
      <c r="R786"/>
    </row>
    <row r="787" spans="1:18">
      <c r="A787" s="139"/>
      <c r="B787" s="139"/>
      <c r="C787" s="139"/>
      <c r="D787"/>
      <c r="E787"/>
      <c r="F787"/>
      <c r="G787"/>
      <c r="H787"/>
      <c r="I787"/>
      <c r="J787"/>
      <c r="K787"/>
      <c r="L787"/>
      <c r="M787"/>
      <c r="N787"/>
      <c r="O787"/>
      <c r="P787"/>
      <c r="Q787"/>
      <c r="R787"/>
    </row>
    <row r="788" spans="1:18">
      <c r="A788" s="139"/>
      <c r="B788" s="139"/>
      <c r="C788" s="139"/>
      <c r="D788"/>
      <c r="E788"/>
      <c r="F788"/>
      <c r="G788"/>
      <c r="H788"/>
      <c r="I788"/>
      <c r="J788"/>
      <c r="K788"/>
      <c r="L788"/>
      <c r="M788"/>
      <c r="N788"/>
      <c r="O788"/>
      <c r="P788"/>
      <c r="Q788"/>
      <c r="R788"/>
    </row>
    <row r="789" spans="1:18">
      <c r="A789" s="139"/>
      <c r="B789" s="139"/>
      <c r="C789" s="139"/>
      <c r="D789"/>
      <c r="E789"/>
      <c r="F789"/>
      <c r="G789"/>
      <c r="H789"/>
      <c r="I789"/>
      <c r="J789"/>
      <c r="K789"/>
      <c r="L789"/>
      <c r="M789"/>
      <c r="N789"/>
      <c r="O789"/>
      <c r="P789"/>
      <c r="Q789"/>
      <c r="R789"/>
    </row>
    <row r="790" spans="1:18">
      <c r="A790" s="139"/>
      <c r="B790" s="139"/>
      <c r="C790" s="139"/>
      <c r="D790"/>
      <c r="E790"/>
      <c r="F790"/>
      <c r="G790"/>
      <c r="H790"/>
      <c r="I790"/>
      <c r="J790"/>
      <c r="K790"/>
      <c r="L790"/>
      <c r="M790"/>
      <c r="N790"/>
      <c r="O790"/>
      <c r="P790"/>
      <c r="Q790"/>
      <c r="R790"/>
    </row>
    <row r="791" spans="1:18">
      <c r="A791" s="139"/>
      <c r="B791" s="139"/>
      <c r="C791" s="139"/>
      <c r="D791"/>
      <c r="E791"/>
      <c r="F791"/>
      <c r="G791"/>
      <c r="H791"/>
      <c r="I791"/>
      <c r="J791"/>
      <c r="K791"/>
      <c r="L791"/>
      <c r="M791"/>
      <c r="N791"/>
      <c r="O791"/>
      <c r="P791"/>
      <c r="Q791"/>
      <c r="R791"/>
    </row>
    <row r="792" spans="1:18">
      <c r="A792" s="139"/>
      <c r="B792" s="139"/>
      <c r="C792" s="139"/>
      <c r="D792"/>
      <c r="E792"/>
      <c r="F792"/>
      <c r="G792"/>
      <c r="H792"/>
      <c r="I792"/>
      <c r="J792"/>
      <c r="K792"/>
      <c r="L792"/>
      <c r="M792"/>
      <c r="N792"/>
      <c r="O792"/>
      <c r="P792"/>
      <c r="Q792"/>
      <c r="R792"/>
    </row>
    <row r="793" spans="1:18">
      <c r="A793" s="139"/>
      <c r="B793" s="139"/>
      <c r="C793" s="139"/>
      <c r="D793"/>
      <c r="E793"/>
      <c r="F793"/>
      <c r="G793"/>
      <c r="H793"/>
      <c r="I793"/>
      <c r="J793"/>
      <c r="K793"/>
      <c r="L793"/>
      <c r="M793"/>
      <c r="N793"/>
      <c r="O793"/>
      <c r="P793"/>
      <c r="Q793"/>
      <c r="R793"/>
    </row>
    <row r="794" spans="1:18">
      <c r="A794" s="139"/>
      <c r="B794" s="139"/>
      <c r="C794" s="139"/>
      <c r="D794"/>
      <c r="E794"/>
      <c r="F794"/>
      <c r="G794"/>
      <c r="H794"/>
      <c r="I794"/>
      <c r="J794"/>
      <c r="K794"/>
      <c r="L794"/>
      <c r="M794"/>
      <c r="N794"/>
      <c r="O794"/>
      <c r="P794"/>
      <c r="Q794"/>
      <c r="R794"/>
    </row>
    <row r="795" spans="1:18">
      <c r="A795" s="139"/>
      <c r="B795" s="139"/>
      <c r="C795" s="139"/>
      <c r="D795"/>
      <c r="E795"/>
      <c r="F795"/>
      <c r="G795"/>
      <c r="H795"/>
      <c r="I795"/>
      <c r="J795"/>
      <c r="K795"/>
      <c r="L795"/>
      <c r="M795"/>
      <c r="N795"/>
      <c r="O795"/>
      <c r="P795"/>
      <c r="Q795"/>
      <c r="R795"/>
    </row>
    <row r="796" spans="1:18">
      <c r="A796" s="139"/>
      <c r="B796" s="139"/>
      <c r="C796" s="139"/>
      <c r="D796"/>
      <c r="E796"/>
      <c r="F796"/>
      <c r="G796"/>
      <c r="H796"/>
      <c r="I796"/>
      <c r="J796"/>
      <c r="K796"/>
      <c r="L796"/>
      <c r="M796"/>
      <c r="N796"/>
      <c r="O796"/>
      <c r="P796"/>
      <c r="Q796"/>
      <c r="R796"/>
    </row>
    <row r="797" spans="1:18">
      <c r="A797" s="139"/>
      <c r="B797" s="139"/>
      <c r="C797" s="139"/>
      <c r="D797"/>
      <c r="E797"/>
      <c r="F797"/>
      <c r="G797"/>
      <c r="H797"/>
      <c r="I797"/>
      <c r="J797"/>
      <c r="K797"/>
      <c r="L797"/>
      <c r="M797"/>
      <c r="N797"/>
      <c r="O797"/>
      <c r="P797"/>
      <c r="Q797"/>
      <c r="R797"/>
    </row>
    <row r="798" spans="1:18">
      <c r="A798" s="139"/>
      <c r="B798" s="139"/>
      <c r="C798" s="139"/>
      <c r="D798"/>
      <c r="E798"/>
      <c r="F798"/>
      <c r="G798"/>
      <c r="H798"/>
      <c r="I798"/>
      <c r="J798"/>
      <c r="K798"/>
      <c r="L798"/>
      <c r="M798"/>
      <c r="N798"/>
      <c r="O798"/>
      <c r="P798"/>
      <c r="Q798"/>
      <c r="R798"/>
    </row>
    <row r="799" spans="1:18">
      <c r="A799" s="139"/>
      <c r="B799" s="139"/>
      <c r="C799" s="139"/>
      <c r="D799"/>
      <c r="E799"/>
      <c r="F799"/>
      <c r="G799"/>
      <c r="H799"/>
      <c r="I799"/>
      <c r="J799"/>
      <c r="K799"/>
      <c r="L799"/>
      <c r="M799"/>
      <c r="N799"/>
      <c r="O799"/>
      <c r="P799"/>
      <c r="Q799"/>
      <c r="R799"/>
    </row>
    <row r="800" spans="1:18">
      <c r="A800" s="139"/>
      <c r="B800" s="139"/>
      <c r="C800" s="139"/>
      <c r="D800"/>
      <c r="E800"/>
      <c r="F800"/>
      <c r="G800"/>
      <c r="H800"/>
      <c r="I800"/>
      <c r="J800"/>
      <c r="K800"/>
      <c r="L800"/>
      <c r="M800"/>
      <c r="N800"/>
      <c r="O800"/>
      <c r="P800"/>
      <c r="Q800"/>
      <c r="R800"/>
    </row>
    <row r="801" spans="1:18">
      <c r="A801" s="139"/>
      <c r="B801" s="139"/>
      <c r="C801" s="139"/>
      <c r="D801"/>
      <c r="E801"/>
      <c r="F801"/>
      <c r="G801"/>
      <c r="H801"/>
      <c r="I801"/>
      <c r="J801"/>
      <c r="K801"/>
      <c r="L801"/>
      <c r="M801"/>
      <c r="N801"/>
      <c r="O801"/>
      <c r="P801"/>
      <c r="Q801"/>
      <c r="R801"/>
    </row>
    <row r="802" spans="1:18">
      <c r="A802" s="139"/>
      <c r="B802" s="139"/>
      <c r="C802" s="139"/>
      <c r="D802"/>
      <c r="E802"/>
      <c r="F802"/>
      <c r="G802"/>
      <c r="H802"/>
      <c r="I802"/>
      <c r="J802"/>
      <c r="K802"/>
      <c r="L802"/>
      <c r="M802"/>
      <c r="N802"/>
      <c r="O802"/>
      <c r="P802"/>
      <c r="Q802"/>
      <c r="R802"/>
    </row>
    <row r="803" spans="1:18">
      <c r="A803" s="139"/>
      <c r="B803" s="139"/>
      <c r="C803" s="139"/>
      <c r="D803"/>
      <c r="E803"/>
      <c r="F803"/>
      <c r="G803"/>
      <c r="H803"/>
      <c r="I803"/>
      <c r="J803"/>
      <c r="K803"/>
      <c r="L803"/>
      <c r="M803"/>
      <c r="N803"/>
      <c r="O803"/>
      <c r="P803"/>
      <c r="Q803"/>
      <c r="R803"/>
    </row>
    <row r="804" spans="1:18">
      <c r="A804" s="139"/>
      <c r="B804" s="139"/>
      <c r="C804" s="139"/>
      <c r="D804"/>
      <c r="E804"/>
      <c r="F804"/>
      <c r="G804"/>
      <c r="H804"/>
      <c r="I804"/>
      <c r="J804"/>
      <c r="K804"/>
      <c r="L804"/>
      <c r="M804"/>
      <c r="N804"/>
      <c r="O804"/>
      <c r="P804"/>
      <c r="Q804"/>
      <c r="R804"/>
    </row>
    <row r="805" spans="1:18">
      <c r="A805" s="139"/>
      <c r="B805" s="139"/>
      <c r="C805" s="139"/>
      <c r="D805"/>
      <c r="E805"/>
      <c r="F805"/>
      <c r="G805"/>
      <c r="H805"/>
      <c r="I805"/>
      <c r="J805"/>
      <c r="K805"/>
      <c r="L805"/>
      <c r="M805"/>
      <c r="N805"/>
      <c r="O805"/>
      <c r="P805"/>
      <c r="Q805"/>
      <c r="R805"/>
    </row>
    <row r="806" spans="1:18">
      <c r="A806" s="139"/>
      <c r="B806" s="139"/>
      <c r="C806" s="139"/>
      <c r="D806"/>
      <c r="E806"/>
      <c r="F806"/>
      <c r="G806"/>
      <c r="H806"/>
      <c r="I806"/>
      <c r="J806"/>
      <c r="K806"/>
      <c r="L806"/>
      <c r="M806"/>
      <c r="N806"/>
      <c r="O806"/>
      <c r="P806"/>
      <c r="Q806"/>
      <c r="R806"/>
    </row>
    <row r="807" spans="1:18">
      <c r="A807" s="139"/>
      <c r="B807" s="139"/>
      <c r="C807" s="139"/>
      <c r="D807"/>
      <c r="E807"/>
      <c r="F807"/>
      <c r="G807"/>
      <c r="H807"/>
      <c r="I807"/>
      <c r="J807"/>
      <c r="K807"/>
      <c r="L807"/>
      <c r="M807"/>
      <c r="N807"/>
      <c r="O807"/>
      <c r="P807"/>
      <c r="Q807"/>
      <c r="R807"/>
    </row>
    <row r="808" spans="1:18">
      <c r="A808" s="139"/>
      <c r="B808" s="139"/>
      <c r="C808" s="139"/>
      <c r="D808"/>
      <c r="E808"/>
      <c r="F808"/>
      <c r="G808"/>
      <c r="H808"/>
      <c r="I808"/>
      <c r="J808"/>
      <c r="K808"/>
      <c r="L808"/>
      <c r="M808"/>
      <c r="N808"/>
      <c r="O808"/>
      <c r="P808"/>
      <c r="Q808"/>
      <c r="R808"/>
    </row>
    <row r="809" spans="1:18">
      <c r="A809" s="139"/>
      <c r="B809" s="139"/>
      <c r="C809" s="139"/>
      <c r="D809"/>
      <c r="E809"/>
      <c r="F809"/>
      <c r="G809"/>
      <c r="H809"/>
      <c r="I809"/>
      <c r="J809"/>
      <c r="K809"/>
      <c r="L809"/>
      <c r="M809"/>
      <c r="N809"/>
      <c r="O809"/>
      <c r="P809"/>
      <c r="Q809"/>
      <c r="R809"/>
    </row>
    <row r="810" spans="1:18">
      <c r="A810" s="139"/>
      <c r="B810" s="139"/>
      <c r="C810" s="139"/>
      <c r="D810"/>
      <c r="E810"/>
      <c r="F810"/>
      <c r="G810"/>
      <c r="H810"/>
      <c r="I810"/>
      <c r="J810"/>
      <c r="K810"/>
      <c r="L810"/>
      <c r="M810"/>
      <c r="N810"/>
      <c r="O810"/>
      <c r="P810"/>
      <c r="Q810"/>
      <c r="R810"/>
    </row>
    <row r="811" spans="1:18">
      <c r="A811" s="139"/>
      <c r="B811" s="139"/>
      <c r="C811" s="139"/>
      <c r="D811"/>
      <c r="E811"/>
      <c r="F811"/>
      <c r="G811"/>
      <c r="H811"/>
      <c r="I811"/>
      <c r="J811"/>
      <c r="K811"/>
      <c r="L811"/>
      <c r="M811"/>
      <c r="N811"/>
      <c r="O811"/>
      <c r="P811"/>
      <c r="Q811"/>
      <c r="R811"/>
    </row>
    <row r="812" spans="1:18">
      <c r="A812" s="139"/>
      <c r="B812" s="139"/>
      <c r="C812" s="139"/>
      <c r="D812"/>
      <c r="E812"/>
      <c r="F812"/>
      <c r="G812"/>
      <c r="H812"/>
      <c r="I812"/>
      <c r="J812"/>
      <c r="K812"/>
      <c r="L812"/>
      <c r="M812"/>
      <c r="N812"/>
      <c r="O812"/>
      <c r="P812"/>
      <c r="Q812"/>
      <c r="R812"/>
    </row>
    <row r="813" spans="1:18">
      <c r="A813" s="139"/>
      <c r="B813" s="139"/>
      <c r="C813" s="139"/>
      <c r="D813"/>
      <c r="E813"/>
      <c r="F813"/>
      <c r="G813"/>
      <c r="H813"/>
      <c r="I813"/>
      <c r="J813"/>
      <c r="K813"/>
      <c r="L813"/>
      <c r="M813"/>
      <c r="N813"/>
      <c r="O813"/>
      <c r="P813"/>
      <c r="Q813"/>
      <c r="R813"/>
    </row>
    <row r="814" spans="1:18">
      <c r="A814" s="139"/>
      <c r="B814" s="139"/>
      <c r="C814" s="139"/>
      <c r="D814"/>
      <c r="E814"/>
      <c r="F814"/>
      <c r="G814"/>
      <c r="H814"/>
      <c r="I814"/>
      <c r="J814"/>
      <c r="K814"/>
      <c r="L814"/>
      <c r="M814"/>
      <c r="N814"/>
      <c r="O814"/>
      <c r="P814"/>
      <c r="Q814"/>
      <c r="R814"/>
    </row>
    <row r="815" spans="1:18">
      <c r="A815" s="139"/>
      <c r="B815" s="139"/>
      <c r="C815" s="139"/>
      <c r="D815"/>
      <c r="E815"/>
      <c r="F815"/>
      <c r="G815"/>
      <c r="H815"/>
      <c r="I815"/>
      <c r="J815"/>
      <c r="K815"/>
      <c r="L815"/>
      <c r="M815"/>
      <c r="N815"/>
      <c r="O815"/>
      <c r="P815"/>
      <c r="Q815"/>
      <c r="R815"/>
    </row>
    <row r="816" spans="1:18">
      <c r="A816" s="139"/>
      <c r="B816" s="139"/>
      <c r="C816" s="139"/>
      <c r="D816"/>
      <c r="E816"/>
      <c r="F816"/>
      <c r="G816"/>
      <c r="H816"/>
      <c r="I816"/>
      <c r="J816"/>
      <c r="K816"/>
      <c r="L816"/>
      <c r="M816"/>
      <c r="N816"/>
      <c r="O816"/>
      <c r="P816"/>
      <c r="Q816"/>
      <c r="R816"/>
    </row>
    <row r="817" spans="1:18">
      <c r="A817" s="139"/>
      <c r="B817" s="139"/>
      <c r="C817" s="139"/>
      <c r="D817"/>
      <c r="E817"/>
      <c r="F817"/>
      <c r="G817"/>
      <c r="H817"/>
      <c r="I817"/>
      <c r="J817"/>
      <c r="K817"/>
      <c r="L817"/>
      <c r="M817"/>
      <c r="N817"/>
      <c r="O817"/>
      <c r="P817"/>
      <c r="Q817"/>
      <c r="R817"/>
    </row>
    <row r="818" spans="1:18">
      <c r="A818" s="139"/>
      <c r="B818" s="139"/>
      <c r="C818" s="139"/>
      <c r="D818"/>
      <c r="E818"/>
      <c r="F818"/>
      <c r="G818"/>
      <c r="H818"/>
      <c r="I818"/>
      <c r="J818"/>
      <c r="K818"/>
      <c r="L818"/>
      <c r="M818"/>
      <c r="N818"/>
      <c r="O818"/>
      <c r="P818"/>
      <c r="Q818"/>
      <c r="R818"/>
    </row>
    <row r="819" spans="1:18">
      <c r="A819" s="139"/>
      <c r="B819" s="139"/>
      <c r="C819" s="139"/>
      <c r="D819"/>
      <c r="E819"/>
      <c r="F819"/>
      <c r="G819"/>
      <c r="H819"/>
      <c r="I819"/>
      <c r="J819"/>
      <c r="K819"/>
      <c r="L819"/>
      <c r="M819"/>
      <c r="N819"/>
      <c r="O819"/>
      <c r="P819"/>
      <c r="Q819"/>
      <c r="R819"/>
    </row>
    <row r="820" spans="1:18">
      <c r="A820" s="139"/>
      <c r="B820" s="139"/>
      <c r="C820" s="139"/>
      <c r="D820"/>
      <c r="E820"/>
      <c r="F820"/>
      <c r="G820"/>
      <c r="H820"/>
      <c r="I820"/>
      <c r="J820"/>
      <c r="K820"/>
      <c r="L820"/>
      <c r="M820"/>
      <c r="N820"/>
      <c r="O820"/>
      <c r="P820"/>
      <c r="Q820"/>
      <c r="R820"/>
    </row>
    <row r="821" spans="1:18">
      <c r="A821" s="139"/>
      <c r="B821" s="139"/>
      <c r="C821" s="139"/>
      <c r="D821"/>
      <c r="E821"/>
      <c r="F821"/>
      <c r="G821"/>
      <c r="H821"/>
      <c r="I821"/>
      <c r="J821"/>
      <c r="K821"/>
      <c r="L821"/>
      <c r="M821"/>
      <c r="N821"/>
      <c r="O821"/>
      <c r="P821"/>
      <c r="Q821"/>
      <c r="R821"/>
    </row>
    <row r="822" spans="1:18">
      <c r="A822" s="139"/>
      <c r="B822" s="139"/>
      <c r="C822" s="139"/>
      <c r="D822"/>
      <c r="E822"/>
      <c r="F822"/>
      <c r="G822"/>
      <c r="H822"/>
      <c r="I822"/>
      <c r="J822"/>
      <c r="K822"/>
      <c r="L822"/>
      <c r="M822"/>
      <c r="N822"/>
      <c r="O822"/>
      <c r="P822"/>
      <c r="Q822"/>
      <c r="R822"/>
    </row>
    <row r="823" spans="1:18">
      <c r="A823" s="139"/>
      <c r="B823" s="139"/>
      <c r="C823" s="139"/>
      <c r="D823"/>
      <c r="E823"/>
      <c r="F823"/>
      <c r="G823"/>
      <c r="H823"/>
      <c r="I823"/>
      <c r="J823"/>
      <c r="K823"/>
      <c r="L823"/>
      <c r="M823"/>
      <c r="N823"/>
      <c r="O823"/>
      <c r="P823"/>
      <c r="Q823"/>
      <c r="R823"/>
    </row>
    <row r="824" spans="1:18">
      <c r="A824" s="139"/>
      <c r="B824" s="139"/>
      <c r="C824" s="139"/>
      <c r="D824"/>
      <c r="E824"/>
      <c r="F824"/>
      <c r="G824"/>
      <c r="H824"/>
      <c r="I824"/>
      <c r="J824"/>
      <c r="K824"/>
      <c r="L824"/>
      <c r="M824"/>
      <c r="N824"/>
      <c r="O824"/>
      <c r="P824"/>
      <c r="Q824"/>
      <c r="R824"/>
    </row>
    <row r="825" spans="1:18">
      <c r="A825" s="139"/>
      <c r="B825" s="139"/>
      <c r="C825" s="139"/>
      <c r="D825"/>
      <c r="E825"/>
      <c r="F825"/>
      <c r="G825"/>
      <c r="H825"/>
      <c r="I825"/>
      <c r="J825"/>
      <c r="K825"/>
      <c r="L825"/>
      <c r="M825"/>
      <c r="N825"/>
      <c r="O825"/>
      <c r="P825"/>
      <c r="Q825"/>
      <c r="R825"/>
    </row>
    <row r="826" spans="1:18">
      <c r="A826" s="139"/>
      <c r="B826" s="139"/>
      <c r="C826" s="139"/>
      <c r="D826"/>
      <c r="E826"/>
      <c r="F826"/>
      <c r="G826"/>
      <c r="H826"/>
      <c r="I826"/>
      <c r="J826"/>
      <c r="K826"/>
      <c r="L826"/>
      <c r="M826"/>
      <c r="N826"/>
      <c r="O826"/>
      <c r="P826"/>
      <c r="Q826"/>
      <c r="R826"/>
    </row>
    <row r="827" spans="1:18">
      <c r="A827" s="139"/>
      <c r="B827" s="139"/>
      <c r="C827" s="139"/>
      <c r="D827"/>
      <c r="E827"/>
      <c r="F827"/>
      <c r="G827"/>
      <c r="H827"/>
      <c r="I827"/>
      <c r="J827"/>
      <c r="K827"/>
      <c r="L827"/>
      <c r="M827"/>
      <c r="N827"/>
      <c r="O827"/>
      <c r="P827"/>
      <c r="Q827"/>
      <c r="R827"/>
    </row>
    <row r="828" spans="1:18">
      <c r="A828" s="139"/>
      <c r="B828" s="139"/>
      <c r="C828" s="139"/>
      <c r="D828"/>
      <c r="E828"/>
      <c r="F828"/>
      <c r="G828"/>
      <c r="H828"/>
      <c r="I828"/>
      <c r="J828"/>
      <c r="K828"/>
      <c r="L828"/>
      <c r="M828"/>
      <c r="N828"/>
      <c r="O828"/>
      <c r="P828"/>
      <c r="Q828"/>
      <c r="R828"/>
    </row>
    <row r="829" spans="1:18">
      <c r="A829" s="139"/>
      <c r="B829" s="139"/>
      <c r="C829" s="139"/>
      <c r="D829"/>
      <c r="E829"/>
      <c r="F829"/>
      <c r="G829"/>
      <c r="H829"/>
      <c r="I829"/>
      <c r="J829"/>
      <c r="K829"/>
      <c r="L829"/>
      <c r="M829"/>
      <c r="N829"/>
      <c r="O829"/>
      <c r="P829"/>
      <c r="Q829"/>
      <c r="R829"/>
    </row>
    <row r="830" spans="1:18">
      <c r="A830" s="139"/>
      <c r="B830" s="139"/>
      <c r="C830" s="139"/>
      <c r="D830"/>
      <c r="E830"/>
      <c r="F830"/>
      <c r="G830"/>
      <c r="H830"/>
      <c r="I830"/>
      <c r="J830"/>
      <c r="K830"/>
      <c r="L830"/>
      <c r="M830"/>
      <c r="N830"/>
      <c r="O830"/>
      <c r="P830"/>
      <c r="Q830"/>
      <c r="R830"/>
    </row>
    <row r="831" spans="1:18">
      <c r="P831"/>
      <c r="Q831"/>
      <c r="R831"/>
    </row>
    <row r="832" spans="1:18">
      <c r="P832"/>
      <c r="Q832"/>
      <c r="R832"/>
    </row>
    <row r="833" spans="16:18">
      <c r="P833"/>
      <c r="Q833"/>
      <c r="R833"/>
    </row>
    <row r="834" spans="16:18">
      <c r="P834"/>
      <c r="Q834"/>
      <c r="R834"/>
    </row>
    <row r="835" spans="16:18">
      <c r="P835"/>
      <c r="Q835"/>
      <c r="R835"/>
    </row>
    <row r="836" spans="16:18">
      <c r="P836"/>
      <c r="Q836"/>
      <c r="R836"/>
    </row>
  </sheetData>
  <sheetProtection sort="0"/>
  <phoneticPr fontId="22"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998C-9752-6242-A6B5-B2C88AFF3D3F}">
  <dimension ref="A1:A45"/>
  <sheetViews>
    <sheetView tabSelected="1" topLeftCell="A13" zoomScaleNormal="100" workbookViewId="0">
      <selection activeCell="A35" sqref="A35"/>
    </sheetView>
    <sheetView workbookViewId="1"/>
  </sheetViews>
  <sheetFormatPr baseColWidth="10" defaultRowHeight="16"/>
  <cols>
    <col min="1" max="1" width="246.83203125" customWidth="1"/>
  </cols>
  <sheetData>
    <row r="1" spans="1:1">
      <c r="A1" s="190" t="s">
        <v>1001</v>
      </c>
    </row>
    <row r="2" spans="1:1">
      <c r="A2" s="190" t="s">
        <v>1002</v>
      </c>
    </row>
    <row r="3" spans="1:1">
      <c r="A3" s="190" t="s">
        <v>1003</v>
      </c>
    </row>
    <row r="4" spans="1:1">
      <c r="A4" s="190" t="s">
        <v>1004</v>
      </c>
    </row>
    <row r="5" spans="1:1">
      <c r="A5" s="190" t="s">
        <v>1005</v>
      </c>
    </row>
    <row r="6" spans="1:1">
      <c r="A6" s="190" t="s">
        <v>1006</v>
      </c>
    </row>
    <row r="7" spans="1:1">
      <c r="A7" s="190" t="s">
        <v>1007</v>
      </c>
    </row>
    <row r="8" spans="1:1">
      <c r="A8" s="190" t="s">
        <v>1008</v>
      </c>
    </row>
    <row r="9" spans="1:1">
      <c r="A9" s="190" t="s">
        <v>1009</v>
      </c>
    </row>
    <row r="10" spans="1:1">
      <c r="A10" s="190" t="s">
        <v>1010</v>
      </c>
    </row>
    <row r="11" spans="1:1">
      <c r="A11" s="190" t="s">
        <v>1011</v>
      </c>
    </row>
    <row r="12" spans="1:1">
      <c r="A12" s="190" t="s">
        <v>1012</v>
      </c>
    </row>
    <row r="13" spans="1:1">
      <c r="A13" s="190" t="s">
        <v>1013</v>
      </c>
    </row>
    <row r="14" spans="1:1">
      <c r="A14" s="190" t="s">
        <v>1014</v>
      </c>
    </row>
    <row r="15" spans="1:1">
      <c r="A15" s="190" t="s">
        <v>1015</v>
      </c>
    </row>
    <row r="16" spans="1:1">
      <c r="A16" s="190" t="s">
        <v>1016</v>
      </c>
    </row>
    <row r="17" spans="1:1">
      <c r="A17" s="190" t="s">
        <v>1017</v>
      </c>
    </row>
    <row r="18" spans="1:1">
      <c r="A18" s="190" t="s">
        <v>1018</v>
      </c>
    </row>
    <row r="19" spans="1:1">
      <c r="A19" s="190" t="s">
        <v>1044</v>
      </c>
    </row>
    <row r="20" spans="1:1">
      <c r="A20" s="190" t="s">
        <v>1019</v>
      </c>
    </row>
    <row r="21" spans="1:1">
      <c r="A21" s="190" t="s">
        <v>1020</v>
      </c>
    </row>
    <row r="22" spans="1:1">
      <c r="A22" s="190" t="s">
        <v>1021</v>
      </c>
    </row>
    <row r="23" spans="1:1">
      <c r="A23" s="190" t="s">
        <v>1022</v>
      </c>
    </row>
    <row r="24" spans="1:1">
      <c r="A24" s="190" t="s">
        <v>1023</v>
      </c>
    </row>
    <row r="25" spans="1:1">
      <c r="A25" s="190" t="s">
        <v>1024</v>
      </c>
    </row>
    <row r="26" spans="1:1">
      <c r="A26" s="190" t="s">
        <v>1025</v>
      </c>
    </row>
    <row r="27" spans="1:1">
      <c r="A27" s="191" t="s">
        <v>1026</v>
      </c>
    </row>
    <row r="28" spans="1:1">
      <c r="A28" s="190" t="s">
        <v>1027</v>
      </c>
    </row>
    <row r="29" spans="1:1">
      <c r="A29" s="190" t="s">
        <v>1028</v>
      </c>
    </row>
    <row r="30" spans="1:1">
      <c r="A30" s="190" t="s">
        <v>1029</v>
      </c>
    </row>
    <row r="31" spans="1:1">
      <c r="A31" s="190" t="s">
        <v>1030</v>
      </c>
    </row>
    <row r="32" spans="1:1">
      <c r="A32" s="190" t="s">
        <v>1031</v>
      </c>
    </row>
    <row r="33" spans="1:1">
      <c r="A33" s="190" t="s">
        <v>1032</v>
      </c>
    </row>
    <row r="34" spans="1:1">
      <c r="A34" s="190" t="s">
        <v>1045</v>
      </c>
    </row>
    <row r="35" spans="1:1">
      <c r="A35" s="190" t="s">
        <v>1033</v>
      </c>
    </row>
    <row r="36" spans="1:1">
      <c r="A36" s="190" t="s">
        <v>1034</v>
      </c>
    </row>
    <row r="37" spans="1:1">
      <c r="A37" s="190" t="s">
        <v>1035</v>
      </c>
    </row>
    <row r="38" spans="1:1">
      <c r="A38" s="190" t="s">
        <v>1036</v>
      </c>
    </row>
    <row r="39" spans="1:1">
      <c r="A39" s="190" t="s">
        <v>1037</v>
      </c>
    </row>
    <row r="40" spans="1:1">
      <c r="A40" s="190" t="s">
        <v>1038</v>
      </c>
    </row>
    <row r="41" spans="1:1">
      <c r="A41" s="190" t="s">
        <v>1039</v>
      </c>
    </row>
    <row r="42" spans="1:1">
      <c r="A42" s="190" t="s">
        <v>1040</v>
      </c>
    </row>
    <row r="43" spans="1:1">
      <c r="A43" s="190" t="s">
        <v>1041</v>
      </c>
    </row>
    <row r="44" spans="1:1">
      <c r="A44" s="190" t="s">
        <v>1042</v>
      </c>
    </row>
    <row r="45" spans="1:1">
      <c r="A45" s="190" t="s">
        <v>1043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Explanation</vt:lpstr>
      <vt:lpstr>Long-form</vt:lpstr>
      <vt:lpstr>Short-form</vt:lpstr>
      <vt:lpstr>Radiocarbon</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Khan</dc:creator>
  <cp:keywords/>
  <dc:description/>
  <cp:lastModifiedBy>Howard Yu, Dr. (GEO)</cp:lastModifiedBy>
  <cp:revision/>
  <dcterms:created xsi:type="dcterms:W3CDTF">2016-12-23T17:03:17Z</dcterms:created>
  <dcterms:modified xsi:type="dcterms:W3CDTF">2025-11-10T06:19:09Z</dcterms:modified>
  <cp:category/>
  <cp:contentStatus/>
</cp:coreProperties>
</file>