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opp\Papers\Carbonatites\Newania\Petrologie\Submission\"/>
    </mc:Choice>
  </mc:AlternateContent>
  <bookViews>
    <workbookView xWindow="-120" yWindow="-120" windowWidth="29040" windowHeight="15840" activeTab="2"/>
  </bookViews>
  <sheets>
    <sheet name="Normalizations" sheetId="5" r:id="rId1"/>
    <sheet name="Newania, this study" sheetId="1" r:id="rId2"/>
    <sheet name="SIMS Spots" sheetId="6" r:id="rId3"/>
    <sheet name="Newania-normalized" sheetId="2" r:id="rId4"/>
    <sheet name="Newania Literature" sheetId="3" r:id="rId5"/>
    <sheet name="Newania-norm. Literature" sheetId="4" r:id="rId6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2" l="1"/>
  <c r="F95" i="2"/>
  <c r="H96" i="2"/>
  <c r="H95" i="2"/>
  <c r="J96" i="2"/>
  <c r="L96" i="2"/>
  <c r="N96" i="2"/>
  <c r="N95" i="2"/>
  <c r="L95" i="2"/>
  <c r="J95" i="2"/>
  <c r="N94" i="2"/>
  <c r="L94" i="2"/>
  <c r="J94" i="2"/>
  <c r="H94" i="2"/>
  <c r="F94" i="2"/>
  <c r="N92" i="2"/>
  <c r="N91" i="2"/>
  <c r="N90" i="2"/>
  <c r="N89" i="2"/>
  <c r="N88" i="2"/>
  <c r="N87" i="2"/>
  <c r="N86" i="2"/>
  <c r="N85" i="2"/>
  <c r="N84" i="2"/>
  <c r="N83" i="2"/>
  <c r="N81" i="2"/>
  <c r="N80" i="2"/>
  <c r="N79" i="2"/>
  <c r="N78" i="2"/>
  <c r="M78" i="2"/>
  <c r="L92" i="2"/>
  <c r="L91" i="2"/>
  <c r="L90" i="2"/>
  <c r="L89" i="2"/>
  <c r="L88" i="2"/>
  <c r="L87" i="2"/>
  <c r="L86" i="2"/>
  <c r="L85" i="2"/>
  <c r="L84" i="2"/>
  <c r="L83" i="2"/>
  <c r="L81" i="2"/>
  <c r="L80" i="2"/>
  <c r="L79" i="2"/>
  <c r="L78" i="2"/>
  <c r="K78" i="2"/>
  <c r="J92" i="2"/>
  <c r="J91" i="2"/>
  <c r="J90" i="2"/>
  <c r="J89" i="2"/>
  <c r="J88" i="2"/>
  <c r="J87" i="2"/>
  <c r="J86" i="2"/>
  <c r="J85" i="2"/>
  <c r="J84" i="2"/>
  <c r="J83" i="2"/>
  <c r="J81" i="2"/>
  <c r="J80" i="2"/>
  <c r="J79" i="2"/>
  <c r="J78" i="2"/>
  <c r="I78" i="2"/>
  <c r="H92" i="2"/>
  <c r="H91" i="2"/>
  <c r="H90" i="2"/>
  <c r="H89" i="2"/>
  <c r="H88" i="2"/>
  <c r="H87" i="2"/>
  <c r="H86" i="2"/>
  <c r="H85" i="2"/>
  <c r="H84" i="2"/>
  <c r="H83" i="2"/>
  <c r="H81" i="2"/>
  <c r="H80" i="2"/>
  <c r="H79" i="2"/>
  <c r="H78" i="2"/>
  <c r="G78" i="2"/>
  <c r="F92" i="2"/>
  <c r="F91" i="2"/>
  <c r="F90" i="2"/>
  <c r="F89" i="2"/>
  <c r="F88" i="2"/>
  <c r="F87" i="2"/>
  <c r="F86" i="2"/>
  <c r="F85" i="2"/>
  <c r="F84" i="2"/>
  <c r="F83" i="2"/>
  <c r="F81" i="2"/>
  <c r="F80" i="2"/>
  <c r="F79" i="2"/>
  <c r="F78" i="2"/>
  <c r="E78" i="2"/>
  <c r="K86" i="1"/>
  <c r="K85" i="1"/>
  <c r="K84" i="1"/>
  <c r="K83" i="1"/>
  <c r="K82" i="1"/>
  <c r="K81" i="1"/>
  <c r="K80" i="1"/>
  <c r="K79" i="1"/>
  <c r="K78" i="1"/>
  <c r="K77" i="1"/>
  <c r="K76" i="1"/>
  <c r="K74" i="1"/>
  <c r="K73" i="1"/>
  <c r="K72" i="1"/>
  <c r="K71" i="1"/>
  <c r="J71" i="1"/>
  <c r="I86" i="1"/>
  <c r="I85" i="1"/>
  <c r="I84" i="1"/>
  <c r="I83" i="1"/>
  <c r="I82" i="1"/>
  <c r="I81" i="1"/>
  <c r="I80" i="1"/>
  <c r="I79" i="1"/>
  <c r="I78" i="1"/>
  <c r="I77" i="1"/>
  <c r="I76" i="1"/>
  <c r="I74" i="1"/>
  <c r="I73" i="1"/>
  <c r="I72" i="1"/>
  <c r="I71" i="1"/>
  <c r="H71" i="1"/>
  <c r="G86" i="1"/>
  <c r="G85" i="1"/>
  <c r="G84" i="1"/>
  <c r="G83" i="1"/>
  <c r="G82" i="1"/>
  <c r="G81" i="1"/>
  <c r="G80" i="1"/>
  <c r="G79" i="1"/>
  <c r="G78" i="1"/>
  <c r="G77" i="1"/>
  <c r="G76" i="1"/>
  <c r="G74" i="1"/>
  <c r="G73" i="1"/>
  <c r="G72" i="1"/>
  <c r="G71" i="1"/>
  <c r="F71" i="1"/>
  <c r="E88" i="1"/>
  <c r="K88" i="1"/>
  <c r="I88" i="1"/>
  <c r="G88" i="1"/>
  <c r="E86" i="1"/>
  <c r="E85" i="1"/>
  <c r="E84" i="1"/>
  <c r="E83" i="1"/>
  <c r="E82" i="1"/>
  <c r="E81" i="1"/>
  <c r="E80" i="1"/>
  <c r="E79" i="1"/>
  <c r="E78" i="1"/>
  <c r="E77" i="1"/>
  <c r="E76" i="1"/>
  <c r="E74" i="1"/>
  <c r="E73" i="1"/>
  <c r="E72" i="1"/>
  <c r="E71" i="1"/>
  <c r="D71" i="1"/>
  <c r="C88" i="1"/>
  <c r="C86" i="1"/>
  <c r="C85" i="1"/>
  <c r="C84" i="1"/>
  <c r="C83" i="1"/>
  <c r="C82" i="1"/>
  <c r="C81" i="1"/>
  <c r="C80" i="1"/>
  <c r="C79" i="1"/>
  <c r="C78" i="1"/>
  <c r="C77" i="1"/>
  <c r="C76" i="1"/>
  <c r="C74" i="1"/>
  <c r="C73" i="1"/>
  <c r="C72" i="1"/>
  <c r="C71" i="1"/>
  <c r="B71" i="1"/>
  <c r="J95" i="1"/>
  <c r="J96" i="1"/>
  <c r="J97" i="1"/>
  <c r="J98" i="1"/>
  <c r="J100" i="1"/>
  <c r="J101" i="1"/>
  <c r="J102" i="1"/>
  <c r="J103" i="1"/>
  <c r="J104" i="1"/>
  <c r="J105" i="1"/>
  <c r="J106" i="1"/>
  <c r="J107" i="1"/>
  <c r="J108" i="1"/>
  <c r="J109" i="1"/>
  <c r="J112" i="1"/>
  <c r="I95" i="1"/>
  <c r="I96" i="1"/>
  <c r="I97" i="1"/>
  <c r="I98" i="1"/>
  <c r="I100" i="1"/>
  <c r="I101" i="1"/>
  <c r="I102" i="1"/>
  <c r="I103" i="1"/>
  <c r="I104" i="1"/>
  <c r="I105" i="1"/>
  <c r="I106" i="1"/>
  <c r="I107" i="1"/>
  <c r="I108" i="1"/>
  <c r="I109" i="1"/>
  <c r="I112" i="1"/>
  <c r="H95" i="1"/>
  <c r="H96" i="1"/>
  <c r="H97" i="1"/>
  <c r="H98" i="1"/>
  <c r="H100" i="1"/>
  <c r="H101" i="1"/>
  <c r="H102" i="1"/>
  <c r="H103" i="1"/>
  <c r="H104" i="1"/>
  <c r="H105" i="1"/>
  <c r="H106" i="1"/>
  <c r="H107" i="1"/>
  <c r="H108" i="1"/>
  <c r="H109" i="1"/>
  <c r="H112" i="1"/>
  <c r="J110" i="1"/>
  <c r="I110" i="1"/>
  <c r="H110" i="1"/>
  <c r="L95" i="1"/>
  <c r="L96" i="1"/>
  <c r="L97" i="1"/>
  <c r="L98" i="1"/>
  <c r="L100" i="1"/>
  <c r="L101" i="1"/>
  <c r="L102" i="1"/>
  <c r="L103" i="1"/>
  <c r="L104" i="1"/>
  <c r="L105" i="1"/>
  <c r="L106" i="1"/>
  <c r="L107" i="1"/>
  <c r="L108" i="1"/>
  <c r="L109" i="1"/>
  <c r="L112" i="1"/>
  <c r="K95" i="1"/>
  <c r="K96" i="1"/>
  <c r="K97" i="1"/>
  <c r="K98" i="1"/>
  <c r="K100" i="1"/>
  <c r="K101" i="1"/>
  <c r="K102" i="1"/>
  <c r="K103" i="1"/>
  <c r="K104" i="1"/>
  <c r="K105" i="1"/>
  <c r="K106" i="1"/>
  <c r="K107" i="1"/>
  <c r="K108" i="1"/>
  <c r="K109" i="1"/>
  <c r="K112" i="1"/>
  <c r="D95" i="1"/>
  <c r="D96" i="1"/>
  <c r="D97" i="1"/>
  <c r="D98" i="1"/>
  <c r="D100" i="1"/>
  <c r="D101" i="1"/>
  <c r="D102" i="1"/>
  <c r="D103" i="1"/>
  <c r="D104" i="1"/>
  <c r="D105" i="1"/>
  <c r="D106" i="1"/>
  <c r="D107" i="1"/>
  <c r="D108" i="1"/>
  <c r="D109" i="1"/>
  <c r="D112" i="1"/>
  <c r="C95" i="1"/>
  <c r="C96" i="1"/>
  <c r="C97" i="1"/>
  <c r="C98" i="1"/>
  <c r="C100" i="1"/>
  <c r="C101" i="1"/>
  <c r="C102" i="1"/>
  <c r="C103" i="1"/>
  <c r="C104" i="1"/>
  <c r="C105" i="1"/>
  <c r="C106" i="1"/>
  <c r="C107" i="1"/>
  <c r="C108" i="1"/>
  <c r="C109" i="1"/>
  <c r="C112" i="1"/>
  <c r="B95" i="1"/>
  <c r="B96" i="1"/>
  <c r="B97" i="1"/>
  <c r="B98" i="1"/>
  <c r="B100" i="1"/>
  <c r="B101" i="1"/>
  <c r="B102" i="1"/>
  <c r="B103" i="1"/>
  <c r="B104" i="1"/>
  <c r="B105" i="1"/>
  <c r="B106" i="1"/>
  <c r="B107" i="1"/>
  <c r="B108" i="1"/>
  <c r="B109" i="1"/>
  <c r="B112" i="1"/>
  <c r="J72" i="1"/>
  <c r="J73" i="1"/>
  <c r="J74" i="1"/>
  <c r="J76" i="1"/>
  <c r="J77" i="1"/>
  <c r="J78" i="1"/>
  <c r="J79" i="1"/>
  <c r="J80" i="1"/>
  <c r="J81" i="1"/>
  <c r="J82" i="1"/>
  <c r="J83" i="1"/>
  <c r="J84" i="1"/>
  <c r="J85" i="1"/>
  <c r="J88" i="1"/>
  <c r="H72" i="1"/>
  <c r="H73" i="1"/>
  <c r="H74" i="1"/>
  <c r="H76" i="1"/>
  <c r="H77" i="1"/>
  <c r="H78" i="1"/>
  <c r="H79" i="1"/>
  <c r="H80" i="1"/>
  <c r="H81" i="1"/>
  <c r="H82" i="1"/>
  <c r="H83" i="1"/>
  <c r="H84" i="1"/>
  <c r="H85" i="1"/>
  <c r="H88" i="1"/>
  <c r="F72" i="1"/>
  <c r="F73" i="1"/>
  <c r="F74" i="1"/>
  <c r="F76" i="1"/>
  <c r="F77" i="1"/>
  <c r="F78" i="1"/>
  <c r="F79" i="1"/>
  <c r="F80" i="1"/>
  <c r="F81" i="1"/>
  <c r="F82" i="1"/>
  <c r="F83" i="1"/>
  <c r="F84" i="1"/>
  <c r="F85" i="1"/>
  <c r="F88" i="1"/>
  <c r="D72" i="1"/>
  <c r="D73" i="1"/>
  <c r="D74" i="1"/>
  <c r="D76" i="1"/>
  <c r="D77" i="1"/>
  <c r="D78" i="1"/>
  <c r="D79" i="1"/>
  <c r="D80" i="1"/>
  <c r="D81" i="1"/>
  <c r="D82" i="1"/>
  <c r="D83" i="1"/>
  <c r="D84" i="1"/>
  <c r="D85" i="1"/>
  <c r="D88" i="1"/>
  <c r="B72" i="1"/>
  <c r="B73" i="1"/>
  <c r="B74" i="1"/>
  <c r="B76" i="1"/>
  <c r="B77" i="1"/>
  <c r="B78" i="1"/>
  <c r="B79" i="1"/>
  <c r="B80" i="1"/>
  <c r="B81" i="1"/>
  <c r="B82" i="1"/>
  <c r="B83" i="1"/>
  <c r="B84" i="1"/>
  <c r="B85" i="1"/>
  <c r="B88" i="1"/>
  <c r="L110" i="1"/>
  <c r="K110" i="1"/>
  <c r="D110" i="1"/>
  <c r="C110" i="1"/>
  <c r="B110" i="1"/>
  <c r="M91" i="2"/>
  <c r="M96" i="2"/>
  <c r="K91" i="2"/>
  <c r="K96" i="2"/>
  <c r="I91" i="2"/>
  <c r="I96" i="2"/>
  <c r="G91" i="2"/>
  <c r="G96" i="2"/>
  <c r="E91" i="2"/>
  <c r="E96" i="2"/>
  <c r="M83" i="2"/>
  <c r="M95" i="2"/>
  <c r="K83" i="2"/>
  <c r="K95" i="2"/>
  <c r="I83" i="2"/>
  <c r="I95" i="2"/>
  <c r="G83" i="2"/>
  <c r="G95" i="2"/>
  <c r="E83" i="2"/>
  <c r="E95" i="2"/>
  <c r="M84" i="2"/>
  <c r="M85" i="2"/>
  <c r="M94" i="2"/>
  <c r="K84" i="2"/>
  <c r="K85" i="2"/>
  <c r="K94" i="2"/>
  <c r="I84" i="2"/>
  <c r="I85" i="2"/>
  <c r="I94" i="2"/>
  <c r="G84" i="2"/>
  <c r="G85" i="2"/>
  <c r="G94" i="2"/>
  <c r="E84" i="2"/>
  <c r="E85" i="2"/>
  <c r="E94" i="2"/>
  <c r="M92" i="2"/>
  <c r="K92" i="2"/>
  <c r="I92" i="2"/>
  <c r="G92" i="2"/>
  <c r="E92" i="2"/>
  <c r="M90" i="2"/>
  <c r="K90" i="2"/>
  <c r="I90" i="2"/>
  <c r="G90" i="2"/>
  <c r="E90" i="2"/>
  <c r="M89" i="2"/>
  <c r="K89" i="2"/>
  <c r="I89" i="2"/>
  <c r="G89" i="2"/>
  <c r="E89" i="2"/>
  <c r="M88" i="2"/>
  <c r="K88" i="2"/>
  <c r="I88" i="2"/>
  <c r="G88" i="2"/>
  <c r="E88" i="2"/>
  <c r="M87" i="2"/>
  <c r="K87" i="2"/>
  <c r="I87" i="2"/>
  <c r="G87" i="2"/>
  <c r="E87" i="2"/>
  <c r="M86" i="2"/>
  <c r="K86" i="2"/>
  <c r="I86" i="2"/>
  <c r="G86" i="2"/>
  <c r="E86" i="2"/>
  <c r="M81" i="2"/>
  <c r="K81" i="2"/>
  <c r="I81" i="2"/>
  <c r="G81" i="2"/>
  <c r="E81" i="2"/>
  <c r="M80" i="2"/>
  <c r="K80" i="2"/>
  <c r="I80" i="2"/>
  <c r="G80" i="2"/>
  <c r="E80" i="2"/>
  <c r="M79" i="2"/>
  <c r="K79" i="2"/>
  <c r="I79" i="2"/>
  <c r="G79" i="2"/>
  <c r="E79" i="2"/>
  <c r="J86" i="1"/>
  <c r="H86" i="1"/>
  <c r="F86" i="1"/>
  <c r="D86" i="1"/>
  <c r="B86" i="1"/>
  <c r="J31" i="2"/>
  <c r="J44" i="2"/>
  <c r="J49" i="2"/>
  <c r="J36" i="2"/>
  <c r="J48" i="2"/>
  <c r="J37" i="2"/>
  <c r="J38" i="2"/>
  <c r="J47" i="2"/>
  <c r="J45" i="2"/>
  <c r="J43" i="2"/>
  <c r="J42" i="2"/>
  <c r="J41" i="2"/>
  <c r="J40" i="2"/>
  <c r="J39" i="2"/>
  <c r="J34" i="2"/>
  <c r="J33" i="2"/>
  <c r="J32" i="2"/>
  <c r="T7" i="2"/>
  <c r="T20" i="2"/>
  <c r="T25" i="2"/>
  <c r="S7" i="2"/>
  <c r="S20" i="2"/>
  <c r="S25" i="2"/>
  <c r="R7" i="2"/>
  <c r="R20" i="2"/>
  <c r="R25" i="2"/>
  <c r="Q7" i="2"/>
  <c r="Q20" i="2"/>
  <c r="Q25" i="2"/>
  <c r="P7" i="2"/>
  <c r="P20" i="2"/>
  <c r="P25" i="2"/>
  <c r="T12" i="2"/>
  <c r="T24" i="2"/>
  <c r="S12" i="2"/>
  <c r="S24" i="2"/>
  <c r="R12" i="2"/>
  <c r="R24" i="2"/>
  <c r="Q12" i="2"/>
  <c r="Q24" i="2"/>
  <c r="P12" i="2"/>
  <c r="P24" i="2"/>
  <c r="T13" i="2"/>
  <c r="T14" i="2"/>
  <c r="T23" i="2"/>
  <c r="S13" i="2"/>
  <c r="S14" i="2"/>
  <c r="S23" i="2"/>
  <c r="R13" i="2"/>
  <c r="R14" i="2"/>
  <c r="R23" i="2"/>
  <c r="Q13" i="2"/>
  <c r="Q14" i="2"/>
  <c r="Q23" i="2"/>
  <c r="P13" i="2"/>
  <c r="P14" i="2"/>
  <c r="P23" i="2"/>
  <c r="T21" i="2"/>
  <c r="S21" i="2"/>
  <c r="R21" i="2"/>
  <c r="Q21" i="2"/>
  <c r="P21" i="2"/>
  <c r="T19" i="2"/>
  <c r="S19" i="2"/>
  <c r="R19" i="2"/>
  <c r="Q19" i="2"/>
  <c r="P19" i="2"/>
  <c r="T18" i="2"/>
  <c r="S18" i="2"/>
  <c r="R18" i="2"/>
  <c r="Q18" i="2"/>
  <c r="P18" i="2"/>
  <c r="T17" i="2"/>
  <c r="S17" i="2"/>
  <c r="R17" i="2"/>
  <c r="Q17" i="2"/>
  <c r="P17" i="2"/>
  <c r="T16" i="2"/>
  <c r="S16" i="2"/>
  <c r="R16" i="2"/>
  <c r="Q16" i="2"/>
  <c r="P16" i="2"/>
  <c r="T15" i="2"/>
  <c r="S15" i="2"/>
  <c r="R15" i="2"/>
  <c r="Q15" i="2"/>
  <c r="P15" i="2"/>
  <c r="T10" i="2"/>
  <c r="S10" i="2"/>
  <c r="R10" i="2"/>
  <c r="Q10" i="2"/>
  <c r="P10" i="2"/>
  <c r="T9" i="2"/>
  <c r="S9" i="2"/>
  <c r="R9" i="2"/>
  <c r="Q9" i="2"/>
  <c r="P9" i="2"/>
  <c r="T8" i="2"/>
  <c r="S8" i="2"/>
  <c r="R8" i="2"/>
  <c r="Q8" i="2"/>
  <c r="P8" i="2"/>
  <c r="O7" i="2"/>
  <c r="O20" i="2"/>
  <c r="O25" i="2"/>
  <c r="N7" i="2"/>
  <c r="N20" i="2"/>
  <c r="N25" i="2"/>
  <c r="M7" i="2"/>
  <c r="M20" i="2"/>
  <c r="M25" i="2"/>
  <c r="L7" i="2"/>
  <c r="L20" i="2"/>
  <c r="L25" i="2"/>
  <c r="K7" i="2"/>
  <c r="K20" i="2"/>
  <c r="K25" i="2"/>
  <c r="J7" i="2"/>
  <c r="J20" i="2"/>
  <c r="J25" i="2"/>
  <c r="I7" i="2"/>
  <c r="I20" i="2"/>
  <c r="I25" i="2"/>
  <c r="H7" i="2"/>
  <c r="H20" i="2"/>
  <c r="H25" i="2"/>
  <c r="G7" i="2"/>
  <c r="G20" i="2"/>
  <c r="G25" i="2"/>
  <c r="F7" i="2"/>
  <c r="F20" i="2"/>
  <c r="F25" i="2"/>
  <c r="E7" i="2"/>
  <c r="E20" i="2"/>
  <c r="E25" i="2"/>
  <c r="O12" i="2"/>
  <c r="O24" i="2"/>
  <c r="N12" i="2"/>
  <c r="N24" i="2"/>
  <c r="M12" i="2"/>
  <c r="M24" i="2"/>
  <c r="L12" i="2"/>
  <c r="L24" i="2"/>
  <c r="K12" i="2"/>
  <c r="K24" i="2"/>
  <c r="J12" i="2"/>
  <c r="J24" i="2"/>
  <c r="I12" i="2"/>
  <c r="I24" i="2"/>
  <c r="H12" i="2"/>
  <c r="H24" i="2"/>
  <c r="G12" i="2"/>
  <c r="G24" i="2"/>
  <c r="F12" i="2"/>
  <c r="F24" i="2"/>
  <c r="E12" i="2"/>
  <c r="E24" i="2"/>
  <c r="O13" i="2"/>
  <c r="O14" i="2"/>
  <c r="O23" i="2"/>
  <c r="N13" i="2"/>
  <c r="N14" i="2"/>
  <c r="N23" i="2"/>
  <c r="M13" i="2"/>
  <c r="M14" i="2"/>
  <c r="M23" i="2"/>
  <c r="L13" i="2"/>
  <c r="L14" i="2"/>
  <c r="L23" i="2"/>
  <c r="K13" i="2"/>
  <c r="K14" i="2"/>
  <c r="K23" i="2"/>
  <c r="J13" i="2"/>
  <c r="J14" i="2"/>
  <c r="J23" i="2"/>
  <c r="I13" i="2"/>
  <c r="I14" i="2"/>
  <c r="I23" i="2"/>
  <c r="H13" i="2"/>
  <c r="H14" i="2"/>
  <c r="H23" i="2"/>
  <c r="G13" i="2"/>
  <c r="G14" i="2"/>
  <c r="G23" i="2"/>
  <c r="F13" i="2"/>
  <c r="F14" i="2"/>
  <c r="F23" i="2"/>
  <c r="E13" i="2"/>
  <c r="E14" i="2"/>
  <c r="E23" i="2"/>
  <c r="I31" i="2"/>
  <c r="I44" i="2"/>
  <c r="I49" i="2"/>
  <c r="H31" i="2"/>
  <c r="H44" i="2"/>
  <c r="H49" i="2"/>
  <c r="G31" i="2"/>
  <c r="G44" i="2"/>
  <c r="G49" i="2"/>
  <c r="F31" i="2"/>
  <c r="F44" i="2"/>
  <c r="F49" i="2"/>
  <c r="E31" i="2"/>
  <c r="E44" i="2"/>
  <c r="E49" i="2"/>
  <c r="I36" i="2"/>
  <c r="I48" i="2"/>
  <c r="H36" i="2"/>
  <c r="H48" i="2"/>
  <c r="G36" i="2"/>
  <c r="G48" i="2"/>
  <c r="F36" i="2"/>
  <c r="F48" i="2"/>
  <c r="E36" i="2"/>
  <c r="E48" i="2"/>
  <c r="I37" i="2"/>
  <c r="I38" i="2"/>
  <c r="I47" i="2"/>
  <c r="H37" i="2"/>
  <c r="H38" i="2"/>
  <c r="H47" i="2"/>
  <c r="G37" i="2"/>
  <c r="G38" i="2"/>
  <c r="G47" i="2"/>
  <c r="F37" i="2"/>
  <c r="F38" i="2"/>
  <c r="F47" i="2"/>
  <c r="E37" i="2"/>
  <c r="E38" i="2"/>
  <c r="E47" i="2"/>
  <c r="N55" i="2"/>
  <c r="N68" i="2"/>
  <c r="N73" i="2"/>
  <c r="M55" i="2"/>
  <c r="M68" i="2"/>
  <c r="M73" i="2"/>
  <c r="L55" i="2"/>
  <c r="L68" i="2"/>
  <c r="L73" i="2"/>
  <c r="K55" i="2"/>
  <c r="K68" i="2"/>
  <c r="K73" i="2"/>
  <c r="J55" i="2"/>
  <c r="J68" i="2"/>
  <c r="J73" i="2"/>
  <c r="I55" i="2"/>
  <c r="I68" i="2"/>
  <c r="I73" i="2"/>
  <c r="H55" i="2"/>
  <c r="H68" i="2"/>
  <c r="H73" i="2"/>
  <c r="G55" i="2"/>
  <c r="G68" i="2"/>
  <c r="G73" i="2"/>
  <c r="F55" i="2"/>
  <c r="F68" i="2"/>
  <c r="F73" i="2"/>
  <c r="N60" i="2"/>
  <c r="N72" i="2"/>
  <c r="M60" i="2"/>
  <c r="M72" i="2"/>
  <c r="L60" i="2"/>
  <c r="L72" i="2"/>
  <c r="K60" i="2"/>
  <c r="K72" i="2"/>
  <c r="J60" i="2"/>
  <c r="J72" i="2"/>
  <c r="I60" i="2"/>
  <c r="I72" i="2"/>
  <c r="H60" i="2"/>
  <c r="H72" i="2"/>
  <c r="G60" i="2"/>
  <c r="G72" i="2"/>
  <c r="F60" i="2"/>
  <c r="F72" i="2"/>
  <c r="N61" i="2"/>
  <c r="N62" i="2"/>
  <c r="N71" i="2"/>
  <c r="M61" i="2"/>
  <c r="M62" i="2"/>
  <c r="M71" i="2"/>
  <c r="L61" i="2"/>
  <c r="L62" i="2"/>
  <c r="L71" i="2"/>
  <c r="K61" i="2"/>
  <c r="K62" i="2"/>
  <c r="K71" i="2"/>
  <c r="J61" i="2"/>
  <c r="J62" i="2"/>
  <c r="J71" i="2"/>
  <c r="I61" i="2"/>
  <c r="I62" i="2"/>
  <c r="I71" i="2"/>
  <c r="H61" i="2"/>
  <c r="H62" i="2"/>
  <c r="H71" i="2"/>
  <c r="G61" i="2"/>
  <c r="G62" i="2"/>
  <c r="G71" i="2"/>
  <c r="F61" i="2"/>
  <c r="F62" i="2"/>
  <c r="F71" i="2"/>
  <c r="E55" i="2"/>
  <c r="E68" i="2"/>
  <c r="E73" i="2"/>
  <c r="E60" i="2"/>
  <c r="E72" i="2"/>
  <c r="E61" i="2"/>
  <c r="E62" i="2"/>
  <c r="E71" i="2"/>
  <c r="N69" i="2"/>
  <c r="M69" i="2"/>
  <c r="L69" i="2"/>
  <c r="K69" i="2"/>
  <c r="J69" i="2"/>
  <c r="I69" i="2"/>
  <c r="H69" i="2"/>
  <c r="G69" i="2"/>
  <c r="F69" i="2"/>
  <c r="E69" i="2"/>
  <c r="N67" i="2"/>
  <c r="M67" i="2"/>
  <c r="L67" i="2"/>
  <c r="K67" i="2"/>
  <c r="J67" i="2"/>
  <c r="I67" i="2"/>
  <c r="H67" i="2"/>
  <c r="G67" i="2"/>
  <c r="F67" i="2"/>
  <c r="E67" i="2"/>
  <c r="N66" i="2"/>
  <c r="M66" i="2"/>
  <c r="L66" i="2"/>
  <c r="K66" i="2"/>
  <c r="J66" i="2"/>
  <c r="I66" i="2"/>
  <c r="H66" i="2"/>
  <c r="G66" i="2"/>
  <c r="F66" i="2"/>
  <c r="E66" i="2"/>
  <c r="N65" i="2"/>
  <c r="M65" i="2"/>
  <c r="L65" i="2"/>
  <c r="K65" i="2"/>
  <c r="J65" i="2"/>
  <c r="I65" i="2"/>
  <c r="H65" i="2"/>
  <c r="G65" i="2"/>
  <c r="F65" i="2"/>
  <c r="E65" i="2"/>
  <c r="N64" i="2"/>
  <c r="M64" i="2"/>
  <c r="L64" i="2"/>
  <c r="K64" i="2"/>
  <c r="J64" i="2"/>
  <c r="I64" i="2"/>
  <c r="H64" i="2"/>
  <c r="G64" i="2"/>
  <c r="F64" i="2"/>
  <c r="E64" i="2"/>
  <c r="N63" i="2"/>
  <c r="M63" i="2"/>
  <c r="L63" i="2"/>
  <c r="K63" i="2"/>
  <c r="J63" i="2"/>
  <c r="I63" i="2"/>
  <c r="H63" i="2"/>
  <c r="G63" i="2"/>
  <c r="F63" i="2"/>
  <c r="E63" i="2"/>
  <c r="N58" i="2"/>
  <c r="M58" i="2"/>
  <c r="L58" i="2"/>
  <c r="K58" i="2"/>
  <c r="J58" i="2"/>
  <c r="I58" i="2"/>
  <c r="H58" i="2"/>
  <c r="G58" i="2"/>
  <c r="F58" i="2"/>
  <c r="E58" i="2"/>
  <c r="N57" i="2"/>
  <c r="M57" i="2"/>
  <c r="L57" i="2"/>
  <c r="K57" i="2"/>
  <c r="J57" i="2"/>
  <c r="I57" i="2"/>
  <c r="H57" i="2"/>
  <c r="G57" i="2"/>
  <c r="F57" i="2"/>
  <c r="E57" i="2"/>
  <c r="N56" i="2"/>
  <c r="M56" i="2"/>
  <c r="L56" i="2"/>
  <c r="K56" i="2"/>
  <c r="J56" i="2"/>
  <c r="I56" i="2"/>
  <c r="H56" i="2"/>
  <c r="G56" i="2"/>
  <c r="F56" i="2"/>
  <c r="E56" i="2"/>
  <c r="I45" i="2"/>
  <c r="H45" i="2"/>
  <c r="G45" i="2"/>
  <c r="F45" i="2"/>
  <c r="E45" i="2"/>
  <c r="I43" i="2"/>
  <c r="H43" i="2"/>
  <c r="G43" i="2"/>
  <c r="F43" i="2"/>
  <c r="E43" i="2"/>
  <c r="I42" i="2"/>
  <c r="H42" i="2"/>
  <c r="G42" i="2"/>
  <c r="F42" i="2"/>
  <c r="E42" i="2"/>
  <c r="I41" i="2"/>
  <c r="H41" i="2"/>
  <c r="G41" i="2"/>
  <c r="F41" i="2"/>
  <c r="E41" i="2"/>
  <c r="I40" i="2"/>
  <c r="H40" i="2"/>
  <c r="G40" i="2"/>
  <c r="F40" i="2"/>
  <c r="E40" i="2"/>
  <c r="I39" i="2"/>
  <c r="H39" i="2"/>
  <c r="G39" i="2"/>
  <c r="F39" i="2"/>
  <c r="E39" i="2"/>
  <c r="I34" i="2"/>
  <c r="H34" i="2"/>
  <c r="G34" i="2"/>
  <c r="F34" i="2"/>
  <c r="E34" i="2"/>
  <c r="I33" i="2"/>
  <c r="H33" i="2"/>
  <c r="G33" i="2"/>
  <c r="F33" i="2"/>
  <c r="E33" i="2"/>
  <c r="I32" i="2"/>
  <c r="H32" i="2"/>
  <c r="G32" i="2"/>
  <c r="F32" i="2"/>
  <c r="E32" i="2"/>
  <c r="O21" i="2"/>
  <c r="N21" i="2"/>
  <c r="M21" i="2"/>
  <c r="L21" i="2"/>
  <c r="K21" i="2"/>
  <c r="J21" i="2"/>
  <c r="I21" i="2"/>
  <c r="H21" i="2"/>
  <c r="G21" i="2"/>
  <c r="F21" i="2"/>
  <c r="E21" i="2"/>
  <c r="O19" i="2"/>
  <c r="N19" i="2"/>
  <c r="M19" i="2"/>
  <c r="L19" i="2"/>
  <c r="K19" i="2"/>
  <c r="J19" i="2"/>
  <c r="I19" i="2"/>
  <c r="H19" i="2"/>
  <c r="G19" i="2"/>
  <c r="F19" i="2"/>
  <c r="E19" i="2"/>
  <c r="O18" i="2"/>
  <c r="N18" i="2"/>
  <c r="M18" i="2"/>
  <c r="L18" i="2"/>
  <c r="K18" i="2"/>
  <c r="J18" i="2"/>
  <c r="I18" i="2"/>
  <c r="H18" i="2"/>
  <c r="G18" i="2"/>
  <c r="F18" i="2"/>
  <c r="E18" i="2"/>
  <c r="O17" i="2"/>
  <c r="N17" i="2"/>
  <c r="M17" i="2"/>
  <c r="L17" i="2"/>
  <c r="K17" i="2"/>
  <c r="J17" i="2"/>
  <c r="I17" i="2"/>
  <c r="H17" i="2"/>
  <c r="G17" i="2"/>
  <c r="F17" i="2"/>
  <c r="E17" i="2"/>
  <c r="O16" i="2"/>
  <c r="N16" i="2"/>
  <c r="M16" i="2"/>
  <c r="L16" i="2"/>
  <c r="K16" i="2"/>
  <c r="J16" i="2"/>
  <c r="I16" i="2"/>
  <c r="H16" i="2"/>
  <c r="G16" i="2"/>
  <c r="F16" i="2"/>
  <c r="E16" i="2"/>
  <c r="O15" i="2"/>
  <c r="N15" i="2"/>
  <c r="M15" i="2"/>
  <c r="L15" i="2"/>
  <c r="K15" i="2"/>
  <c r="J15" i="2"/>
  <c r="I15" i="2"/>
  <c r="H15" i="2"/>
  <c r="G15" i="2"/>
  <c r="F15" i="2"/>
  <c r="E15" i="2"/>
  <c r="O10" i="2"/>
  <c r="N10" i="2"/>
  <c r="M10" i="2"/>
  <c r="L10" i="2"/>
  <c r="K10" i="2"/>
  <c r="J10" i="2"/>
  <c r="I10" i="2"/>
  <c r="H10" i="2"/>
  <c r="G10" i="2"/>
  <c r="F10" i="2"/>
  <c r="E10" i="2"/>
  <c r="O9" i="2"/>
  <c r="N9" i="2"/>
  <c r="M9" i="2"/>
  <c r="L9" i="2"/>
  <c r="K9" i="2"/>
  <c r="J9" i="2"/>
  <c r="I9" i="2"/>
  <c r="H9" i="2"/>
  <c r="G9" i="2"/>
  <c r="F9" i="2"/>
  <c r="E9" i="2"/>
  <c r="O8" i="2"/>
  <c r="N8" i="2"/>
  <c r="M8" i="2"/>
  <c r="L8" i="2"/>
  <c r="K8" i="2"/>
  <c r="J8" i="2"/>
  <c r="I8" i="2"/>
  <c r="H8" i="2"/>
  <c r="G8" i="2"/>
  <c r="F8" i="2"/>
  <c r="E8" i="2"/>
  <c r="E6" i="4"/>
  <c r="R6" i="4"/>
  <c r="R19" i="4"/>
  <c r="R24" i="4"/>
  <c r="Q6" i="4"/>
  <c r="Q19" i="4"/>
  <c r="Q24" i="4"/>
  <c r="P6" i="4"/>
  <c r="P19" i="4"/>
  <c r="P24" i="4"/>
  <c r="O6" i="4"/>
  <c r="O19" i="4"/>
  <c r="O24" i="4"/>
  <c r="N6" i="4"/>
  <c r="N19" i="4"/>
  <c r="N24" i="4"/>
  <c r="M6" i="4"/>
  <c r="M19" i="4"/>
  <c r="M24" i="4"/>
  <c r="L6" i="4"/>
  <c r="L19" i="4"/>
  <c r="L24" i="4"/>
  <c r="K6" i="4"/>
  <c r="K19" i="4"/>
  <c r="K24" i="4"/>
  <c r="J6" i="4"/>
  <c r="J19" i="4"/>
  <c r="J24" i="4"/>
  <c r="I6" i="4"/>
  <c r="I19" i="4"/>
  <c r="I24" i="4"/>
  <c r="H6" i="4"/>
  <c r="H19" i="4"/>
  <c r="H24" i="4"/>
  <c r="G6" i="4"/>
  <c r="G19" i="4"/>
  <c r="G24" i="4"/>
  <c r="F6" i="4"/>
  <c r="F19" i="4"/>
  <c r="F24" i="4"/>
  <c r="R11" i="4"/>
  <c r="R23" i="4"/>
  <c r="Q11" i="4"/>
  <c r="Q23" i="4"/>
  <c r="P11" i="4"/>
  <c r="P23" i="4"/>
  <c r="O11" i="4"/>
  <c r="O23" i="4"/>
  <c r="N11" i="4"/>
  <c r="N23" i="4"/>
  <c r="M11" i="4"/>
  <c r="M23" i="4"/>
  <c r="L11" i="4"/>
  <c r="L23" i="4"/>
  <c r="K11" i="4"/>
  <c r="K23" i="4"/>
  <c r="J11" i="4"/>
  <c r="J23" i="4"/>
  <c r="I11" i="4"/>
  <c r="I23" i="4"/>
  <c r="H11" i="4"/>
  <c r="H23" i="4"/>
  <c r="G11" i="4"/>
  <c r="G23" i="4"/>
  <c r="F11" i="4"/>
  <c r="F23" i="4"/>
  <c r="E19" i="4"/>
  <c r="E24" i="4"/>
  <c r="E11" i="4"/>
  <c r="E23" i="4"/>
  <c r="H11" i="5"/>
  <c r="H10" i="5"/>
  <c r="H12" i="5"/>
  <c r="H22" i="5"/>
  <c r="R12" i="4"/>
  <c r="R13" i="4"/>
  <c r="R22" i="4"/>
  <c r="Q12" i="4"/>
  <c r="Q13" i="4"/>
  <c r="Q22" i="4"/>
  <c r="P12" i="4"/>
  <c r="P13" i="4"/>
  <c r="P22" i="4"/>
  <c r="O12" i="4"/>
  <c r="O13" i="4"/>
  <c r="O22" i="4"/>
  <c r="N12" i="4"/>
  <c r="N13" i="4"/>
  <c r="N22" i="4"/>
  <c r="M12" i="4"/>
  <c r="M13" i="4"/>
  <c r="M22" i="4"/>
  <c r="L12" i="4"/>
  <c r="L13" i="4"/>
  <c r="L22" i="4"/>
  <c r="K12" i="4"/>
  <c r="K13" i="4"/>
  <c r="K22" i="4"/>
  <c r="J12" i="4"/>
  <c r="J13" i="4"/>
  <c r="J22" i="4"/>
  <c r="I12" i="4"/>
  <c r="I13" i="4"/>
  <c r="I22" i="4"/>
  <c r="H12" i="4"/>
  <c r="H13" i="4"/>
  <c r="H22" i="4"/>
  <c r="G12" i="4"/>
  <c r="G13" i="4"/>
  <c r="G22" i="4"/>
  <c r="F12" i="4"/>
  <c r="F13" i="4"/>
  <c r="F22" i="4"/>
  <c r="E12" i="4"/>
  <c r="E13" i="4"/>
  <c r="E22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H19" i="5"/>
  <c r="H18" i="5"/>
  <c r="H17" i="5"/>
  <c r="H16" i="5"/>
  <c r="H15" i="5"/>
  <c r="H14" i="5"/>
  <c r="H13" i="5"/>
  <c r="H8" i="5"/>
  <c r="H7" i="5"/>
  <c r="H6" i="5"/>
  <c r="H5" i="5"/>
</calcChain>
</file>

<file path=xl/sharedStrings.xml><?xml version="1.0" encoding="utf-8"?>
<sst xmlns="http://schemas.openxmlformats.org/spreadsheetml/2006/main" count="451" uniqueCount="99">
  <si>
    <t>REE- Patterns:</t>
  </si>
  <si>
    <t>SIMS-Daten 3f :</t>
  </si>
  <si>
    <t>Ne-4a</t>
  </si>
  <si>
    <t>Normalisierung</t>
  </si>
  <si>
    <t>-1, dol</t>
  </si>
  <si>
    <t>La</t>
  </si>
  <si>
    <t>Ce</t>
  </si>
  <si>
    <t>Pr</t>
  </si>
  <si>
    <t>Nd</t>
  </si>
  <si>
    <t>Sm</t>
  </si>
  <si>
    <t>Pm</t>
  </si>
  <si>
    <t>Eu</t>
  </si>
  <si>
    <t>Gd</t>
  </si>
  <si>
    <t>Tb</t>
  </si>
  <si>
    <t>Dy</t>
  </si>
  <si>
    <t>Ho</t>
  </si>
  <si>
    <t>Er</t>
  </si>
  <si>
    <t>Yb</t>
  </si>
  <si>
    <t>Lu</t>
  </si>
  <si>
    <t>-2, dol</t>
  </si>
  <si>
    <t>AB -1</t>
  </si>
  <si>
    <t>-1, mgs</t>
  </si>
  <si>
    <t>-3, mgs</t>
  </si>
  <si>
    <t>-4, mgs</t>
  </si>
  <si>
    <t>-5, mgs</t>
  </si>
  <si>
    <t>-6, dol</t>
  </si>
  <si>
    <t>-7, dol</t>
  </si>
  <si>
    <t>-8, dol</t>
  </si>
  <si>
    <t>-9, sd</t>
  </si>
  <si>
    <t>AB -2</t>
  </si>
  <si>
    <t>-10, dol</t>
  </si>
  <si>
    <t>-11, dol</t>
  </si>
  <si>
    <t>Ne-4b</t>
  </si>
  <si>
    <t>-3, dol</t>
  </si>
  <si>
    <t>-4, sd</t>
  </si>
  <si>
    <t>Ne-5a</t>
  </si>
  <si>
    <t>-3, ap</t>
  </si>
  <si>
    <t>-4, ap</t>
  </si>
  <si>
    <t>-5, sd</t>
  </si>
  <si>
    <t>-7, (sd-dol)</t>
  </si>
  <si>
    <t>-8, (sd-dol)</t>
  </si>
  <si>
    <t>AB -3</t>
  </si>
  <si>
    <t>-9, mgs</t>
  </si>
  <si>
    <t>AB -4</t>
  </si>
  <si>
    <t>SIMS-data 3f (concentrations) :</t>
  </si>
  <si>
    <t>Ray et al., 2013 CMP</t>
  </si>
  <si>
    <t>N-5 dc</t>
  </si>
  <si>
    <t>N-6 dc</t>
  </si>
  <si>
    <t>N-7A ac</t>
  </si>
  <si>
    <t>N-8A dc</t>
  </si>
  <si>
    <t>N-9 ap</t>
  </si>
  <si>
    <t>N-11 ap</t>
  </si>
  <si>
    <t>N-12 ac</t>
  </si>
  <si>
    <t>N-13 dc</t>
  </si>
  <si>
    <t>N-15 dc</t>
  </si>
  <si>
    <t>N-20 dc</t>
  </si>
  <si>
    <t>N-21 dc</t>
  </si>
  <si>
    <t>N-27 dc</t>
  </si>
  <si>
    <t>N-35 dc</t>
  </si>
  <si>
    <t>N-36 ac</t>
  </si>
  <si>
    <t>Tm</t>
  </si>
  <si>
    <t>CI: Sun &amp; McDonough 1995</t>
  </si>
  <si>
    <t>ppm</t>
  </si>
  <si>
    <t>PAAS / CI (Pourmand)</t>
  </si>
  <si>
    <t>Eu/Eu* :</t>
  </si>
  <si>
    <t>Eu/Eu* =</t>
  </si>
  <si>
    <t>La/Sm =</t>
  </si>
  <si>
    <t>La/Yb =</t>
  </si>
  <si>
    <t>-4b, mgs</t>
  </si>
  <si>
    <t>-5b, mgs</t>
  </si>
  <si>
    <t>-9b, sd</t>
  </si>
  <si>
    <t>AB-3</t>
  </si>
  <si>
    <t>-12, mgs</t>
  </si>
  <si>
    <t>-12b, mgs</t>
  </si>
  <si>
    <t>Ba</t>
  </si>
  <si>
    <t>-9a, mgs</t>
  </si>
  <si>
    <t>-10b, mgs</t>
  </si>
  <si>
    <t>(dreckig?)</t>
  </si>
  <si>
    <t>AVERAGE COMPOSITIONS:</t>
  </si>
  <si>
    <t>Dolomite</t>
  </si>
  <si>
    <t>Magnesite</t>
  </si>
  <si>
    <t>Siderite</t>
  </si>
  <si>
    <t>Dol-Pseudomorphs</t>
  </si>
  <si>
    <t>Apatite</t>
  </si>
  <si>
    <t>AVERAGE COMPOSITIONS Ne-4:</t>
  </si>
  <si>
    <t>AVERAGE COMPOSITIONS Ne-5:</t>
  </si>
  <si>
    <t>---</t>
  </si>
  <si>
    <t>(nach Pourmand et al. 2012)</t>
  </si>
  <si>
    <t>CI :Pourmand et al 2012</t>
  </si>
  <si>
    <t>PAAS :Pourmand et al 2012</t>
  </si>
  <si>
    <t>1s</t>
  </si>
  <si>
    <t>Normalization</t>
  </si>
  <si>
    <t>(after Pourmand et al. 2012)</t>
  </si>
  <si>
    <t>Sum REE (ppm)</t>
  </si>
  <si>
    <t>NE-4a</t>
  </si>
  <si>
    <t>NE-4b</t>
  </si>
  <si>
    <t>NE-5a</t>
  </si>
  <si>
    <r>
      <t>Title: "New insights into formation of the dolomite – magnesite – siderite series in the Newania carbonatite complex, India: Mineralogy, petrology and in situ SIMS analyses (REE, d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C, d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 xml:space="preserve">O, U-Th-Pb ages)". Journal: Mineralogy and Petrology. </t>
    </r>
  </si>
  <si>
    <t>Authors: Jens Hopp*, Shrinivas G. Viladkar, Axel K. Schmitt, Andreas T. Hertwig, Alexander Varychev. Corresponding author*: Institute of Earth Sciences, Heidelberg University, Im Neuenheimer Feld 234-236, D-69120 Heidelberg, Germany. Email: jens.hopp@geow.uni-heidelberg.de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</si>
</sst>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quotePrefix="1"/>
    <xf numFmtId="0" fontId="2" fillId="2" borderId="0" xfId="0" applyFont="1" applyFill="1"/>
    <xf numFmtId="0" fontId="3" fillId="0" borderId="0" xfId="0" applyFont="1"/>
    <xf numFmtId="0" fontId="0" fillId="2" borderId="0" xfId="0" applyFill="1"/>
    <xf numFmtId="0" fontId="4" fillId="0" borderId="0" xfId="0" applyFont="1"/>
    <xf numFmtId="0" fontId="0" fillId="0" borderId="0" xfId="0" applyFill="1"/>
    <xf numFmtId="0" fontId="3" fillId="0" borderId="0" xfId="0" applyFont="1" applyFill="1"/>
    <xf numFmtId="0" fontId="0" fillId="0" borderId="0" xfId="0" quotePrefix="1" applyFill="1"/>
    <xf numFmtId="0" fontId="2" fillId="0" borderId="0" xfId="0" applyFont="1" applyFill="1"/>
    <xf numFmtId="2" fontId="0" fillId="0" borderId="0" xfId="0" applyNumberFormat="1"/>
    <xf numFmtId="2" fontId="0" fillId="2" borderId="0" xfId="0" applyNumberFormat="1" applyFill="1"/>
    <xf numFmtId="0" fontId="5" fillId="0" borderId="0" xfId="0" applyFont="1"/>
    <xf numFmtId="2" fontId="5" fillId="0" borderId="0" xfId="0" applyNumberFormat="1" applyFont="1"/>
    <xf numFmtId="2" fontId="2" fillId="2" borderId="0" xfId="0" applyNumberFormat="1" applyFont="1" applyFill="1"/>
    <xf numFmtId="164" fontId="1" fillId="0" borderId="0" xfId="0" applyNumberFormat="1" applyFont="1"/>
    <xf numFmtId="0" fontId="2" fillId="0" borderId="0" xfId="0" applyFont="1"/>
    <xf numFmtId="0" fontId="6" fillId="2" borderId="0" xfId="0" applyFont="1" applyFill="1"/>
    <xf numFmtId="2" fontId="1" fillId="0" borderId="0" xfId="0" applyNumberFormat="1" applyFont="1"/>
    <xf numFmtId="0" fontId="0" fillId="0" borderId="0" xfId="0" applyAlignment="1">
      <alignment horizontal="center"/>
    </xf>
    <xf numFmtId="2" fontId="7" fillId="2" borderId="0" xfId="0" applyNumberFormat="1" applyFont="1" applyFill="1"/>
    <xf numFmtId="0" fontId="0" fillId="3" borderId="0" xfId="0" applyFill="1"/>
    <xf numFmtId="0" fontId="8" fillId="0" borderId="0" xfId="0" applyFont="1"/>
    <xf numFmtId="0" fontId="0" fillId="0" borderId="0" xfId="0" applyFont="1" applyBorder="1" applyAlignment="1">
      <alignment wrapText="1"/>
    </xf>
    <xf numFmtId="0" fontId="0" fillId="0" borderId="1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La/Yb vs [La]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'Newania-normalized'!$AA$7:$BF$7</c:f>
              <c:numCache>
                <c:formatCode>General</c:formatCode>
                <c:ptCount val="32"/>
                <c:pt idx="0">
                  <c:v>0.32401782098015391</c:v>
                </c:pt>
                <c:pt idx="1">
                  <c:v>63.912515188335355</c:v>
                </c:pt>
                <c:pt idx="2">
                  <c:v>0.28351559335763471</c:v>
                </c:pt>
                <c:pt idx="3">
                  <c:v>0.24301336573511542</c:v>
                </c:pt>
                <c:pt idx="4">
                  <c:v>4.0502227622519239E-2</c:v>
                </c:pt>
                <c:pt idx="5">
                  <c:v>0.24301336573511542</c:v>
                </c:pt>
                <c:pt idx="6">
                  <c:v>4.0502227622519239E-2</c:v>
                </c:pt>
                <c:pt idx="7">
                  <c:v>67.557715674362086</c:v>
                </c:pt>
                <c:pt idx="8">
                  <c:v>101.86310247063588</c:v>
                </c:pt>
                <c:pt idx="9">
                  <c:v>86.917780477926286</c:v>
                </c:pt>
                <c:pt idx="10">
                  <c:v>0.89104900769542317</c:v>
                </c:pt>
                <c:pt idx="11">
                  <c:v>0.76954232482786555</c:v>
                </c:pt>
                <c:pt idx="12">
                  <c:v>78.574321587687308</c:v>
                </c:pt>
                <c:pt idx="13">
                  <c:v>66.950182260024306</c:v>
                </c:pt>
                <c:pt idx="14">
                  <c:v>8.1004455245038479E-2</c:v>
                </c:pt>
                <c:pt idx="15">
                  <c:v>0</c:v>
                </c:pt>
                <c:pt idx="16">
                  <c:v>52.693398136897528</c:v>
                </c:pt>
                <c:pt idx="17">
                  <c:v>56.581611988659375</c:v>
                </c:pt>
                <c:pt idx="18">
                  <c:v>80.275415147833129</c:v>
                </c:pt>
                <c:pt idx="19">
                  <c:v>1.4580801944106925</c:v>
                </c:pt>
                <c:pt idx="20">
                  <c:v>3.240178209801539</c:v>
                </c:pt>
                <c:pt idx="21">
                  <c:v>2.1466180639935195</c:v>
                </c:pt>
                <c:pt idx="22">
                  <c:v>33.211826650465774</c:v>
                </c:pt>
                <c:pt idx="23">
                  <c:v>37.950587282300525</c:v>
                </c:pt>
                <c:pt idx="24">
                  <c:v>1181.4904819765086</c:v>
                </c:pt>
                <c:pt idx="25">
                  <c:v>1200.7695423248279</c:v>
                </c:pt>
                <c:pt idx="26">
                  <c:v>3.6452004860267313</c:v>
                </c:pt>
                <c:pt idx="27">
                  <c:v>0.16200891049007696</c:v>
                </c:pt>
                <c:pt idx="28">
                  <c:v>1.7820980153908463</c:v>
                </c:pt>
                <c:pt idx="29">
                  <c:v>0.12150668286755771</c:v>
                </c:pt>
                <c:pt idx="30">
                  <c:v>4.0502227622519239E-2</c:v>
                </c:pt>
                <c:pt idx="31">
                  <c:v>4.0502227622519239E-2</c:v>
                </c:pt>
              </c:numCache>
            </c:numRef>
          </c:xVal>
          <c:yVal>
            <c:numRef>
              <c:f>'Newania-normalized'!$AA$8:$BF$8</c:f>
              <c:numCache>
                <c:formatCode>General</c:formatCode>
                <c:ptCount val="32"/>
                <c:pt idx="0">
                  <c:v>0.17152693398136898</c:v>
                </c:pt>
                <c:pt idx="1">
                  <c:v>63.686941605317699</c:v>
                </c:pt>
                <c:pt idx="2">
                  <c:v>0.15008606723369786</c:v>
                </c:pt>
                <c:pt idx="3">
                  <c:v>9.5735963152391981E-2</c:v>
                </c:pt>
                <c:pt idx="4">
                  <c:v>1.6734335022572582E-2</c:v>
                </c:pt>
                <c:pt idx="5">
                  <c:v>9.356014580801944E-2</c:v>
                </c:pt>
                <c:pt idx="6">
                  <c:v>1.1628944676702982E-2</c:v>
                </c:pt>
                <c:pt idx="7">
                  <c:v>44.016450135526682</c:v>
                </c:pt>
                <c:pt idx="8">
                  <c:v>71.898373160523832</c:v>
                </c:pt>
                <c:pt idx="9">
                  <c:v>47.496361332131336</c:v>
                </c:pt>
                <c:pt idx="10">
                  <c:v>0.39722026816738071</c:v>
                </c:pt>
                <c:pt idx="11">
                  <c:v>0.24140827745526003</c:v>
                </c:pt>
                <c:pt idx="12">
                  <c:v>70.055210931338053</c:v>
                </c:pt>
                <c:pt idx="13">
                  <c:v>59.691373025516405</c:v>
                </c:pt>
                <c:pt idx="14">
                  <c:v>6.861077359254758E-2</c:v>
                </c:pt>
                <c:pt idx="15">
                  <c:v>0</c:v>
                </c:pt>
                <c:pt idx="16">
                  <c:v>42.506007830430669</c:v>
                </c:pt>
                <c:pt idx="17">
                  <c:v>106.49916745420998</c:v>
                </c:pt>
                <c:pt idx="18">
                  <c:v>226.64425543404886</c:v>
                </c:pt>
                <c:pt idx="19">
                  <c:v>0.44106925880923442</c:v>
                </c:pt>
                <c:pt idx="20">
                  <c:v>0.87124791863552498</c:v>
                </c:pt>
                <c:pt idx="21">
                  <c:v>0.25429167835000155</c:v>
                </c:pt>
                <c:pt idx="22">
                  <c:v>14.805482722602372</c:v>
                </c:pt>
                <c:pt idx="23">
                  <c:v>27.951432546181341</c:v>
                </c:pt>
                <c:pt idx="24">
                  <c:v>135.23276192352739</c:v>
                </c:pt>
                <c:pt idx="25">
                  <c:v>127.13147529364113</c:v>
                </c:pt>
                <c:pt idx="26">
                  <c:v>0.47867981576195989</c:v>
                </c:pt>
                <c:pt idx="27">
                  <c:v>1.3722154718509518</c:v>
                </c:pt>
                <c:pt idx="28">
                  <c:v>5.0314567301201558</c:v>
                </c:pt>
                <c:pt idx="29">
                  <c:v>7.9166277222170289E-2</c:v>
                </c:pt>
                <c:pt idx="30">
                  <c:v>3.430538679627379E-2</c:v>
                </c:pt>
                <c:pt idx="31">
                  <c:v>4.9007695423248274E-2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EB-4E8C-A411-7D972A0BB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430768"/>
        <c:axId val="402429128"/>
      </c:scatterChart>
      <c:valAx>
        <c:axId val="402430768"/>
        <c:scaling>
          <c:orientation val="minMax"/>
          <c:max val="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2429128"/>
        <c:crosses val="autoZero"/>
        <c:crossBetween val="midCat"/>
      </c:valAx>
      <c:valAx>
        <c:axId val="40242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2430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7" Type="http://schemas.openxmlformats.org/officeDocument/2006/relationships/image" Target="../media/image7.ti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6" Type="http://schemas.openxmlformats.org/officeDocument/2006/relationships/image" Target="../media/image6.tif"/><Relationship Id="rId5" Type="http://schemas.openxmlformats.org/officeDocument/2006/relationships/image" Target="../media/image5.tiff"/><Relationship Id="rId4" Type="http://schemas.openxmlformats.org/officeDocument/2006/relationships/image" Target="../media/image4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733435</xdr:colOff>
      <xdr:row>6</xdr:row>
      <xdr:rowOff>3</xdr:rowOff>
    </xdr:from>
    <xdr:to>
      <xdr:col>4</xdr:col>
      <xdr:colOff>565795</xdr:colOff>
      <xdr:row>17</xdr:row>
      <xdr:rowOff>65811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35" y="714378"/>
          <a:ext cx="2880360" cy="2161309"/>
        </a:xfrm>
        <a:prstGeom prst="rect">
          <a:avLst/>
        </a:prstGeom>
      </xdr:spPr>
    </xdr:pic>
    <xdr:clientData/>
  </xdr:twoCellAnchor>
  <xdr:twoCellAnchor editAs="oneCell">
    <xdr:from>
      <xdr:col>1</xdr:col>
      <xdr:colOff>16650</xdr:colOff>
      <xdr:row>28</xdr:row>
      <xdr:rowOff>188101</xdr:rowOff>
    </xdr:from>
    <xdr:to>
      <xdr:col>4</xdr:col>
      <xdr:colOff>611010</xdr:colOff>
      <xdr:row>40</xdr:row>
      <xdr:rowOff>63410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650" y="5093476"/>
          <a:ext cx="2880360" cy="2161309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14250</xdr:colOff>
      <xdr:row>6</xdr:row>
      <xdr:rowOff>14251</xdr:rowOff>
    </xdr:from>
    <xdr:to>
      <xdr:col>14</xdr:col>
      <xdr:colOff>608610</xdr:colOff>
      <xdr:row>17</xdr:row>
      <xdr:rowOff>80059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6250" y="728626"/>
          <a:ext cx="2880360" cy="2161309"/>
        </a:xfrm>
        <a:prstGeom prst="rect">
          <a:avLst/>
        </a:prstGeom>
      </xdr:spPr>
    </xdr:pic>
    <xdr:clientData/>
  </xdr:twoCellAnchor>
  <xdr:twoCellAnchor editAs="oneCell">
    <xdr:from>
      <xdr:col>19</xdr:col>
      <xdr:colOff>21375</xdr:colOff>
      <xdr:row>6</xdr:row>
      <xdr:rowOff>1</xdr:rowOff>
    </xdr:from>
    <xdr:to>
      <xdr:col>22</xdr:col>
      <xdr:colOff>615734</xdr:colOff>
      <xdr:row>17</xdr:row>
      <xdr:rowOff>65809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3375" y="714376"/>
          <a:ext cx="2880360" cy="2161309"/>
        </a:xfrm>
        <a:prstGeom prst="rect">
          <a:avLst/>
        </a:prstGeom>
      </xdr:spPr>
    </xdr:pic>
    <xdr:clientData/>
  </xdr:twoCellAnchor>
  <xdr:twoCellAnchor editAs="oneCell">
    <xdr:from>
      <xdr:col>19</xdr:col>
      <xdr:colOff>18975</xdr:colOff>
      <xdr:row>28</xdr:row>
      <xdr:rowOff>76126</xdr:rowOff>
    </xdr:from>
    <xdr:to>
      <xdr:col>22</xdr:col>
      <xdr:colOff>613334</xdr:colOff>
      <xdr:row>39</xdr:row>
      <xdr:rowOff>141935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0975" y="4981501"/>
          <a:ext cx="2880360" cy="2161309"/>
        </a:xfrm>
        <a:prstGeom prst="rect">
          <a:avLst/>
        </a:prstGeom>
      </xdr:spPr>
    </xdr:pic>
    <xdr:clientData/>
  </xdr:twoCellAnchor>
  <xdr:twoCellAnchor editAs="oneCell">
    <xdr:from>
      <xdr:col>19</xdr:col>
      <xdr:colOff>16575</xdr:colOff>
      <xdr:row>71</xdr:row>
      <xdr:rowOff>16575</xdr:rowOff>
    </xdr:from>
    <xdr:to>
      <xdr:col>32</xdr:col>
      <xdr:colOff>168975</xdr:colOff>
      <xdr:row>110</xdr:row>
      <xdr:rowOff>130874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4575" y="16971075"/>
          <a:ext cx="10058400" cy="7543800"/>
        </a:xfrm>
        <a:prstGeom prst="rect">
          <a:avLst/>
        </a:prstGeom>
      </xdr:spPr>
    </xdr:pic>
    <xdr:clientData/>
  </xdr:twoCellAnchor>
  <xdr:twoCellAnchor editAs="oneCell">
    <xdr:from>
      <xdr:col>19</xdr:col>
      <xdr:colOff>23700</xdr:colOff>
      <xdr:row>114</xdr:row>
      <xdr:rowOff>14175</xdr:rowOff>
    </xdr:from>
    <xdr:to>
      <xdr:col>32</xdr:col>
      <xdr:colOff>176100</xdr:colOff>
      <xdr:row>153</xdr:row>
      <xdr:rowOff>128475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31700" y="25160175"/>
          <a:ext cx="10058400" cy="7543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28575</xdr:colOff>
      <xdr:row>12</xdr:row>
      <xdr:rowOff>14286</xdr:rowOff>
    </xdr:from>
    <xdr:to>
      <xdr:col>32</xdr:col>
      <xdr:colOff>161925</xdr:colOff>
      <xdr:row>32</xdr:row>
      <xdr:rowOff>133349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844426A-BAC2-4424-9D3E-EB60EF540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H22" sqref="H22"/>
    </sheetView>
  </sheetViews>
  <sheetFormatPr baseColWidth="10" defaultRowHeight="15" x14ac:dyDescent="0.25"/>
  <cols>
    <col min="2" max="2" width="24" customWidth="1"/>
    <col min="3" max="3" width="3.42578125" customWidth="1"/>
    <col min="4" max="4" width="23.28515625" customWidth="1"/>
    <col min="5" max="5" width="2.85546875" customWidth="1"/>
    <col min="6" max="6" width="24.42578125" customWidth="1"/>
    <col min="7" max="7" width="4" customWidth="1"/>
    <col min="8" max="8" width="19.5703125" customWidth="1"/>
    <col min="9" max="9" width="2" customWidth="1"/>
  </cols>
  <sheetData>
    <row r="1" spans="1:12" ht="21" x14ac:dyDescent="0.35">
      <c r="A1" s="6" t="s">
        <v>0</v>
      </c>
    </row>
    <row r="3" spans="1:12" x14ac:dyDescent="0.25">
      <c r="B3" t="s">
        <v>61</v>
      </c>
      <c r="D3" t="s">
        <v>88</v>
      </c>
      <c r="F3" t="s">
        <v>89</v>
      </c>
      <c r="H3" t="s">
        <v>63</v>
      </c>
    </row>
    <row r="4" spans="1:12" x14ac:dyDescent="0.25">
      <c r="B4" s="2" t="s">
        <v>62</v>
      </c>
      <c r="C4" s="2"/>
      <c r="D4" s="2" t="s">
        <v>62</v>
      </c>
      <c r="E4" s="2"/>
      <c r="F4" s="2" t="s">
        <v>62</v>
      </c>
      <c r="G4" s="2"/>
      <c r="H4" s="2"/>
      <c r="I4" s="2"/>
      <c r="J4" s="2"/>
      <c r="K4" s="2"/>
      <c r="L4" s="2"/>
    </row>
    <row r="5" spans="1:12" x14ac:dyDescent="0.25">
      <c r="A5" t="s">
        <v>5</v>
      </c>
      <c r="D5">
        <v>0.24690000000000001</v>
      </c>
      <c r="F5">
        <v>44.56</v>
      </c>
      <c r="H5" s="11">
        <f>F5/D5</f>
        <v>180.47792628594573</v>
      </c>
    </row>
    <row r="6" spans="1:12" x14ac:dyDescent="0.25">
      <c r="A6" t="s">
        <v>6</v>
      </c>
      <c r="D6">
        <v>0.6321</v>
      </c>
      <c r="F6">
        <v>88.25</v>
      </c>
      <c r="H6" s="11">
        <f t="shared" ref="H6:H19" si="0">F6/D6</f>
        <v>139.6139851289353</v>
      </c>
    </row>
    <row r="7" spans="1:12" x14ac:dyDescent="0.25">
      <c r="A7" t="s">
        <v>7</v>
      </c>
      <c r="D7">
        <v>9.5899999999999999E-2</v>
      </c>
      <c r="F7">
        <v>10.15</v>
      </c>
      <c r="H7" s="11">
        <f t="shared" si="0"/>
        <v>105.83941605839416</v>
      </c>
    </row>
    <row r="8" spans="1:12" x14ac:dyDescent="0.25">
      <c r="A8" t="s">
        <v>8</v>
      </c>
      <c r="D8">
        <v>0.4854</v>
      </c>
      <c r="F8">
        <v>37.32</v>
      </c>
      <c r="H8" s="11">
        <f t="shared" si="0"/>
        <v>76.885043263288011</v>
      </c>
    </row>
    <row r="9" spans="1:12" s="3" customFormat="1" x14ac:dyDescent="0.25">
      <c r="A9" s="3" t="s">
        <v>10</v>
      </c>
      <c r="H9" s="12"/>
    </row>
    <row r="10" spans="1:12" x14ac:dyDescent="0.25">
      <c r="A10" t="s">
        <v>9</v>
      </c>
      <c r="D10">
        <v>0.15559999999999999</v>
      </c>
      <c r="F10">
        <v>6.8840000000000003</v>
      </c>
      <c r="H10" s="11">
        <f t="shared" si="0"/>
        <v>44.241645244215945</v>
      </c>
    </row>
    <row r="11" spans="1:12" x14ac:dyDescent="0.25">
      <c r="A11" t="s">
        <v>11</v>
      </c>
      <c r="D11">
        <v>5.9900000000000002E-2</v>
      </c>
      <c r="F11">
        <v>1.2150000000000001</v>
      </c>
      <c r="H11" s="11">
        <f t="shared" si="0"/>
        <v>20.283806343906512</v>
      </c>
    </row>
    <row r="12" spans="1:12" x14ac:dyDescent="0.25">
      <c r="A12" t="s">
        <v>12</v>
      </c>
      <c r="D12">
        <v>0.20930000000000001</v>
      </c>
      <c r="F12">
        <v>6.0430000000000001</v>
      </c>
      <c r="H12" s="11">
        <f t="shared" si="0"/>
        <v>28.872431915910177</v>
      </c>
    </row>
    <row r="13" spans="1:12" x14ac:dyDescent="0.25">
      <c r="A13" t="s">
        <v>13</v>
      </c>
      <c r="D13">
        <v>3.78E-2</v>
      </c>
      <c r="F13">
        <v>0.89139999999999997</v>
      </c>
      <c r="H13" s="11">
        <f t="shared" si="0"/>
        <v>23.582010582010582</v>
      </c>
    </row>
    <row r="14" spans="1:12" x14ac:dyDescent="0.25">
      <c r="A14" t="s">
        <v>14</v>
      </c>
      <c r="D14">
        <v>0.25769999999999998</v>
      </c>
      <c r="F14">
        <v>5.3250000000000002</v>
      </c>
      <c r="H14" s="11">
        <f t="shared" si="0"/>
        <v>20.663562281722935</v>
      </c>
    </row>
    <row r="15" spans="1:12" x14ac:dyDescent="0.25">
      <c r="A15" t="s">
        <v>15</v>
      </c>
      <c r="D15">
        <v>5.5399999999999998E-2</v>
      </c>
      <c r="F15">
        <v>1.052</v>
      </c>
      <c r="H15" s="11">
        <f t="shared" si="0"/>
        <v>18.989169675090253</v>
      </c>
    </row>
    <row r="16" spans="1:12" x14ac:dyDescent="0.25">
      <c r="A16" t="s">
        <v>16</v>
      </c>
      <c r="D16">
        <v>0.16669999999999999</v>
      </c>
      <c r="F16">
        <v>3.0750000000000002</v>
      </c>
      <c r="H16" s="11">
        <f t="shared" si="0"/>
        <v>18.446310737852432</v>
      </c>
    </row>
    <row r="17" spans="1:12" x14ac:dyDescent="0.25">
      <c r="A17" t="s">
        <v>60</v>
      </c>
      <c r="D17">
        <v>2.6100000000000002E-2</v>
      </c>
      <c r="F17">
        <v>0.45100000000000001</v>
      </c>
      <c r="H17" s="11">
        <f t="shared" si="0"/>
        <v>17.279693486590038</v>
      </c>
    </row>
    <row r="18" spans="1:12" x14ac:dyDescent="0.25">
      <c r="A18" t="s">
        <v>17</v>
      </c>
      <c r="D18">
        <v>0.1694</v>
      </c>
      <c r="F18">
        <v>3.012</v>
      </c>
      <c r="H18" s="11">
        <f t="shared" si="0"/>
        <v>17.780401416765052</v>
      </c>
    </row>
    <row r="19" spans="1:12" x14ac:dyDescent="0.25">
      <c r="A19" t="s">
        <v>18</v>
      </c>
      <c r="D19">
        <v>2.5600000000000001E-2</v>
      </c>
      <c r="F19">
        <v>0.43859999999999999</v>
      </c>
      <c r="H19" s="11">
        <f t="shared" si="0"/>
        <v>17.1328125</v>
      </c>
    </row>
    <row r="22" spans="1:12" s="13" customFormat="1" x14ac:dyDescent="0.25">
      <c r="A22" s="13" t="s">
        <v>64</v>
      </c>
      <c r="H22" s="14">
        <f>H11/SQRT(H10*H12)</f>
        <v>0.56753433140126142</v>
      </c>
    </row>
    <row r="23" spans="1:12" s="7" customFormat="1" x14ac:dyDescent="0.25">
      <c r="B23" s="8"/>
    </row>
    <row r="24" spans="1:12" s="7" customFormat="1" x14ac:dyDescent="0.25"/>
    <row r="25" spans="1:12" s="7" customFormat="1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s="7" customFormat="1" x14ac:dyDescent="0.25"/>
    <row r="27" spans="1:12" s="7" customFormat="1" x14ac:dyDescent="0.25"/>
    <row r="28" spans="1:12" s="7" customFormat="1" x14ac:dyDescent="0.25"/>
    <row r="29" spans="1:12" s="7" customFormat="1" x14ac:dyDescent="0.25"/>
    <row r="30" spans="1:12" s="7" customForma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s="7" customFormat="1" x14ac:dyDescent="0.25"/>
    <row r="32" spans="1:12" s="7" customFormat="1" x14ac:dyDescent="0.25"/>
    <row r="33" spans="2:12" s="7" customFormat="1" x14ac:dyDescent="0.25"/>
    <row r="34" spans="2:12" s="7" customFormat="1" x14ac:dyDescent="0.25"/>
    <row r="35" spans="2:12" s="7" customFormat="1" x14ac:dyDescent="0.25"/>
    <row r="36" spans="2:12" s="7" customFormat="1" x14ac:dyDescent="0.25"/>
    <row r="37" spans="2:12" s="7" customFormat="1" x14ac:dyDescent="0.25"/>
    <row r="38" spans="2:12" s="7" customFormat="1" x14ac:dyDescent="0.25"/>
    <row r="39" spans="2:12" s="7" customFormat="1" x14ac:dyDescent="0.25"/>
    <row r="40" spans="2:12" s="7" customFormat="1" x14ac:dyDescent="0.25"/>
    <row r="41" spans="2:12" s="7" customFormat="1" x14ac:dyDescent="0.25"/>
    <row r="42" spans="2:12" s="7" customFormat="1" x14ac:dyDescent="0.25"/>
    <row r="43" spans="2:12" s="7" customFormat="1" x14ac:dyDescent="0.25"/>
    <row r="44" spans="2:12" s="7" customFormat="1" x14ac:dyDescent="0.25">
      <c r="B44" s="8"/>
    </row>
    <row r="45" spans="2:12" s="7" customFormat="1" x14ac:dyDescent="0.25"/>
    <row r="46" spans="2:12" s="7" customForma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2:12" s="7" customFormat="1" x14ac:dyDescent="0.25"/>
    <row r="48" spans="2:12" s="7" customFormat="1" x14ac:dyDescent="0.25"/>
    <row r="49" spans="1:12" s="7" customFormat="1" x14ac:dyDescent="0.25"/>
    <row r="50" spans="1:12" s="7" customFormat="1" x14ac:dyDescent="0.25"/>
    <row r="51" spans="1:12" s="7" customForma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s="7" customFormat="1" x14ac:dyDescent="0.25"/>
    <row r="53" spans="1:12" s="7" customFormat="1" x14ac:dyDescent="0.25"/>
    <row r="54" spans="1:12" s="7" customFormat="1" x14ac:dyDescent="0.25"/>
    <row r="55" spans="1:12" s="7" customFormat="1" x14ac:dyDescent="0.25"/>
    <row r="56" spans="1:12" s="7" customFormat="1" x14ac:dyDescent="0.25"/>
    <row r="57" spans="1:12" s="7" customFormat="1" x14ac:dyDescent="0.25"/>
    <row r="58" spans="1:12" s="7" customFormat="1" x14ac:dyDescent="0.25"/>
    <row r="59" spans="1:12" s="7" customFormat="1" x14ac:dyDescent="0.25"/>
    <row r="60" spans="1:12" s="7" customFormat="1" x14ac:dyDescent="0.25"/>
    <row r="61" spans="1:12" s="7" customFormat="1" x14ac:dyDescent="0.25"/>
    <row r="62" spans="1:12" s="7" customFormat="1" x14ac:dyDescent="0.25"/>
    <row r="63" spans="1:12" s="7" customFormat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topLeftCell="C19" workbookViewId="0">
      <selection activeCell="F93" sqref="F93"/>
    </sheetView>
  </sheetViews>
  <sheetFormatPr baseColWidth="10" defaultRowHeight="15" x14ac:dyDescent="0.25"/>
  <cols>
    <col min="1" max="1" width="16.28515625" customWidth="1"/>
  </cols>
  <sheetData>
    <row r="1" spans="1:17" ht="21" x14ac:dyDescent="0.35">
      <c r="A1" s="6" t="s">
        <v>0</v>
      </c>
    </row>
    <row r="3" spans="1:17" x14ac:dyDescent="0.25">
      <c r="A3" s="1" t="s">
        <v>44</v>
      </c>
    </row>
    <row r="4" spans="1:17" x14ac:dyDescent="0.25">
      <c r="B4" s="4" t="s">
        <v>2</v>
      </c>
      <c r="P4" s="17" t="s">
        <v>77</v>
      </c>
    </row>
    <row r="5" spans="1:17" x14ac:dyDescent="0.25">
      <c r="B5" t="s">
        <v>20</v>
      </c>
      <c r="E5" s="17"/>
      <c r="G5" s="17"/>
      <c r="N5" t="s">
        <v>29</v>
      </c>
      <c r="P5" t="s">
        <v>71</v>
      </c>
    </row>
    <row r="6" spans="1:17" x14ac:dyDescent="0.25">
      <c r="B6" s="2" t="s">
        <v>21</v>
      </c>
      <c r="C6" s="2" t="s">
        <v>19</v>
      </c>
      <c r="D6" s="2" t="s">
        <v>22</v>
      </c>
      <c r="E6" s="2" t="s">
        <v>23</v>
      </c>
      <c r="F6" s="2" t="s">
        <v>68</v>
      </c>
      <c r="G6" s="2" t="s">
        <v>24</v>
      </c>
      <c r="H6" s="2" t="s">
        <v>69</v>
      </c>
      <c r="I6" s="2" t="s">
        <v>25</v>
      </c>
      <c r="J6" s="2" t="s">
        <v>26</v>
      </c>
      <c r="K6" s="2" t="s">
        <v>27</v>
      </c>
      <c r="L6" s="2" t="s">
        <v>28</v>
      </c>
      <c r="M6" s="2" t="s">
        <v>70</v>
      </c>
      <c r="N6" s="2" t="s">
        <v>30</v>
      </c>
      <c r="O6" s="2" t="s">
        <v>31</v>
      </c>
      <c r="P6" s="2" t="s">
        <v>72</v>
      </c>
      <c r="Q6" s="2" t="s">
        <v>73</v>
      </c>
    </row>
    <row r="7" spans="1:17" x14ac:dyDescent="0.25">
      <c r="A7" t="s">
        <v>5</v>
      </c>
      <c r="B7">
        <v>0.08</v>
      </c>
      <c r="C7">
        <v>15.78</v>
      </c>
      <c r="D7">
        <v>7.0000000000000007E-2</v>
      </c>
      <c r="E7">
        <v>0.06</v>
      </c>
      <c r="F7">
        <v>0.01</v>
      </c>
      <c r="G7">
        <v>0.06</v>
      </c>
      <c r="H7">
        <v>0.01</v>
      </c>
      <c r="I7">
        <v>16.68</v>
      </c>
      <c r="J7">
        <v>25.15</v>
      </c>
      <c r="K7">
        <v>21.46</v>
      </c>
      <c r="L7">
        <v>0.22</v>
      </c>
      <c r="M7">
        <v>0.19</v>
      </c>
      <c r="N7">
        <v>19.399999999999999</v>
      </c>
      <c r="O7">
        <v>16.53</v>
      </c>
      <c r="P7">
        <v>0.02</v>
      </c>
      <c r="Q7">
        <v>0</v>
      </c>
    </row>
    <row r="8" spans="1:17" x14ac:dyDescent="0.25">
      <c r="A8" t="s">
        <v>6</v>
      </c>
      <c r="B8">
        <v>0.06</v>
      </c>
      <c r="C8">
        <v>41.75</v>
      </c>
      <c r="D8">
        <v>0.05</v>
      </c>
      <c r="E8">
        <v>0.08</v>
      </c>
      <c r="F8">
        <v>0.03</v>
      </c>
      <c r="G8">
        <v>0.11</v>
      </c>
      <c r="H8">
        <v>0.03</v>
      </c>
      <c r="I8">
        <v>44.2</v>
      </c>
      <c r="J8">
        <v>63.39</v>
      </c>
      <c r="K8">
        <v>53.44</v>
      </c>
      <c r="L8">
        <v>0.39</v>
      </c>
      <c r="M8">
        <v>0.42</v>
      </c>
      <c r="N8">
        <v>44.8</v>
      </c>
      <c r="O8">
        <v>42.72</v>
      </c>
      <c r="P8">
        <v>0.03</v>
      </c>
      <c r="Q8">
        <v>0.01</v>
      </c>
    </row>
    <row r="9" spans="1:17" x14ac:dyDescent="0.25">
      <c r="A9" t="s">
        <v>7</v>
      </c>
      <c r="B9">
        <v>0.03</v>
      </c>
      <c r="C9">
        <v>5.21</v>
      </c>
      <c r="D9">
        <v>0.01</v>
      </c>
      <c r="E9">
        <v>0.01</v>
      </c>
      <c r="F9">
        <v>0.01</v>
      </c>
      <c r="G9">
        <v>0.01</v>
      </c>
      <c r="H9">
        <v>0.01</v>
      </c>
      <c r="I9">
        <v>5.42</v>
      </c>
      <c r="J9">
        <v>8.3000000000000007</v>
      </c>
      <c r="K9">
        <v>7.02</v>
      </c>
      <c r="L9">
        <v>0.04</v>
      </c>
      <c r="M9">
        <v>0.11</v>
      </c>
      <c r="N9">
        <v>5.36</v>
      </c>
      <c r="O9">
        <v>5.45</v>
      </c>
      <c r="P9">
        <v>0.01</v>
      </c>
      <c r="Q9">
        <v>0</v>
      </c>
    </row>
    <row r="10" spans="1:17" x14ac:dyDescent="0.25">
      <c r="A10" t="s">
        <v>8</v>
      </c>
      <c r="B10">
        <v>0.09</v>
      </c>
      <c r="C10">
        <v>20.97</v>
      </c>
      <c r="D10">
        <v>0.04</v>
      </c>
      <c r="E10">
        <v>0.12</v>
      </c>
      <c r="F10">
        <v>0.08</v>
      </c>
      <c r="G10">
        <v>0.09</v>
      </c>
      <c r="H10">
        <v>0.05</v>
      </c>
      <c r="I10">
        <v>23.35</v>
      </c>
      <c r="J10">
        <v>33.54</v>
      </c>
      <c r="K10">
        <v>29.15</v>
      </c>
      <c r="L10">
        <v>0.37</v>
      </c>
      <c r="M10">
        <v>0.33</v>
      </c>
      <c r="N10">
        <v>22.9</v>
      </c>
      <c r="O10">
        <v>23.82</v>
      </c>
      <c r="P10">
        <v>0.02</v>
      </c>
      <c r="Q10">
        <v>0.04</v>
      </c>
    </row>
    <row r="11" spans="1:17" s="3" customFormat="1" x14ac:dyDescent="0.25">
      <c r="A11" s="3" t="s">
        <v>10</v>
      </c>
    </row>
    <row r="12" spans="1:17" x14ac:dyDescent="0.25">
      <c r="A12" t="s">
        <v>9</v>
      </c>
      <c r="B12">
        <v>0.09</v>
      </c>
      <c r="C12">
        <v>4.47</v>
      </c>
      <c r="D12">
        <v>0.05</v>
      </c>
      <c r="E12">
        <v>0.09</v>
      </c>
      <c r="F12">
        <v>0.11</v>
      </c>
      <c r="G12">
        <v>0.05</v>
      </c>
      <c r="H12">
        <v>0.02</v>
      </c>
      <c r="I12">
        <v>4.46</v>
      </c>
      <c r="J12">
        <v>6.02</v>
      </c>
      <c r="K12">
        <v>5.46</v>
      </c>
      <c r="L12">
        <v>0.12</v>
      </c>
      <c r="M12">
        <v>0.09</v>
      </c>
      <c r="N12">
        <v>4.3899999999999997</v>
      </c>
      <c r="O12">
        <v>5.17</v>
      </c>
      <c r="P12">
        <v>0.01</v>
      </c>
      <c r="Q12">
        <v>0.03</v>
      </c>
    </row>
    <row r="13" spans="1:17" x14ac:dyDescent="0.25">
      <c r="A13" t="s">
        <v>11</v>
      </c>
      <c r="B13">
        <v>0.06</v>
      </c>
      <c r="C13">
        <v>2.68</v>
      </c>
      <c r="D13">
        <v>0.03</v>
      </c>
      <c r="E13">
        <v>0.02</v>
      </c>
      <c r="F13">
        <v>0.02</v>
      </c>
      <c r="G13">
        <v>0.01</v>
      </c>
      <c r="H13">
        <v>0.02</v>
      </c>
      <c r="I13">
        <v>2.41</v>
      </c>
      <c r="J13">
        <v>2.95</v>
      </c>
      <c r="K13">
        <v>2.91</v>
      </c>
      <c r="L13">
        <v>0</v>
      </c>
      <c r="M13">
        <v>0</v>
      </c>
      <c r="N13">
        <v>2.38</v>
      </c>
      <c r="O13">
        <v>2.78</v>
      </c>
      <c r="P13">
        <v>0.01</v>
      </c>
      <c r="Q13">
        <v>0.01</v>
      </c>
    </row>
    <row r="14" spans="1:17" x14ac:dyDescent="0.25">
      <c r="A14" t="s">
        <v>12</v>
      </c>
      <c r="B14">
        <v>0.15</v>
      </c>
      <c r="C14">
        <v>2.64</v>
      </c>
      <c r="D14">
        <v>0.12</v>
      </c>
      <c r="E14">
        <v>0.16</v>
      </c>
      <c r="F14">
        <v>0.18</v>
      </c>
      <c r="G14">
        <v>0.08</v>
      </c>
      <c r="H14">
        <v>0.15</v>
      </c>
      <c r="I14">
        <v>2.16</v>
      </c>
      <c r="J14">
        <v>3.24</v>
      </c>
      <c r="K14">
        <v>3.11</v>
      </c>
      <c r="L14">
        <v>0.15</v>
      </c>
      <c r="M14">
        <v>0.18</v>
      </c>
      <c r="N14">
        <v>2.5299999999999998</v>
      </c>
      <c r="O14">
        <v>3.17</v>
      </c>
      <c r="P14">
        <v>0.08</v>
      </c>
      <c r="Q14">
        <v>7.0000000000000007E-2</v>
      </c>
    </row>
    <row r="15" spans="1:17" x14ac:dyDescent="0.25">
      <c r="A15" t="s">
        <v>13</v>
      </c>
      <c r="B15">
        <v>0.01</v>
      </c>
      <c r="C15">
        <v>0.28000000000000003</v>
      </c>
      <c r="D15">
        <v>0.03</v>
      </c>
      <c r="E15">
        <v>0.04</v>
      </c>
      <c r="F15">
        <v>0.04</v>
      </c>
      <c r="G15">
        <v>0.02</v>
      </c>
      <c r="H15">
        <v>0.02</v>
      </c>
      <c r="I15">
        <v>0.28999999999999998</v>
      </c>
      <c r="J15">
        <v>0.33</v>
      </c>
      <c r="K15">
        <v>0.35</v>
      </c>
      <c r="L15">
        <v>0.02</v>
      </c>
      <c r="M15">
        <v>0.03</v>
      </c>
      <c r="N15">
        <v>0.24</v>
      </c>
      <c r="O15">
        <v>0.3</v>
      </c>
      <c r="P15">
        <v>0.01</v>
      </c>
      <c r="Q15">
        <v>0.02</v>
      </c>
    </row>
    <row r="16" spans="1:17" x14ac:dyDescent="0.25">
      <c r="A16" t="s">
        <v>14</v>
      </c>
      <c r="B16">
        <v>0.16</v>
      </c>
      <c r="C16">
        <v>1.28</v>
      </c>
      <c r="D16">
        <v>0.26</v>
      </c>
      <c r="E16">
        <v>0.25</v>
      </c>
      <c r="F16">
        <v>0.14000000000000001</v>
      </c>
      <c r="G16">
        <v>0.28000000000000003</v>
      </c>
      <c r="H16">
        <v>0.12</v>
      </c>
      <c r="I16">
        <v>1.1399999999999999</v>
      </c>
      <c r="J16">
        <v>1.62</v>
      </c>
      <c r="K16">
        <v>1.45</v>
      </c>
      <c r="L16">
        <v>0.25</v>
      </c>
      <c r="M16">
        <v>0.23</v>
      </c>
      <c r="N16">
        <v>1.35</v>
      </c>
      <c r="O16">
        <v>1.28</v>
      </c>
      <c r="P16">
        <v>0.11</v>
      </c>
      <c r="Q16">
        <v>0.09</v>
      </c>
    </row>
    <row r="17" spans="1:17" x14ac:dyDescent="0.25">
      <c r="A17" t="s">
        <v>15</v>
      </c>
      <c r="B17">
        <v>0.04</v>
      </c>
      <c r="C17">
        <v>0.17</v>
      </c>
      <c r="D17">
        <v>7.0000000000000007E-2</v>
      </c>
      <c r="E17">
        <v>0.06</v>
      </c>
      <c r="F17">
        <v>0.08</v>
      </c>
      <c r="G17">
        <v>0.05</v>
      </c>
      <c r="H17">
        <v>7.0000000000000007E-2</v>
      </c>
      <c r="I17">
        <v>0.16</v>
      </c>
      <c r="J17">
        <v>0.17</v>
      </c>
      <c r="K17">
        <v>0.22</v>
      </c>
      <c r="L17">
        <v>0.09</v>
      </c>
      <c r="M17">
        <v>0.09</v>
      </c>
      <c r="N17">
        <v>0.21</v>
      </c>
      <c r="O17">
        <v>0.17</v>
      </c>
      <c r="P17">
        <v>0.02</v>
      </c>
      <c r="Q17">
        <v>0.03</v>
      </c>
    </row>
    <row r="18" spans="1:17" x14ac:dyDescent="0.25">
      <c r="A18" t="s">
        <v>16</v>
      </c>
      <c r="B18">
        <v>0.06</v>
      </c>
      <c r="C18">
        <v>0.28000000000000003</v>
      </c>
      <c r="D18">
        <v>0.2</v>
      </c>
      <c r="E18">
        <v>0.19</v>
      </c>
      <c r="F18">
        <v>0.22</v>
      </c>
      <c r="G18">
        <v>0.15</v>
      </c>
      <c r="H18">
        <v>0.15</v>
      </c>
      <c r="I18">
        <v>0.34</v>
      </c>
      <c r="J18">
        <v>0.31</v>
      </c>
      <c r="K18">
        <v>0.31</v>
      </c>
      <c r="L18">
        <v>0.36</v>
      </c>
      <c r="M18">
        <v>0.37</v>
      </c>
      <c r="N18">
        <v>0.21</v>
      </c>
      <c r="O18">
        <v>0.36</v>
      </c>
      <c r="P18">
        <v>0.13</v>
      </c>
      <c r="Q18">
        <v>0.08</v>
      </c>
    </row>
    <row r="19" spans="1:17" x14ac:dyDescent="0.25">
      <c r="A19" t="s">
        <v>60</v>
      </c>
      <c r="B19">
        <v>0.02</v>
      </c>
      <c r="C19">
        <v>0.05</v>
      </c>
      <c r="D19">
        <v>0.04</v>
      </c>
      <c r="E19">
        <v>0.06</v>
      </c>
      <c r="F19">
        <v>0.03</v>
      </c>
      <c r="G19">
        <v>0.04</v>
      </c>
      <c r="H19">
        <v>0.06</v>
      </c>
      <c r="I19">
        <v>0.03</v>
      </c>
      <c r="J19">
        <v>0.04</v>
      </c>
      <c r="K19">
        <v>0.03</v>
      </c>
      <c r="L19">
        <v>0.09</v>
      </c>
      <c r="M19">
        <v>0.08</v>
      </c>
      <c r="N19">
        <v>0.04</v>
      </c>
      <c r="O19">
        <v>0.06</v>
      </c>
      <c r="P19">
        <v>0.02</v>
      </c>
      <c r="Q19">
        <v>0.02</v>
      </c>
    </row>
    <row r="20" spans="1:17" x14ac:dyDescent="0.25">
      <c r="A20" t="s">
        <v>17</v>
      </c>
      <c r="B20">
        <v>0.32</v>
      </c>
      <c r="C20">
        <v>0.17</v>
      </c>
      <c r="D20">
        <v>0.32</v>
      </c>
      <c r="E20">
        <v>0.43</v>
      </c>
      <c r="F20">
        <v>0.41</v>
      </c>
      <c r="G20">
        <v>0.44</v>
      </c>
      <c r="H20">
        <v>0.59</v>
      </c>
      <c r="I20">
        <v>0.26</v>
      </c>
      <c r="J20">
        <v>0.24</v>
      </c>
      <c r="K20">
        <v>0.31</v>
      </c>
      <c r="L20">
        <v>0.38</v>
      </c>
      <c r="M20">
        <v>0.54</v>
      </c>
      <c r="N20">
        <v>0.19</v>
      </c>
      <c r="O20">
        <v>0.19</v>
      </c>
      <c r="P20">
        <v>0.2</v>
      </c>
      <c r="Q20">
        <v>0.16</v>
      </c>
    </row>
    <row r="21" spans="1:17" x14ac:dyDescent="0.25">
      <c r="A21" t="s">
        <v>18</v>
      </c>
      <c r="B21">
        <v>0.03</v>
      </c>
      <c r="C21">
        <v>0.03</v>
      </c>
      <c r="D21">
        <v>0.06</v>
      </c>
      <c r="E21">
        <v>0.06</v>
      </c>
      <c r="F21">
        <v>0.05</v>
      </c>
      <c r="G21">
        <v>0.08</v>
      </c>
      <c r="H21">
        <v>0.09</v>
      </c>
      <c r="I21">
        <v>0.02</v>
      </c>
      <c r="J21">
        <v>0.02</v>
      </c>
      <c r="K21">
        <v>0.02</v>
      </c>
      <c r="L21">
        <v>0.19</v>
      </c>
      <c r="M21">
        <v>0.13</v>
      </c>
      <c r="N21">
        <v>0.03</v>
      </c>
      <c r="O21">
        <v>0.04</v>
      </c>
      <c r="P21">
        <v>0.03</v>
      </c>
      <c r="Q21">
        <v>0.03</v>
      </c>
    </row>
    <row r="22" spans="1:17" x14ac:dyDescent="0.25">
      <c r="A22" s="1" t="s">
        <v>74</v>
      </c>
      <c r="B22">
        <v>0.3</v>
      </c>
      <c r="C22">
        <v>1.448</v>
      </c>
      <c r="D22">
        <v>0.22</v>
      </c>
      <c r="E22">
        <v>0.22</v>
      </c>
      <c r="F22">
        <v>0.03</v>
      </c>
      <c r="G22">
        <v>0.38</v>
      </c>
      <c r="H22">
        <v>0.09</v>
      </c>
      <c r="I22">
        <v>1.66</v>
      </c>
      <c r="J22">
        <v>1.82</v>
      </c>
      <c r="K22">
        <v>1.53</v>
      </c>
      <c r="L22">
        <v>4.12</v>
      </c>
      <c r="M22">
        <v>7.05</v>
      </c>
      <c r="N22">
        <v>2.82</v>
      </c>
      <c r="O22">
        <v>1.03</v>
      </c>
      <c r="P22">
        <v>0.32</v>
      </c>
      <c r="Q22">
        <v>7.0000000000000007E-2</v>
      </c>
    </row>
    <row r="25" spans="1:17" x14ac:dyDescent="0.25">
      <c r="B25" s="4" t="s">
        <v>32</v>
      </c>
    </row>
    <row r="26" spans="1:17" x14ac:dyDescent="0.25">
      <c r="B26" t="s">
        <v>20</v>
      </c>
      <c r="F26" s="17"/>
    </row>
    <row r="27" spans="1:17" x14ac:dyDescent="0.25">
      <c r="B27" s="2" t="s">
        <v>4</v>
      </c>
      <c r="C27" s="2" t="s">
        <v>19</v>
      </c>
      <c r="D27" s="2" t="s">
        <v>33</v>
      </c>
      <c r="E27" s="2" t="s">
        <v>34</v>
      </c>
      <c r="F27" s="2" t="s">
        <v>24</v>
      </c>
      <c r="G27" s="2" t="s">
        <v>69</v>
      </c>
      <c r="H27" s="2"/>
      <c r="I27" s="2"/>
      <c r="J27" s="2"/>
      <c r="K27" s="2"/>
      <c r="L27" s="2"/>
    </row>
    <row r="28" spans="1:17" x14ac:dyDescent="0.25">
      <c r="A28" t="s">
        <v>5</v>
      </c>
      <c r="B28">
        <v>13.01</v>
      </c>
      <c r="C28">
        <v>13.97</v>
      </c>
      <c r="D28">
        <v>19.82</v>
      </c>
      <c r="E28">
        <v>0.36</v>
      </c>
      <c r="F28">
        <v>0.8</v>
      </c>
      <c r="G28">
        <v>0.53</v>
      </c>
    </row>
    <row r="29" spans="1:17" x14ac:dyDescent="0.25">
      <c r="A29" t="s">
        <v>6</v>
      </c>
      <c r="B29">
        <v>28.29</v>
      </c>
      <c r="C29">
        <v>29.37</v>
      </c>
      <c r="D29">
        <v>39.520000000000003</v>
      </c>
      <c r="E29">
        <v>0.59</v>
      </c>
      <c r="F29">
        <v>1.29</v>
      </c>
      <c r="G29">
        <v>1.07</v>
      </c>
    </row>
    <row r="30" spans="1:17" x14ac:dyDescent="0.25">
      <c r="A30" t="s">
        <v>7</v>
      </c>
      <c r="B30">
        <v>3.41</v>
      </c>
      <c r="C30">
        <v>3.43</v>
      </c>
      <c r="D30">
        <v>4.68</v>
      </c>
      <c r="E30">
        <v>7.0000000000000007E-2</v>
      </c>
      <c r="F30">
        <v>0.14000000000000001</v>
      </c>
      <c r="G30">
        <v>0.11</v>
      </c>
    </row>
    <row r="31" spans="1:17" x14ac:dyDescent="0.25">
      <c r="A31" t="s">
        <v>8</v>
      </c>
      <c r="B31">
        <v>13.66</v>
      </c>
      <c r="C31">
        <v>13.32</v>
      </c>
      <c r="D31">
        <v>17.68</v>
      </c>
      <c r="E31">
        <v>0.34</v>
      </c>
      <c r="F31">
        <v>0.65</v>
      </c>
      <c r="G31">
        <v>0.6</v>
      </c>
    </row>
    <row r="32" spans="1:17" s="5" customFormat="1" x14ac:dyDescent="0.25">
      <c r="A32" s="3" t="s">
        <v>10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t="s">
        <v>9</v>
      </c>
      <c r="B33">
        <v>3.17</v>
      </c>
      <c r="C33">
        <v>2.9</v>
      </c>
      <c r="D33">
        <v>3.59</v>
      </c>
      <c r="E33">
        <v>0.06</v>
      </c>
      <c r="F33">
        <v>0.17</v>
      </c>
      <c r="G33">
        <v>0.1</v>
      </c>
    </row>
    <row r="34" spans="1:12" x14ac:dyDescent="0.25">
      <c r="A34" t="s">
        <v>11</v>
      </c>
      <c r="B34">
        <v>1.91</v>
      </c>
      <c r="C34">
        <v>1.81</v>
      </c>
      <c r="D34">
        <v>2.0499999999999998</v>
      </c>
      <c r="E34">
        <v>0.02</v>
      </c>
      <c r="F34">
        <v>0.04</v>
      </c>
      <c r="G34">
        <v>0.01</v>
      </c>
    </row>
    <row r="35" spans="1:12" x14ac:dyDescent="0.25">
      <c r="A35" t="s">
        <v>12</v>
      </c>
      <c r="B35">
        <v>2.0299999999999998</v>
      </c>
      <c r="C35">
        <v>1.85</v>
      </c>
      <c r="D35">
        <v>2.46</v>
      </c>
      <c r="E35">
        <v>0.13</v>
      </c>
      <c r="F35">
        <v>0.09</v>
      </c>
      <c r="G35">
        <v>0.02</v>
      </c>
    </row>
    <row r="36" spans="1:12" x14ac:dyDescent="0.25">
      <c r="A36" t="s">
        <v>13</v>
      </c>
      <c r="B36">
        <v>0.18</v>
      </c>
      <c r="C36">
        <v>0.18</v>
      </c>
      <c r="D36">
        <v>0.21</v>
      </c>
      <c r="E36">
        <v>0.03</v>
      </c>
      <c r="F36">
        <v>0.02</v>
      </c>
      <c r="G36">
        <v>0.06</v>
      </c>
    </row>
    <row r="37" spans="1:12" x14ac:dyDescent="0.25">
      <c r="A37" t="s">
        <v>14</v>
      </c>
      <c r="B37">
        <v>1</v>
      </c>
      <c r="C37">
        <v>0.79</v>
      </c>
      <c r="D37">
        <v>1.2</v>
      </c>
      <c r="E37">
        <v>0.28000000000000003</v>
      </c>
      <c r="F37">
        <v>0.32</v>
      </c>
      <c r="G37">
        <v>0.44</v>
      </c>
    </row>
    <row r="38" spans="1:12" x14ac:dyDescent="0.25">
      <c r="A38" t="s">
        <v>15</v>
      </c>
      <c r="B38">
        <v>0.15</v>
      </c>
      <c r="C38">
        <v>0.12</v>
      </c>
      <c r="D38">
        <v>0.17</v>
      </c>
      <c r="E38">
        <v>0.05</v>
      </c>
      <c r="F38">
        <v>0.04</v>
      </c>
      <c r="G38">
        <v>0.12</v>
      </c>
    </row>
    <row r="39" spans="1:12" x14ac:dyDescent="0.25">
      <c r="A39" t="s">
        <v>16</v>
      </c>
      <c r="B39">
        <v>0.14000000000000001</v>
      </c>
      <c r="C39">
        <v>0.13</v>
      </c>
      <c r="D39">
        <v>0.25</v>
      </c>
      <c r="E39">
        <v>0.4</v>
      </c>
      <c r="F39">
        <v>0.48</v>
      </c>
      <c r="G39">
        <v>0.46</v>
      </c>
    </row>
    <row r="40" spans="1:12" x14ac:dyDescent="0.25">
      <c r="A40" t="s">
        <v>60</v>
      </c>
      <c r="B40">
        <v>0.02</v>
      </c>
      <c r="C40">
        <v>0.03</v>
      </c>
      <c r="D40">
        <v>0.01</v>
      </c>
      <c r="E40">
        <v>0.03</v>
      </c>
      <c r="F40">
        <v>0.03</v>
      </c>
      <c r="G40">
        <v>0.08</v>
      </c>
    </row>
    <row r="41" spans="1:12" x14ac:dyDescent="0.25">
      <c r="A41" t="s">
        <v>17</v>
      </c>
      <c r="B41">
        <v>0.21</v>
      </c>
      <c r="C41">
        <v>0.09</v>
      </c>
      <c r="D41">
        <v>0.06</v>
      </c>
      <c r="E41">
        <v>0.56000000000000005</v>
      </c>
      <c r="F41">
        <v>0.63</v>
      </c>
      <c r="G41">
        <v>1.43</v>
      </c>
    </row>
    <row r="42" spans="1:12" x14ac:dyDescent="0.25">
      <c r="A42" t="s">
        <v>18</v>
      </c>
      <c r="B42">
        <v>0.03</v>
      </c>
      <c r="C42">
        <v>0.01</v>
      </c>
      <c r="D42">
        <v>0.02</v>
      </c>
      <c r="E42">
        <v>7.0000000000000007E-2</v>
      </c>
      <c r="F42">
        <v>0.14000000000000001</v>
      </c>
      <c r="G42">
        <v>0.22</v>
      </c>
    </row>
    <row r="43" spans="1:12" x14ac:dyDescent="0.25">
      <c r="A43" s="1" t="s">
        <v>74</v>
      </c>
      <c r="B43">
        <v>3.24</v>
      </c>
      <c r="C43">
        <v>1.02</v>
      </c>
      <c r="D43">
        <v>1.33</v>
      </c>
      <c r="E43">
        <v>8.3000000000000007</v>
      </c>
      <c r="F43">
        <v>11.78</v>
      </c>
      <c r="G43">
        <v>8.2100000000000009</v>
      </c>
    </row>
    <row r="46" spans="1:12" x14ac:dyDescent="0.25">
      <c r="B46" s="4" t="s">
        <v>35</v>
      </c>
      <c r="I46" s="17"/>
    </row>
    <row r="47" spans="1:12" x14ac:dyDescent="0.25">
      <c r="B47" t="s">
        <v>20</v>
      </c>
      <c r="E47" t="s">
        <v>29</v>
      </c>
      <c r="I47" t="s">
        <v>41</v>
      </c>
      <c r="K47" t="s">
        <v>43</v>
      </c>
    </row>
    <row r="48" spans="1:12" x14ac:dyDescent="0.25">
      <c r="B48" s="2" t="s">
        <v>4</v>
      </c>
      <c r="C48" s="2" t="s">
        <v>19</v>
      </c>
      <c r="D48" s="2" t="s">
        <v>36</v>
      </c>
      <c r="E48" s="2" t="s">
        <v>37</v>
      </c>
      <c r="F48" s="2" t="s">
        <v>38</v>
      </c>
      <c r="G48" s="2" t="s">
        <v>39</v>
      </c>
      <c r="H48" s="2" t="s">
        <v>40</v>
      </c>
      <c r="I48" s="2" t="s">
        <v>42</v>
      </c>
      <c r="J48" s="2" t="s">
        <v>75</v>
      </c>
      <c r="K48" s="2" t="s">
        <v>76</v>
      </c>
      <c r="L48" s="2"/>
    </row>
    <row r="49" spans="1:12" x14ac:dyDescent="0.25">
      <c r="A49" t="s">
        <v>5</v>
      </c>
      <c r="B49">
        <v>8.1999999999999993</v>
      </c>
      <c r="C49">
        <v>9.3699999999999992</v>
      </c>
      <c r="D49">
        <v>291.70999999999998</v>
      </c>
      <c r="E49">
        <v>296.47000000000003</v>
      </c>
      <c r="F49">
        <v>0.9</v>
      </c>
      <c r="G49">
        <v>0.04</v>
      </c>
      <c r="H49">
        <v>0.44</v>
      </c>
      <c r="I49">
        <v>0.03</v>
      </c>
      <c r="J49">
        <v>0.01</v>
      </c>
      <c r="K49">
        <v>0.01</v>
      </c>
    </row>
    <row r="50" spans="1:12" x14ac:dyDescent="0.25">
      <c r="A50" t="s">
        <v>6</v>
      </c>
      <c r="B50">
        <v>17.46</v>
      </c>
      <c r="C50">
        <v>19.600000000000001</v>
      </c>
      <c r="D50">
        <v>687.61</v>
      </c>
      <c r="E50">
        <v>690.7</v>
      </c>
      <c r="F50">
        <v>2.4900000000000002</v>
      </c>
      <c r="G50">
        <v>0.14000000000000001</v>
      </c>
      <c r="H50">
        <v>0.99</v>
      </c>
      <c r="I50">
        <v>0.03</v>
      </c>
      <c r="J50">
        <v>0</v>
      </c>
      <c r="K50">
        <v>0</v>
      </c>
    </row>
    <row r="51" spans="1:12" x14ac:dyDescent="0.25">
      <c r="A51" t="s">
        <v>7</v>
      </c>
      <c r="B51">
        <v>2.19</v>
      </c>
      <c r="C51">
        <v>2.41</v>
      </c>
      <c r="D51">
        <v>90.25</v>
      </c>
      <c r="E51">
        <v>91.23</v>
      </c>
      <c r="F51">
        <v>0.49</v>
      </c>
      <c r="G51">
        <v>0.02</v>
      </c>
      <c r="H51">
        <v>0.14000000000000001</v>
      </c>
      <c r="I51">
        <v>0</v>
      </c>
      <c r="J51">
        <v>0</v>
      </c>
      <c r="K51">
        <v>0</v>
      </c>
    </row>
    <row r="52" spans="1:12" x14ac:dyDescent="0.25">
      <c r="A52" t="s">
        <v>8</v>
      </c>
      <c r="B52">
        <v>9.2200000000000006</v>
      </c>
      <c r="C52">
        <v>10.33</v>
      </c>
      <c r="D52">
        <v>398.4</v>
      </c>
      <c r="E52">
        <v>397.68</v>
      </c>
      <c r="F52">
        <v>2.2000000000000002</v>
      </c>
      <c r="G52">
        <v>0.16</v>
      </c>
      <c r="H52">
        <v>0.88</v>
      </c>
      <c r="I52">
        <v>0.01</v>
      </c>
      <c r="J52">
        <v>0.01</v>
      </c>
      <c r="K52">
        <v>0.03</v>
      </c>
    </row>
    <row r="53" spans="1:12" s="5" customFormat="1" x14ac:dyDescent="0.25">
      <c r="A53" s="3" t="s">
        <v>10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t="s">
        <v>9</v>
      </c>
      <c r="B54">
        <v>2.34</v>
      </c>
      <c r="C54">
        <v>2.31</v>
      </c>
      <c r="D54">
        <v>104.74</v>
      </c>
      <c r="E54">
        <v>105.77</v>
      </c>
      <c r="F54">
        <v>0.93</v>
      </c>
      <c r="G54">
        <v>7.0000000000000007E-2</v>
      </c>
      <c r="H54">
        <v>0.28000000000000003</v>
      </c>
      <c r="I54">
        <v>0.01</v>
      </c>
      <c r="J54">
        <v>0.03</v>
      </c>
      <c r="K54">
        <v>0.02</v>
      </c>
    </row>
    <row r="55" spans="1:12" x14ac:dyDescent="0.25">
      <c r="A55" t="s">
        <v>11</v>
      </c>
      <c r="B55">
        <v>1.47</v>
      </c>
      <c r="C55">
        <v>1.5</v>
      </c>
      <c r="D55">
        <v>32.04</v>
      </c>
      <c r="E55">
        <v>32.74</v>
      </c>
      <c r="F55">
        <v>0.15</v>
      </c>
      <c r="G55">
        <v>0.03</v>
      </c>
      <c r="H55">
        <v>7.0000000000000007E-2</v>
      </c>
      <c r="I55">
        <v>0.01</v>
      </c>
      <c r="J55">
        <v>0.01</v>
      </c>
      <c r="K55">
        <v>0.03</v>
      </c>
    </row>
    <row r="56" spans="1:12" x14ac:dyDescent="0.25">
      <c r="A56" t="s">
        <v>12</v>
      </c>
      <c r="B56">
        <v>1.71</v>
      </c>
      <c r="C56">
        <v>1.48</v>
      </c>
      <c r="D56">
        <v>105.15</v>
      </c>
      <c r="E56">
        <v>105.46</v>
      </c>
      <c r="F56">
        <v>0.8</v>
      </c>
      <c r="G56">
        <v>0.09</v>
      </c>
      <c r="H56">
        <v>0.27</v>
      </c>
      <c r="I56">
        <v>0.05</v>
      </c>
      <c r="J56">
        <v>0.03</v>
      </c>
      <c r="K56">
        <v>0.05</v>
      </c>
    </row>
    <row r="57" spans="1:12" x14ac:dyDescent="0.25">
      <c r="A57" t="s">
        <v>13</v>
      </c>
      <c r="B57">
        <v>0.18</v>
      </c>
      <c r="C57">
        <v>0.16</v>
      </c>
      <c r="D57">
        <v>10.69</v>
      </c>
      <c r="E57">
        <v>10.92</v>
      </c>
      <c r="F57">
        <v>0.14000000000000001</v>
      </c>
      <c r="G57">
        <v>0.01</v>
      </c>
      <c r="H57">
        <v>0.04</v>
      </c>
      <c r="I57">
        <v>0.02</v>
      </c>
      <c r="J57">
        <v>0.02</v>
      </c>
      <c r="K57">
        <v>0.01</v>
      </c>
    </row>
    <row r="58" spans="1:12" x14ac:dyDescent="0.25">
      <c r="A58" t="s">
        <v>14</v>
      </c>
      <c r="B58">
        <v>0.99</v>
      </c>
      <c r="C58">
        <v>1.1200000000000001</v>
      </c>
      <c r="D58">
        <v>40.869999999999997</v>
      </c>
      <c r="E58">
        <v>42.24</v>
      </c>
      <c r="F58">
        <v>1.28</v>
      </c>
      <c r="G58">
        <v>0.09</v>
      </c>
      <c r="H58">
        <v>0.15</v>
      </c>
      <c r="I58">
        <v>0.13</v>
      </c>
      <c r="J58">
        <v>0.08</v>
      </c>
      <c r="K58">
        <v>0.06</v>
      </c>
    </row>
    <row r="59" spans="1:12" x14ac:dyDescent="0.25">
      <c r="A59" t="s">
        <v>15</v>
      </c>
      <c r="B59">
        <v>0.13</v>
      </c>
      <c r="C59">
        <v>0.13</v>
      </c>
      <c r="D59">
        <v>4.3899999999999997</v>
      </c>
      <c r="E59">
        <v>4.46</v>
      </c>
      <c r="F59">
        <v>0.27</v>
      </c>
      <c r="G59">
        <v>0.02</v>
      </c>
      <c r="H59">
        <v>0.03</v>
      </c>
      <c r="I59">
        <v>0.03</v>
      </c>
      <c r="J59">
        <v>0.04</v>
      </c>
      <c r="K59">
        <v>0.02</v>
      </c>
    </row>
    <row r="60" spans="1:12" x14ac:dyDescent="0.25">
      <c r="A60" t="s">
        <v>16</v>
      </c>
      <c r="B60">
        <v>0.31</v>
      </c>
      <c r="C60">
        <v>0.14000000000000001</v>
      </c>
      <c r="D60">
        <v>8.19</v>
      </c>
      <c r="E60">
        <v>8</v>
      </c>
      <c r="F60">
        <v>0.78</v>
      </c>
      <c r="G60">
        <v>0.02</v>
      </c>
      <c r="H60">
        <v>0.02</v>
      </c>
      <c r="I60">
        <v>0.18</v>
      </c>
      <c r="J60">
        <v>0.1</v>
      </c>
      <c r="K60">
        <v>0.02</v>
      </c>
    </row>
    <row r="61" spans="1:12" x14ac:dyDescent="0.25">
      <c r="A61" t="s">
        <v>60</v>
      </c>
      <c r="B61">
        <v>0.03</v>
      </c>
      <c r="C61">
        <v>0.02</v>
      </c>
      <c r="D61">
        <v>0.79</v>
      </c>
      <c r="E61">
        <v>0.8</v>
      </c>
      <c r="F61">
        <v>0.18</v>
      </c>
      <c r="G61">
        <v>0</v>
      </c>
      <c r="H61">
        <v>0.01</v>
      </c>
      <c r="I61">
        <v>0.03</v>
      </c>
      <c r="J61">
        <v>0.03</v>
      </c>
      <c r="K61">
        <v>0.01</v>
      </c>
    </row>
    <row r="62" spans="1:12" x14ac:dyDescent="0.25">
      <c r="A62" t="s">
        <v>17</v>
      </c>
      <c r="B62">
        <v>0.38</v>
      </c>
      <c r="C62">
        <v>0.23</v>
      </c>
      <c r="D62">
        <v>1.48</v>
      </c>
      <c r="E62">
        <v>1.6</v>
      </c>
      <c r="F62">
        <v>1.29</v>
      </c>
      <c r="G62">
        <v>0.02</v>
      </c>
      <c r="H62">
        <v>0.06</v>
      </c>
      <c r="I62">
        <v>0.26</v>
      </c>
      <c r="J62">
        <v>0.2</v>
      </c>
      <c r="K62">
        <v>0.14000000000000001</v>
      </c>
    </row>
    <row r="63" spans="1:12" x14ac:dyDescent="0.25">
      <c r="A63" t="s">
        <v>18</v>
      </c>
      <c r="B63">
        <v>0.04</v>
      </c>
      <c r="C63">
        <v>0.05</v>
      </c>
      <c r="D63">
        <v>0.21</v>
      </c>
      <c r="E63">
        <v>0.14000000000000001</v>
      </c>
      <c r="F63">
        <v>0.12</v>
      </c>
      <c r="G63">
        <v>0.01</v>
      </c>
      <c r="H63">
        <v>0</v>
      </c>
      <c r="I63">
        <v>0.06</v>
      </c>
      <c r="J63">
        <v>0.05</v>
      </c>
      <c r="K63">
        <v>0.02</v>
      </c>
    </row>
    <row r="64" spans="1:12" x14ac:dyDescent="0.25">
      <c r="A64" s="1" t="s">
        <v>74</v>
      </c>
      <c r="B64">
        <v>1.75</v>
      </c>
      <c r="C64">
        <v>3.07</v>
      </c>
      <c r="D64">
        <v>3.66</v>
      </c>
      <c r="E64">
        <v>3.9</v>
      </c>
      <c r="F64">
        <v>2.89</v>
      </c>
      <c r="G64">
        <v>0.27</v>
      </c>
      <c r="H64">
        <v>0.36</v>
      </c>
      <c r="I64">
        <v>0.27</v>
      </c>
      <c r="J64">
        <v>0.03</v>
      </c>
      <c r="K64">
        <v>0.04</v>
      </c>
    </row>
    <row r="69" spans="1:11" x14ac:dyDescent="0.25">
      <c r="B69" s="1" t="s">
        <v>78</v>
      </c>
    </row>
    <row r="70" spans="1:11" x14ac:dyDescent="0.25">
      <c r="B70" s="2" t="s">
        <v>79</v>
      </c>
      <c r="C70" s="20" t="s">
        <v>90</v>
      </c>
      <c r="D70" s="2" t="s">
        <v>80</v>
      </c>
      <c r="E70" s="20" t="s">
        <v>90</v>
      </c>
      <c r="F70" s="2" t="s">
        <v>81</v>
      </c>
      <c r="G70" s="20" t="s">
        <v>90</v>
      </c>
      <c r="H70" s="2" t="s">
        <v>82</v>
      </c>
      <c r="I70" s="20" t="s">
        <v>90</v>
      </c>
      <c r="J70" s="2" t="s">
        <v>83</v>
      </c>
      <c r="K70" s="20" t="s">
        <v>90</v>
      </c>
    </row>
    <row r="71" spans="1:11" x14ac:dyDescent="0.25">
      <c r="A71" t="s">
        <v>5</v>
      </c>
      <c r="B71" s="11">
        <f>AVERAGE(C7,I7:K7,N7:O7,B28:D28,B49:C49)</f>
        <v>16.306363636363635</v>
      </c>
      <c r="C71" s="11">
        <f>STDEV(C7,I7:K7,N7:O7,B28:D28,B49:C49)</f>
        <v>5.0725107643597394</v>
      </c>
      <c r="D71" s="11">
        <f>AVERAGE(B7,D7,F7,H7,Q7,G28,J49:K49)</f>
        <v>9.0000000000000011E-2</v>
      </c>
      <c r="E71" s="11">
        <f>STDEV(B7,D7,F7,H7,Q7,G28,J49:K49)</f>
        <v>0.18039638894073556</v>
      </c>
      <c r="F71" s="11">
        <f>AVERAGE(L7:M7,E28,F49)</f>
        <v>0.41749999999999998</v>
      </c>
      <c r="G71" s="11">
        <f>STDEV(L7:M7,E28,F49)</f>
        <v>0.33008837200563934</v>
      </c>
      <c r="H71" s="11">
        <f>AVERAGE(G49:H49)</f>
        <v>0.24</v>
      </c>
      <c r="I71" s="11">
        <f>STDEV(G49:H49)</f>
        <v>0.28284271247461901</v>
      </c>
      <c r="J71" s="11">
        <f>AVERAGE(D49:E49)</f>
        <v>294.09000000000003</v>
      </c>
      <c r="K71" s="11">
        <f>STDEV(D49:E49)</f>
        <v>3.3658282784480003</v>
      </c>
    </row>
    <row r="72" spans="1:11" x14ac:dyDescent="0.25">
      <c r="A72" t="s">
        <v>6</v>
      </c>
      <c r="B72" s="11">
        <f t="shared" ref="B72:B86" si="0">AVERAGE(C8,I8:K8,N8:O8,B29:D29,B50:C50)</f>
        <v>38.594545454545454</v>
      </c>
      <c r="C72" s="11">
        <f t="shared" ref="C72:C86" si="1">STDEV(C8,I8:K8,N8:O8,B29:D29,B50:C50)</f>
        <v>13.898565655229586</v>
      </c>
      <c r="D72" s="11">
        <f>AVERAGE(B8,D8,F8,H8,Q8,G29,J50:K50)</f>
        <v>0.15625</v>
      </c>
      <c r="E72" s="11">
        <f t="shared" ref="E72:E74" si="2">STDEV(B8,D8,F8,H8,Q8,G29,J50:K50)</f>
        <v>0.36986242616101772</v>
      </c>
      <c r="F72" s="11">
        <f>AVERAGE(L8:M8,E29,F50)</f>
        <v>0.97250000000000003</v>
      </c>
      <c r="G72" s="11">
        <f t="shared" ref="G72:G74" si="3">STDEV(L8:M8,E29,F50)</f>
        <v>1.0154924913557952</v>
      </c>
      <c r="H72" s="11">
        <f>AVERAGE(G50:H50)</f>
        <v>0.56499999999999995</v>
      </c>
      <c r="I72" s="11">
        <f t="shared" ref="I72:I74" si="4">STDEV(G50:H50)</f>
        <v>0.60104076400856543</v>
      </c>
      <c r="J72" s="11">
        <f>AVERAGE(D50:E50)</f>
        <v>689.15499999999997</v>
      </c>
      <c r="K72" s="11">
        <f t="shared" ref="K72:K74" si="5">STDEV(D50:E50)</f>
        <v>2.1849599538664544</v>
      </c>
    </row>
    <row r="73" spans="1:11" x14ac:dyDescent="0.25">
      <c r="A73" t="s">
        <v>7</v>
      </c>
      <c r="B73" s="11">
        <f t="shared" si="0"/>
        <v>4.8072727272727267</v>
      </c>
      <c r="C73" s="11">
        <f t="shared" si="1"/>
        <v>1.8658514994987745</v>
      </c>
      <c r="D73" s="11">
        <f>AVERAGE(B9,D9,F9,H9,Q9,G30,J51:K51)</f>
        <v>2.1250000000000002E-2</v>
      </c>
      <c r="E73" s="11">
        <f t="shared" si="2"/>
        <v>3.7201190457142243E-2</v>
      </c>
      <c r="F73" s="11">
        <f>AVERAGE(L9:M9,E30,F51)</f>
        <v>0.17749999999999999</v>
      </c>
      <c r="G73" s="11">
        <f t="shared" si="3"/>
        <v>0.21029740844813088</v>
      </c>
      <c r="H73" s="11">
        <f>AVERAGE(G51:H51)</f>
        <v>0.08</v>
      </c>
      <c r="I73" s="11">
        <f t="shared" si="4"/>
        <v>8.4852813742385721E-2</v>
      </c>
      <c r="J73" s="11">
        <f>AVERAGE(D51:E51)</f>
        <v>90.740000000000009</v>
      </c>
      <c r="K73" s="11">
        <f t="shared" si="5"/>
        <v>0.69296464556281934</v>
      </c>
    </row>
    <row r="74" spans="1:11" x14ac:dyDescent="0.25">
      <c r="A74" t="s">
        <v>8</v>
      </c>
      <c r="B74" s="11">
        <f t="shared" si="0"/>
        <v>19.812727272727273</v>
      </c>
      <c r="C74" s="11">
        <f t="shared" si="1"/>
        <v>7.7572663882441066</v>
      </c>
      <c r="D74" s="11">
        <f>AVERAGE(B10,D10,F10,H10,Q10,G31,J52:K52)</f>
        <v>0.11749999999999999</v>
      </c>
      <c r="E74" s="11">
        <f t="shared" si="2"/>
        <v>0.19666868441257096</v>
      </c>
      <c r="F74" s="11">
        <f>AVERAGE(L10:M10,E31,F52)</f>
        <v>0.81</v>
      </c>
      <c r="G74" s="11">
        <f t="shared" si="3"/>
        <v>0.92682252885868066</v>
      </c>
      <c r="H74" s="11">
        <f>AVERAGE(G52:H52)</f>
        <v>0.52</v>
      </c>
      <c r="I74" s="11">
        <f t="shared" si="4"/>
        <v>0.50911688245431408</v>
      </c>
      <c r="J74" s="11">
        <f>AVERAGE(D52:E52)</f>
        <v>398.03999999999996</v>
      </c>
      <c r="K74" s="11">
        <f t="shared" si="5"/>
        <v>0.50911688245429332</v>
      </c>
    </row>
    <row r="75" spans="1:11" s="5" customFormat="1" x14ac:dyDescent="0.25">
      <c r="A75" s="3"/>
      <c r="B75" s="12"/>
      <c r="C75" s="21"/>
      <c r="D75" s="12"/>
      <c r="E75" s="12"/>
      <c r="F75" s="12"/>
      <c r="H75" s="12"/>
      <c r="J75" s="12"/>
    </row>
    <row r="76" spans="1:11" x14ac:dyDescent="0.25">
      <c r="A76" t="s">
        <v>9</v>
      </c>
      <c r="B76" s="11">
        <f t="shared" si="0"/>
        <v>4.0254545454545454</v>
      </c>
      <c r="C76" s="11">
        <f t="shared" si="1"/>
        <v>1.2584543188877655</v>
      </c>
      <c r="D76" s="11">
        <f t="shared" ref="D76:D86" si="6">AVERAGE(B12,D12,F12,H12,Q12,G33,J54:K54)</f>
        <v>5.6250000000000008E-2</v>
      </c>
      <c r="E76" s="11">
        <f t="shared" ref="E76:E86" si="7">STDEV(B12,D12,F12,H12,Q12,G33,J54:K54)</f>
        <v>3.7772817134623576E-2</v>
      </c>
      <c r="F76" s="11">
        <f t="shared" ref="F76:F86" si="8">AVERAGE(L12:M12,E33,F54)</f>
        <v>0.30000000000000004</v>
      </c>
      <c r="G76" s="11">
        <f t="shared" ref="G76:G86" si="9">STDEV(L12:M12,E33,F54)</f>
        <v>0.42071367935925263</v>
      </c>
      <c r="H76" s="11">
        <f t="shared" ref="H76:H86" si="10">AVERAGE(G54:H54)</f>
        <v>0.17500000000000002</v>
      </c>
      <c r="I76" s="11">
        <f t="shared" ref="I76:I86" si="11">STDEV(G54:H54)</f>
        <v>0.14849242404917498</v>
      </c>
      <c r="J76" s="11">
        <f t="shared" ref="J76:J86" si="12">AVERAGE(D54:E54)</f>
        <v>105.255</v>
      </c>
      <c r="K76" s="11">
        <f t="shared" ref="K76:K86" si="13">STDEV(D54:E54)</f>
        <v>0.72831998462214476</v>
      </c>
    </row>
    <row r="77" spans="1:11" x14ac:dyDescent="0.25">
      <c r="A77" t="s">
        <v>11</v>
      </c>
      <c r="B77" s="11">
        <f t="shared" si="0"/>
        <v>2.2590909090909088</v>
      </c>
      <c r="C77" s="11">
        <f t="shared" si="1"/>
        <v>0.54342349131141887</v>
      </c>
      <c r="D77" s="11">
        <f t="shared" si="6"/>
        <v>2.3750000000000004E-2</v>
      </c>
      <c r="E77" s="11">
        <f t="shared" si="7"/>
        <v>1.6850180160122064E-2</v>
      </c>
      <c r="F77" s="11">
        <f t="shared" si="8"/>
        <v>4.2499999999999996E-2</v>
      </c>
      <c r="G77" s="11">
        <f t="shared" si="9"/>
        <v>7.2284161474004807E-2</v>
      </c>
      <c r="H77" s="11">
        <f t="shared" si="10"/>
        <v>0.05</v>
      </c>
      <c r="I77" s="11">
        <f t="shared" si="11"/>
        <v>2.8284271247461891E-2</v>
      </c>
      <c r="J77" s="11">
        <f t="shared" si="12"/>
        <v>32.39</v>
      </c>
      <c r="K77" s="11">
        <f t="shared" si="13"/>
        <v>0.49497474683058529</v>
      </c>
    </row>
    <row r="78" spans="1:11" x14ac:dyDescent="0.25">
      <c r="A78" t="s">
        <v>12</v>
      </c>
      <c r="B78" s="11">
        <f t="shared" si="0"/>
        <v>2.3981818181818189</v>
      </c>
      <c r="C78" s="11">
        <f t="shared" si="1"/>
        <v>0.60828970370733693</v>
      </c>
      <c r="D78" s="11">
        <f t="shared" si="6"/>
        <v>9.6250000000000002E-2</v>
      </c>
      <c r="E78" s="11">
        <f t="shared" si="7"/>
        <v>6.13974173491268E-2</v>
      </c>
      <c r="F78" s="11">
        <f t="shared" si="8"/>
        <v>0.315</v>
      </c>
      <c r="G78" s="11">
        <f t="shared" si="9"/>
        <v>0.32398559638765839</v>
      </c>
      <c r="H78" s="11">
        <f t="shared" si="10"/>
        <v>0.18</v>
      </c>
      <c r="I78" s="11">
        <f t="shared" si="11"/>
        <v>0.12727922061357858</v>
      </c>
      <c r="J78" s="11">
        <f t="shared" si="12"/>
        <v>105.30500000000001</v>
      </c>
      <c r="K78" s="11">
        <f t="shared" si="13"/>
        <v>0.2192031021678213</v>
      </c>
    </row>
    <row r="79" spans="1:11" x14ac:dyDescent="0.25">
      <c r="A79" t="s">
        <v>13</v>
      </c>
      <c r="B79" s="11">
        <f t="shared" si="0"/>
        <v>0.24545454545454548</v>
      </c>
      <c r="C79" s="11">
        <f t="shared" si="1"/>
        <v>6.7581600508368464E-2</v>
      </c>
      <c r="D79" s="11">
        <f t="shared" si="6"/>
        <v>2.6249999999999999E-2</v>
      </c>
      <c r="E79" s="11">
        <f t="shared" si="7"/>
        <v>1.6850180160122075E-2</v>
      </c>
      <c r="F79" s="11">
        <f t="shared" si="8"/>
        <v>5.5000000000000007E-2</v>
      </c>
      <c r="G79" s="11">
        <f t="shared" si="9"/>
        <v>5.686240703077327E-2</v>
      </c>
      <c r="H79" s="11">
        <f t="shared" si="10"/>
        <v>2.5000000000000001E-2</v>
      </c>
      <c r="I79" s="11">
        <f t="shared" si="11"/>
        <v>2.1213203435596423E-2</v>
      </c>
      <c r="J79" s="11">
        <f t="shared" si="12"/>
        <v>10.805</v>
      </c>
      <c r="K79" s="11">
        <f t="shared" si="13"/>
        <v>0.16263455967290624</v>
      </c>
    </row>
    <row r="80" spans="1:11" x14ac:dyDescent="0.25">
      <c r="A80" t="s">
        <v>14</v>
      </c>
      <c r="B80" s="11">
        <f t="shared" si="0"/>
        <v>1.2018181818181817</v>
      </c>
      <c r="C80" s="11">
        <f t="shared" si="1"/>
        <v>0.23159525823376487</v>
      </c>
      <c r="D80" s="11">
        <f t="shared" si="6"/>
        <v>0.16875000000000001</v>
      </c>
      <c r="E80" s="11">
        <f t="shared" si="7"/>
        <v>0.1259747707167703</v>
      </c>
      <c r="F80" s="11">
        <f t="shared" si="8"/>
        <v>0.51</v>
      </c>
      <c r="G80" s="11">
        <f t="shared" si="9"/>
        <v>0.51374442413843613</v>
      </c>
      <c r="H80" s="11">
        <f t="shared" si="10"/>
        <v>0.12</v>
      </c>
      <c r="I80" s="11">
        <f t="shared" si="11"/>
        <v>4.2426406871192847E-2</v>
      </c>
      <c r="J80" s="11">
        <f t="shared" si="12"/>
        <v>41.555</v>
      </c>
      <c r="K80" s="11">
        <f t="shared" si="13"/>
        <v>0.96873629022557328</v>
      </c>
    </row>
    <row r="81" spans="1:12" x14ac:dyDescent="0.25">
      <c r="A81" t="s">
        <v>15</v>
      </c>
      <c r="B81" s="11">
        <f t="shared" si="0"/>
        <v>0.16363636363636358</v>
      </c>
      <c r="C81" s="11">
        <f t="shared" si="1"/>
        <v>3.1391950328938989E-2</v>
      </c>
      <c r="D81" s="11">
        <f t="shared" si="6"/>
        <v>5.8750000000000004E-2</v>
      </c>
      <c r="E81" s="11">
        <f t="shared" si="7"/>
        <v>3.2705394924123089E-2</v>
      </c>
      <c r="F81" s="11">
        <f t="shared" si="8"/>
        <v>0.125</v>
      </c>
      <c r="G81" s="11">
        <f t="shared" si="9"/>
        <v>9.848857801796107E-2</v>
      </c>
      <c r="H81" s="11">
        <f t="shared" si="10"/>
        <v>2.5000000000000001E-2</v>
      </c>
      <c r="I81" s="11">
        <f t="shared" si="11"/>
        <v>7.0710678118654537E-3</v>
      </c>
      <c r="J81" s="11">
        <f t="shared" si="12"/>
        <v>4.4249999999999998</v>
      </c>
      <c r="K81" s="11">
        <f t="shared" si="13"/>
        <v>4.9497474683058526E-2</v>
      </c>
    </row>
    <row r="82" spans="1:12" x14ac:dyDescent="0.25">
      <c r="A82" t="s">
        <v>16</v>
      </c>
      <c r="B82" s="11">
        <f t="shared" si="0"/>
        <v>0.25272727272727274</v>
      </c>
      <c r="C82" s="11">
        <f t="shared" si="1"/>
        <v>8.4863526805207465E-2</v>
      </c>
      <c r="D82" s="11">
        <f t="shared" si="6"/>
        <v>0.16125</v>
      </c>
      <c r="E82" s="11">
        <f t="shared" si="7"/>
        <v>0.13881513914967222</v>
      </c>
      <c r="F82" s="11">
        <f t="shared" si="8"/>
        <v>0.47749999999999998</v>
      </c>
      <c r="G82" s="11">
        <f t="shared" si="9"/>
        <v>0.20238165265985283</v>
      </c>
      <c r="H82" s="11">
        <f t="shared" si="10"/>
        <v>0.02</v>
      </c>
      <c r="I82" s="11">
        <f t="shared" si="11"/>
        <v>0</v>
      </c>
      <c r="J82" s="11">
        <f t="shared" si="12"/>
        <v>8.0949999999999989</v>
      </c>
      <c r="K82" s="11">
        <f t="shared" si="13"/>
        <v>0.13435028842544369</v>
      </c>
    </row>
    <row r="83" spans="1:12" x14ac:dyDescent="0.25">
      <c r="A83" t="s">
        <v>60</v>
      </c>
      <c r="B83" s="11">
        <f t="shared" si="0"/>
        <v>3.2727272727272737E-2</v>
      </c>
      <c r="C83" s="11">
        <f t="shared" si="1"/>
        <v>1.4206272622267277E-2</v>
      </c>
      <c r="D83" s="11">
        <f t="shared" si="6"/>
        <v>3.6250000000000004E-2</v>
      </c>
      <c r="E83" s="11">
        <f t="shared" si="7"/>
        <v>2.3260942125619674E-2</v>
      </c>
      <c r="F83" s="11">
        <f t="shared" si="8"/>
        <v>9.5000000000000001E-2</v>
      </c>
      <c r="G83" s="11">
        <f t="shared" si="9"/>
        <v>6.2449979983983973E-2</v>
      </c>
      <c r="H83" s="11">
        <f t="shared" si="10"/>
        <v>5.0000000000000001E-3</v>
      </c>
      <c r="I83" s="11">
        <f t="shared" si="11"/>
        <v>7.0710678118654753E-3</v>
      </c>
      <c r="J83" s="11">
        <f t="shared" si="12"/>
        <v>0.79500000000000004</v>
      </c>
      <c r="K83" s="11">
        <f t="shared" si="13"/>
        <v>7.0710678118654814E-3</v>
      </c>
    </row>
    <row r="84" spans="1:12" x14ac:dyDescent="0.25">
      <c r="A84" t="s">
        <v>17</v>
      </c>
      <c r="B84" s="11">
        <f t="shared" si="0"/>
        <v>0.21181818181818182</v>
      </c>
      <c r="C84" s="11">
        <f t="shared" si="1"/>
        <v>9.053377069560091E-2</v>
      </c>
      <c r="D84" s="11">
        <f t="shared" si="6"/>
        <v>0.44625000000000004</v>
      </c>
      <c r="E84" s="11">
        <f t="shared" si="7"/>
        <v>0.42392511131094834</v>
      </c>
      <c r="F84" s="11">
        <f t="shared" si="8"/>
        <v>0.6925</v>
      </c>
      <c r="G84" s="11">
        <f t="shared" si="9"/>
        <v>0.40639676835985472</v>
      </c>
      <c r="H84" s="11">
        <f t="shared" si="10"/>
        <v>0.04</v>
      </c>
      <c r="I84" s="11">
        <f t="shared" si="11"/>
        <v>2.8284271247461901E-2</v>
      </c>
      <c r="J84" s="11">
        <f t="shared" si="12"/>
        <v>1.54</v>
      </c>
      <c r="K84" s="11">
        <f t="shared" si="13"/>
        <v>8.4852813742385777E-2</v>
      </c>
    </row>
    <row r="85" spans="1:12" x14ac:dyDescent="0.25">
      <c r="A85" t="s">
        <v>18</v>
      </c>
      <c r="B85" s="11">
        <f t="shared" si="0"/>
        <v>2.8181818181818183E-2</v>
      </c>
      <c r="C85" s="11">
        <f t="shared" si="1"/>
        <v>1.1677484162422844E-2</v>
      </c>
      <c r="D85" s="11">
        <f t="shared" si="6"/>
        <v>6.8750000000000006E-2</v>
      </c>
      <c r="E85" s="11">
        <f t="shared" si="7"/>
        <v>6.4903774928735836E-2</v>
      </c>
      <c r="F85" s="11">
        <f t="shared" si="8"/>
        <v>0.1275</v>
      </c>
      <c r="G85" s="11">
        <f t="shared" si="9"/>
        <v>4.9244289008980535E-2</v>
      </c>
      <c r="H85" s="11">
        <f t="shared" si="10"/>
        <v>5.0000000000000001E-3</v>
      </c>
      <c r="I85" s="11">
        <f t="shared" si="11"/>
        <v>7.0710678118654753E-3</v>
      </c>
      <c r="J85" s="11">
        <f t="shared" si="12"/>
        <v>0.17499999999999999</v>
      </c>
      <c r="K85" s="11">
        <f t="shared" si="13"/>
        <v>4.9497474683058332E-2</v>
      </c>
    </row>
    <row r="86" spans="1:12" s="1" customFormat="1" x14ac:dyDescent="0.25">
      <c r="A86" s="1" t="s">
        <v>74</v>
      </c>
      <c r="B86" s="19">
        <f t="shared" si="0"/>
        <v>1.8834545454545455</v>
      </c>
      <c r="C86" s="19">
        <f t="shared" si="1"/>
        <v>0.79320821524192098</v>
      </c>
      <c r="D86" s="19">
        <f t="shared" si="6"/>
        <v>1.12375</v>
      </c>
      <c r="E86" s="19">
        <f t="shared" si="7"/>
        <v>2.8649703937637572</v>
      </c>
      <c r="F86" s="19">
        <f t="shared" si="8"/>
        <v>5.59</v>
      </c>
      <c r="G86" s="19">
        <f t="shared" si="9"/>
        <v>2.5117457408477244</v>
      </c>
      <c r="H86" s="19">
        <f t="shared" si="10"/>
        <v>0.315</v>
      </c>
      <c r="I86" s="19">
        <f t="shared" si="11"/>
        <v>6.363961030678926E-2</v>
      </c>
      <c r="J86" s="19">
        <f t="shared" si="12"/>
        <v>3.7800000000000002</v>
      </c>
      <c r="K86" s="19">
        <f t="shared" si="13"/>
        <v>0.16970562748477125</v>
      </c>
    </row>
    <row r="87" spans="1:12" x14ac:dyDescent="0.25">
      <c r="C87" s="11"/>
      <c r="G87" s="11"/>
    </row>
    <row r="88" spans="1:12" s="1" customFormat="1" x14ac:dyDescent="0.25">
      <c r="A88" s="1" t="s">
        <v>93</v>
      </c>
      <c r="B88" s="19">
        <f>SUM(B71:B74,B76:B85)</f>
        <v>90.340000000000018</v>
      </c>
      <c r="C88" s="19">
        <f>SQRT(SUMSQ(C71:C85))</f>
        <v>16.878419195690533</v>
      </c>
      <c r="D88" s="19">
        <f>SUM(D71:D74,D76:D85)</f>
        <v>1.5275000000000003</v>
      </c>
      <c r="E88" s="19">
        <f>SQRT(SUMSQ(E71:E85))</f>
        <v>0.66018395704747102</v>
      </c>
      <c r="F88" s="19">
        <f>SUM(F71:F74,F76:F85)</f>
        <v>5.1175000000000006</v>
      </c>
      <c r="G88" s="19">
        <f>SQRT(SUMSQ(G71:G85))</f>
        <v>1.6792582688000475</v>
      </c>
      <c r="H88" s="19">
        <f>SUM(H71:H74,H76:H85)</f>
        <v>2.0499999999999994</v>
      </c>
      <c r="I88" s="19">
        <f>SQRT(SUMSQ(I71:I85))</f>
        <v>0.86596766683289039</v>
      </c>
      <c r="J88" s="19">
        <f>SUM(J71:J74,J76:J85)</f>
        <v>1782.3650000000005</v>
      </c>
      <c r="K88" s="19">
        <f>SQRT(SUMSQ(K71:K85))</f>
        <v>4.3198205981267686</v>
      </c>
    </row>
    <row r="93" spans="1:12" x14ac:dyDescent="0.25">
      <c r="B93" s="1" t="s">
        <v>84</v>
      </c>
      <c r="H93" s="1" t="s">
        <v>85</v>
      </c>
    </row>
    <row r="94" spans="1:12" x14ac:dyDescent="0.25">
      <c r="B94" s="2" t="s">
        <v>79</v>
      </c>
      <c r="C94" s="2" t="s">
        <v>80</v>
      </c>
      <c r="D94" s="2" t="s">
        <v>81</v>
      </c>
      <c r="E94" s="2" t="s">
        <v>82</v>
      </c>
      <c r="F94" s="2" t="s">
        <v>83</v>
      </c>
      <c r="H94" s="2" t="s">
        <v>79</v>
      </c>
      <c r="I94" s="2" t="s">
        <v>80</v>
      </c>
      <c r="J94" s="2" t="s">
        <v>81</v>
      </c>
      <c r="K94" s="2" t="s">
        <v>82</v>
      </c>
      <c r="L94" s="2" t="s">
        <v>83</v>
      </c>
    </row>
    <row r="95" spans="1:12" x14ac:dyDescent="0.25">
      <c r="A95" t="s">
        <v>5</v>
      </c>
      <c r="B95" s="11">
        <f>AVERAGE(C7,I7:K7,N7:O7,B28:D28)</f>
        <v>17.977777777777774</v>
      </c>
      <c r="C95" s="11">
        <f>AVERAGE(B7,D7,F7,H7,Q7,G28)</f>
        <v>0.11666666666666668</v>
      </c>
      <c r="D95" s="11">
        <f>AVERAGE(L7:M7,E28)</f>
        <v>0.25666666666666665</v>
      </c>
      <c r="E95" s="2" t="s">
        <v>86</v>
      </c>
      <c r="H95" s="11">
        <f>AVERAGE(B49:C49)</f>
        <v>8.7850000000000001</v>
      </c>
      <c r="I95" s="11">
        <f>AVERAGE(J49:K49)</f>
        <v>0.01</v>
      </c>
      <c r="J95" s="11">
        <f>F49</f>
        <v>0.9</v>
      </c>
      <c r="K95">
        <f>AVERAGE(G49:H49)</f>
        <v>0.24</v>
      </c>
      <c r="L95">
        <f>AVERAGE(D49:E49)</f>
        <v>294.09000000000003</v>
      </c>
    </row>
    <row r="96" spans="1:12" x14ac:dyDescent="0.25">
      <c r="A96" t="s">
        <v>6</v>
      </c>
      <c r="B96" s="11">
        <f>AVERAGE(C8,I8:K8,N8:O8,B29:D29)</f>
        <v>43.053333333333327</v>
      </c>
      <c r="C96" s="11">
        <f>AVERAGE(B8,D8,F8,H8,Q8,G29)</f>
        <v>0.20833333333333334</v>
      </c>
      <c r="D96" s="11">
        <f>AVERAGE(L8:M8,E29)</f>
        <v>0.46666666666666662</v>
      </c>
      <c r="H96" s="11">
        <f>AVERAGE(B50:C50)</f>
        <v>18.53</v>
      </c>
      <c r="I96" s="11">
        <f>AVERAGE(J50:K50)</f>
        <v>0</v>
      </c>
      <c r="J96" s="11">
        <f>F50</f>
        <v>2.4900000000000002</v>
      </c>
      <c r="K96">
        <f>AVERAGE(G50:H50)</f>
        <v>0.56499999999999995</v>
      </c>
      <c r="L96">
        <f>AVERAGE(D50:E50)</f>
        <v>689.15499999999997</v>
      </c>
    </row>
    <row r="97" spans="1:12" x14ac:dyDescent="0.25">
      <c r="A97" t="s">
        <v>7</v>
      </c>
      <c r="B97" s="11">
        <f>AVERAGE(C9,I9:K9,N9:O9,B30:D30)</f>
        <v>5.3644444444444446</v>
      </c>
      <c r="C97" s="11">
        <f>AVERAGE(B9,D9,F9,H9,Q9,G30)</f>
        <v>2.8333333333333335E-2</v>
      </c>
      <c r="D97" s="11">
        <f>AVERAGE(L9:M9,E30)</f>
        <v>7.3333333333333334E-2</v>
      </c>
      <c r="H97" s="11">
        <f>AVERAGE(B51:C51)</f>
        <v>2.2999999999999998</v>
      </c>
      <c r="I97" s="11">
        <f>AVERAGE(J51:K51)</f>
        <v>0</v>
      </c>
      <c r="J97" s="11">
        <f>F51</f>
        <v>0.49</v>
      </c>
      <c r="K97">
        <f>AVERAGE(G51:H51)</f>
        <v>0.08</v>
      </c>
      <c r="L97">
        <f>AVERAGE(D51:E51)</f>
        <v>90.740000000000009</v>
      </c>
    </row>
    <row r="98" spans="1:12" x14ac:dyDescent="0.25">
      <c r="A98" t="s">
        <v>8</v>
      </c>
      <c r="B98" s="11">
        <f>AVERAGE(C10,I10:K10,N10:O10,B31:D31)</f>
        <v>22.043333333333333</v>
      </c>
      <c r="C98" s="11">
        <f>AVERAGE(B10,D10,F10,H10,Q10,G31)</f>
        <v>0.15</v>
      </c>
      <c r="D98" s="11">
        <f>AVERAGE(L10:M10,E31)</f>
        <v>0.34666666666666668</v>
      </c>
      <c r="H98" s="11">
        <f>AVERAGE(B52:C52)</f>
        <v>9.7750000000000004</v>
      </c>
      <c r="I98" s="11">
        <f>AVERAGE(J52:K52)</f>
        <v>0.02</v>
      </c>
      <c r="J98" s="11">
        <f>F52</f>
        <v>2.2000000000000002</v>
      </c>
      <c r="K98">
        <f>AVERAGE(G52:H52)</f>
        <v>0.52</v>
      </c>
      <c r="L98">
        <f>AVERAGE(D52:E52)</f>
        <v>398.03999999999996</v>
      </c>
    </row>
    <row r="99" spans="1:12" x14ac:dyDescent="0.25">
      <c r="A99" s="3"/>
      <c r="B99" s="12"/>
      <c r="C99" s="12"/>
      <c r="D99" s="12"/>
      <c r="E99" s="3"/>
      <c r="F99" s="18"/>
      <c r="G99" s="18"/>
      <c r="H99" s="12"/>
      <c r="I99" s="12"/>
      <c r="J99" s="12"/>
      <c r="K99" s="5"/>
      <c r="L99" s="5"/>
    </row>
    <row r="100" spans="1:12" x14ac:dyDescent="0.25">
      <c r="A100" t="s">
        <v>9</v>
      </c>
      <c r="B100" s="11">
        <f t="shared" ref="B100:B110" si="14">AVERAGE(C12,I12:K12,N12:O12,B33:D33)</f>
        <v>4.4033333333333324</v>
      </c>
      <c r="C100" s="11">
        <f t="shared" ref="C100:C110" si="15">AVERAGE(B12,D12,F12,H12,Q12,G33)</f>
        <v>6.6666666666666666E-2</v>
      </c>
      <c r="D100" s="11">
        <f t="shared" ref="D100:D110" si="16">AVERAGE(L12:M12,E33)</f>
        <v>9.0000000000000011E-2</v>
      </c>
      <c r="H100" s="11">
        <f t="shared" ref="H100:H110" si="17">AVERAGE(B54:C54)</f>
        <v>2.3250000000000002</v>
      </c>
      <c r="I100" s="11">
        <f t="shared" ref="I100:I110" si="18">AVERAGE(J54:K54)</f>
        <v>2.5000000000000001E-2</v>
      </c>
      <c r="J100" s="11">
        <f t="shared" ref="J100:J110" si="19">F54</f>
        <v>0.93</v>
      </c>
      <c r="K100">
        <f t="shared" ref="K100:K110" si="20">AVERAGE(G54:H54)</f>
        <v>0.17500000000000002</v>
      </c>
      <c r="L100">
        <f t="shared" ref="L100:L110" si="21">AVERAGE(D54:E54)</f>
        <v>105.255</v>
      </c>
    </row>
    <row r="101" spans="1:12" x14ac:dyDescent="0.25">
      <c r="A101" t="s">
        <v>11</v>
      </c>
      <c r="B101" s="11">
        <f t="shared" si="14"/>
        <v>2.431111111111111</v>
      </c>
      <c r="C101" s="11">
        <f t="shared" si="15"/>
        <v>2.5000000000000005E-2</v>
      </c>
      <c r="D101" s="11">
        <f t="shared" si="16"/>
        <v>6.6666666666666671E-3</v>
      </c>
      <c r="H101" s="11">
        <f t="shared" si="17"/>
        <v>1.4849999999999999</v>
      </c>
      <c r="I101" s="11">
        <f t="shared" si="18"/>
        <v>0.02</v>
      </c>
      <c r="J101" s="11">
        <f t="shared" si="19"/>
        <v>0.15</v>
      </c>
      <c r="K101">
        <f t="shared" si="20"/>
        <v>0.05</v>
      </c>
      <c r="L101">
        <f t="shared" si="21"/>
        <v>32.39</v>
      </c>
    </row>
    <row r="102" spans="1:12" x14ac:dyDescent="0.25">
      <c r="A102" t="s">
        <v>12</v>
      </c>
      <c r="B102" s="11">
        <f t="shared" si="14"/>
        <v>2.5766666666666671</v>
      </c>
      <c r="C102" s="11">
        <f t="shared" si="15"/>
        <v>0.11499999999999999</v>
      </c>
      <c r="D102" s="11">
        <f t="shared" si="16"/>
        <v>0.15333333333333332</v>
      </c>
      <c r="H102" s="11">
        <f t="shared" si="17"/>
        <v>1.595</v>
      </c>
      <c r="I102" s="11">
        <f t="shared" si="18"/>
        <v>0.04</v>
      </c>
      <c r="J102" s="11">
        <f t="shared" si="19"/>
        <v>0.8</v>
      </c>
      <c r="K102">
        <f t="shared" si="20"/>
        <v>0.18</v>
      </c>
      <c r="L102">
        <f t="shared" si="21"/>
        <v>105.30500000000001</v>
      </c>
    </row>
    <row r="103" spans="1:12" x14ac:dyDescent="0.25">
      <c r="A103" t="s">
        <v>13</v>
      </c>
      <c r="B103" s="11">
        <f t="shared" si="14"/>
        <v>0.26222222222222219</v>
      </c>
      <c r="C103" s="11">
        <f t="shared" si="15"/>
        <v>0.03</v>
      </c>
      <c r="D103" s="11">
        <f t="shared" si="16"/>
        <v>2.6666666666666668E-2</v>
      </c>
      <c r="H103" s="11">
        <f t="shared" si="17"/>
        <v>0.16999999999999998</v>
      </c>
      <c r="I103" s="11">
        <f t="shared" si="18"/>
        <v>1.4999999999999999E-2</v>
      </c>
      <c r="J103" s="11">
        <f t="shared" si="19"/>
        <v>0.14000000000000001</v>
      </c>
      <c r="K103">
        <f t="shared" si="20"/>
        <v>2.5000000000000001E-2</v>
      </c>
      <c r="L103">
        <f t="shared" si="21"/>
        <v>10.805</v>
      </c>
    </row>
    <row r="104" spans="1:12" x14ac:dyDescent="0.25">
      <c r="A104" t="s">
        <v>14</v>
      </c>
      <c r="B104" s="11">
        <f t="shared" si="14"/>
        <v>1.2344444444444445</v>
      </c>
      <c r="C104" s="11">
        <f t="shared" si="15"/>
        <v>0.20166666666666666</v>
      </c>
      <c r="D104" s="11">
        <f t="shared" si="16"/>
        <v>0.25333333333333335</v>
      </c>
      <c r="H104" s="11">
        <f t="shared" si="17"/>
        <v>1.0550000000000002</v>
      </c>
      <c r="I104" s="11">
        <f t="shared" si="18"/>
        <v>7.0000000000000007E-2</v>
      </c>
      <c r="J104" s="11">
        <f t="shared" si="19"/>
        <v>1.28</v>
      </c>
      <c r="K104">
        <f t="shared" si="20"/>
        <v>0.12</v>
      </c>
      <c r="L104">
        <f t="shared" si="21"/>
        <v>41.555</v>
      </c>
    </row>
    <row r="105" spans="1:12" x14ac:dyDescent="0.25">
      <c r="A105" t="s">
        <v>15</v>
      </c>
      <c r="B105" s="11">
        <f t="shared" si="14"/>
        <v>0.17111111111111107</v>
      </c>
      <c r="C105" s="11">
        <f t="shared" si="15"/>
        <v>6.8333333333333343E-2</v>
      </c>
      <c r="D105" s="11">
        <f t="shared" si="16"/>
        <v>7.6666666666666661E-2</v>
      </c>
      <c r="H105" s="11">
        <f t="shared" si="17"/>
        <v>0.13</v>
      </c>
      <c r="I105" s="11">
        <f t="shared" si="18"/>
        <v>0.03</v>
      </c>
      <c r="J105" s="11">
        <f t="shared" si="19"/>
        <v>0.27</v>
      </c>
      <c r="K105">
        <f t="shared" si="20"/>
        <v>2.5000000000000001E-2</v>
      </c>
      <c r="L105">
        <f t="shared" si="21"/>
        <v>4.4249999999999998</v>
      </c>
    </row>
    <row r="106" spans="1:12" x14ac:dyDescent="0.25">
      <c r="A106" t="s">
        <v>16</v>
      </c>
      <c r="B106" s="11">
        <f t="shared" si="14"/>
        <v>0.25888888888888889</v>
      </c>
      <c r="C106" s="11">
        <f t="shared" si="15"/>
        <v>0.19499999999999998</v>
      </c>
      <c r="D106" s="11">
        <f t="shared" si="16"/>
        <v>0.37666666666666665</v>
      </c>
      <c r="H106" s="11">
        <f t="shared" si="17"/>
        <v>0.22500000000000001</v>
      </c>
      <c r="I106" s="11">
        <f t="shared" si="18"/>
        <v>6.0000000000000005E-2</v>
      </c>
      <c r="J106" s="11">
        <f t="shared" si="19"/>
        <v>0.78</v>
      </c>
      <c r="K106">
        <f t="shared" si="20"/>
        <v>0.02</v>
      </c>
      <c r="L106">
        <f t="shared" si="21"/>
        <v>8.0949999999999989</v>
      </c>
    </row>
    <row r="107" spans="1:12" x14ac:dyDescent="0.25">
      <c r="A107" t="s">
        <v>60</v>
      </c>
      <c r="B107" s="11">
        <f t="shared" si="14"/>
        <v>3.4444444444444451E-2</v>
      </c>
      <c r="C107" s="11">
        <f t="shared" si="15"/>
        <v>4.1666666666666664E-2</v>
      </c>
      <c r="D107" s="11">
        <f t="shared" si="16"/>
        <v>6.6666666666666666E-2</v>
      </c>
      <c r="H107" s="11">
        <f t="shared" si="17"/>
        <v>2.5000000000000001E-2</v>
      </c>
      <c r="I107" s="11">
        <f t="shared" si="18"/>
        <v>0.02</v>
      </c>
      <c r="J107" s="11">
        <f t="shared" si="19"/>
        <v>0.18</v>
      </c>
      <c r="K107">
        <f t="shared" si="20"/>
        <v>5.0000000000000001E-3</v>
      </c>
      <c r="L107">
        <f t="shared" si="21"/>
        <v>0.79500000000000004</v>
      </c>
    </row>
    <row r="108" spans="1:12" x14ac:dyDescent="0.25">
      <c r="A108" t="s">
        <v>17</v>
      </c>
      <c r="B108" s="11">
        <f t="shared" si="14"/>
        <v>0.19111111111111112</v>
      </c>
      <c r="C108" s="11">
        <f t="shared" si="15"/>
        <v>0.53833333333333333</v>
      </c>
      <c r="D108" s="11">
        <f t="shared" si="16"/>
        <v>0.49333333333333335</v>
      </c>
      <c r="H108" s="11">
        <f t="shared" si="17"/>
        <v>0.30499999999999999</v>
      </c>
      <c r="I108" s="11">
        <f t="shared" si="18"/>
        <v>0.17</v>
      </c>
      <c r="J108" s="11">
        <f t="shared" si="19"/>
        <v>1.29</v>
      </c>
      <c r="K108">
        <f t="shared" si="20"/>
        <v>0.04</v>
      </c>
      <c r="L108">
        <f t="shared" si="21"/>
        <v>1.54</v>
      </c>
    </row>
    <row r="109" spans="1:12" x14ac:dyDescent="0.25">
      <c r="A109" t="s">
        <v>18</v>
      </c>
      <c r="B109" s="11">
        <f t="shared" si="14"/>
        <v>2.4444444444444446E-2</v>
      </c>
      <c r="C109" s="11">
        <f t="shared" si="15"/>
        <v>0.08</v>
      </c>
      <c r="D109" s="11">
        <f t="shared" si="16"/>
        <v>0.13</v>
      </c>
      <c r="H109" s="11">
        <f t="shared" si="17"/>
        <v>4.4999999999999998E-2</v>
      </c>
      <c r="I109" s="11">
        <f t="shared" si="18"/>
        <v>3.5000000000000003E-2</v>
      </c>
      <c r="J109" s="11">
        <f t="shared" si="19"/>
        <v>0.12</v>
      </c>
      <c r="K109">
        <f t="shared" si="20"/>
        <v>5.0000000000000001E-3</v>
      </c>
      <c r="L109">
        <f t="shared" si="21"/>
        <v>0.17499999999999999</v>
      </c>
    </row>
    <row r="110" spans="1:12" x14ac:dyDescent="0.25">
      <c r="A110" s="1" t="s">
        <v>74</v>
      </c>
      <c r="B110" s="19">
        <f t="shared" si="14"/>
        <v>1.7664444444444445</v>
      </c>
      <c r="C110" s="19">
        <f t="shared" si="15"/>
        <v>1.486666666666667</v>
      </c>
      <c r="D110" s="19">
        <f t="shared" si="16"/>
        <v>6.4899999999999993</v>
      </c>
      <c r="E110" s="1"/>
      <c r="F110" s="1"/>
      <c r="G110" s="1"/>
      <c r="H110" s="19">
        <f t="shared" si="17"/>
        <v>2.41</v>
      </c>
      <c r="I110" s="19">
        <f t="shared" si="18"/>
        <v>3.5000000000000003E-2</v>
      </c>
      <c r="J110" s="19">
        <f t="shared" si="19"/>
        <v>2.89</v>
      </c>
      <c r="K110" s="1">
        <f t="shared" si="20"/>
        <v>0.315</v>
      </c>
      <c r="L110" s="1">
        <f t="shared" si="21"/>
        <v>3.7800000000000002</v>
      </c>
    </row>
    <row r="112" spans="1:12" x14ac:dyDescent="0.25">
      <c r="A112" s="1" t="s">
        <v>93</v>
      </c>
      <c r="B112" s="19">
        <f>SUM(B95:B98,B100:B109)</f>
        <v>100.02666666666667</v>
      </c>
      <c r="C112" s="19">
        <f>SUM(C95:C98,C100:C109)</f>
        <v>1.8650000000000002</v>
      </c>
      <c r="D112" s="19">
        <f>SUM(D95:D98,D100:D109)</f>
        <v>2.8166666666666664</v>
      </c>
      <c r="E112" s="19"/>
      <c r="F112" s="19"/>
      <c r="G112" s="19"/>
      <c r="H112" s="19">
        <f>SUM(H95:H98,H100:H109)</f>
        <v>46.750000000000007</v>
      </c>
      <c r="I112" s="19">
        <f>SUM(I95:I98,I100:I109)</f>
        <v>0.51500000000000012</v>
      </c>
      <c r="J112" s="19">
        <f>SUM(J95:J98,J100:J109)</f>
        <v>12.019999999999998</v>
      </c>
      <c r="K112" s="19">
        <f>SUM(K95:K98,K100:K109)</f>
        <v>2.0499999999999994</v>
      </c>
      <c r="L112" s="19">
        <f>SUM(L95:L98,L100:L109)</f>
        <v>1782.3650000000005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3"/>
  <sheetViews>
    <sheetView tabSelected="1" zoomScale="106" zoomScaleNormal="106" workbookViewId="0">
      <selection activeCell="A4" sqref="A4"/>
    </sheetView>
  </sheetViews>
  <sheetFormatPr baseColWidth="10" defaultRowHeight="15" x14ac:dyDescent="0.25"/>
  <cols>
    <col min="10" max="10" width="11.42578125" style="22"/>
    <col min="18" max="18" width="11.42578125" style="22"/>
  </cols>
  <sheetData>
    <row r="1" spans="1:22" s="24" customFormat="1" ht="20.100000000000001" customHeight="1" x14ac:dyDescent="0.25">
      <c r="A1" s="24" t="s">
        <v>97</v>
      </c>
    </row>
    <row r="2" spans="1:22" s="25" customFormat="1" ht="20.100000000000001" customHeight="1" thickBot="1" x14ac:dyDescent="0.3">
      <c r="A2" s="25" t="s">
        <v>98</v>
      </c>
    </row>
    <row r="4" spans="1:22" ht="26.25" x14ac:dyDescent="0.4">
      <c r="D4" s="23" t="s">
        <v>94</v>
      </c>
      <c r="N4" s="23" t="s">
        <v>95</v>
      </c>
      <c r="V4" s="23" t="s">
        <v>96</v>
      </c>
    </row>
    <row r="27" s="22" customFormat="1" x14ac:dyDescent="0.25"/>
    <row r="70" s="22" customFormat="1" x14ac:dyDescent="0.25"/>
    <row r="113" s="22" customFormat="1" x14ac:dyDescent="0.25"/>
  </sheetData>
  <mergeCells count="2">
    <mergeCell ref="A1:XFD1"/>
    <mergeCell ref="A2:XFD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7"/>
  <sheetViews>
    <sheetView zoomScaleNormal="100" workbookViewId="0">
      <selection activeCell="N78" sqref="N78:N92"/>
    </sheetView>
  </sheetViews>
  <sheetFormatPr baseColWidth="10" defaultRowHeight="15" x14ac:dyDescent="0.25"/>
  <cols>
    <col min="1" max="1" width="14.42578125" customWidth="1"/>
  </cols>
  <sheetData>
    <row r="1" spans="1:58" x14ac:dyDescent="0.25">
      <c r="A1" s="1" t="s">
        <v>0</v>
      </c>
    </row>
    <row r="3" spans="1:58" x14ac:dyDescent="0.25">
      <c r="E3" s="1" t="s">
        <v>1</v>
      </c>
    </row>
    <row r="4" spans="1:58" x14ac:dyDescent="0.25">
      <c r="A4" t="s">
        <v>3</v>
      </c>
      <c r="E4" s="4" t="s">
        <v>2</v>
      </c>
    </row>
    <row r="5" spans="1:58" x14ac:dyDescent="0.25">
      <c r="A5" t="s">
        <v>87</v>
      </c>
      <c r="E5" t="s">
        <v>20</v>
      </c>
      <c r="Q5" t="s">
        <v>29</v>
      </c>
      <c r="S5" t="s">
        <v>71</v>
      </c>
    </row>
    <row r="6" spans="1:58" x14ac:dyDescent="0.25">
      <c r="E6" s="2" t="s">
        <v>21</v>
      </c>
      <c r="F6" s="2" t="s">
        <v>19</v>
      </c>
      <c r="G6" s="2" t="s">
        <v>22</v>
      </c>
      <c r="H6" s="2" t="s">
        <v>23</v>
      </c>
      <c r="I6" s="2" t="s">
        <v>68</v>
      </c>
      <c r="J6" s="2" t="s">
        <v>24</v>
      </c>
      <c r="K6" s="2" t="s">
        <v>69</v>
      </c>
      <c r="L6" s="2" t="s">
        <v>25</v>
      </c>
      <c r="M6" s="2" t="s">
        <v>26</v>
      </c>
      <c r="N6" s="2" t="s">
        <v>27</v>
      </c>
      <c r="O6" s="2" t="s">
        <v>28</v>
      </c>
      <c r="P6" s="2" t="s">
        <v>70</v>
      </c>
      <c r="Q6" s="2" t="s">
        <v>30</v>
      </c>
      <c r="R6" s="2" t="s">
        <v>31</v>
      </c>
      <c r="S6" s="2" t="s">
        <v>72</v>
      </c>
      <c r="T6" s="2" t="s">
        <v>73</v>
      </c>
    </row>
    <row r="7" spans="1:58" x14ac:dyDescent="0.25">
      <c r="A7" t="s">
        <v>5</v>
      </c>
      <c r="B7">
        <v>0.24690000000000001</v>
      </c>
      <c r="D7" t="s">
        <v>5</v>
      </c>
      <c r="E7" s="11">
        <f>'Newania, this study'!B7/$B7</f>
        <v>0.32401782098015391</v>
      </c>
      <c r="F7" s="11">
        <f>'Newania, this study'!C7/$B7</f>
        <v>63.912515188335355</v>
      </c>
      <c r="G7" s="11">
        <f>'Newania, this study'!D7/$B7</f>
        <v>0.28351559335763471</v>
      </c>
      <c r="H7" s="11">
        <f>'Newania, this study'!E7/$B7</f>
        <v>0.24301336573511542</v>
      </c>
      <c r="I7" s="11">
        <f>'Newania, this study'!F7/$B7</f>
        <v>4.0502227622519239E-2</v>
      </c>
      <c r="J7" s="11">
        <f>'Newania, this study'!G7/$B7</f>
        <v>0.24301336573511542</v>
      </c>
      <c r="K7" s="11">
        <f>'Newania, this study'!H7/$B7</f>
        <v>4.0502227622519239E-2</v>
      </c>
      <c r="L7" s="11">
        <f>'Newania, this study'!I7/$B7</f>
        <v>67.557715674362086</v>
      </c>
      <c r="M7" s="11">
        <f>'Newania, this study'!J7/$B7</f>
        <v>101.86310247063588</v>
      </c>
      <c r="N7" s="11">
        <f>'Newania, this study'!K7/$B7</f>
        <v>86.917780477926286</v>
      </c>
      <c r="O7" s="11">
        <f>'Newania, this study'!L7/$B7</f>
        <v>0.89104900769542317</v>
      </c>
      <c r="P7" s="11">
        <f>'Newania, this study'!M7/$B7</f>
        <v>0.76954232482786555</v>
      </c>
      <c r="Q7" s="11">
        <f>'Newania, this study'!N7/$B7</f>
        <v>78.574321587687308</v>
      </c>
      <c r="R7" s="11">
        <f>'Newania, this study'!O7/$B7</f>
        <v>66.950182260024306</v>
      </c>
      <c r="S7" s="11">
        <f>'Newania, this study'!P7/$B7</f>
        <v>8.1004455245038479E-2</v>
      </c>
      <c r="T7" s="11">
        <f>'Newania, this study'!Q7/$B7</f>
        <v>0</v>
      </c>
      <c r="AA7">
        <v>0.32401782098015391</v>
      </c>
      <c r="AB7">
        <v>63.912515188335355</v>
      </c>
      <c r="AC7">
        <v>0.28351559335763471</v>
      </c>
      <c r="AD7">
        <v>0.24301336573511542</v>
      </c>
      <c r="AE7">
        <v>4.0502227622519239E-2</v>
      </c>
      <c r="AF7">
        <v>0.24301336573511542</v>
      </c>
      <c r="AG7">
        <v>4.0502227622519239E-2</v>
      </c>
      <c r="AH7">
        <v>67.557715674362086</v>
      </c>
      <c r="AI7">
        <v>101.86310247063588</v>
      </c>
      <c r="AJ7">
        <v>86.917780477926286</v>
      </c>
      <c r="AK7">
        <v>0.89104900769542317</v>
      </c>
      <c r="AL7">
        <v>0.76954232482786555</v>
      </c>
      <c r="AM7">
        <v>78.574321587687308</v>
      </c>
      <c r="AN7">
        <v>66.950182260024306</v>
      </c>
      <c r="AO7">
        <v>8.1004455245038479E-2</v>
      </c>
      <c r="AP7">
        <v>0</v>
      </c>
      <c r="AQ7">
        <v>52.693398136897528</v>
      </c>
      <c r="AR7">
        <v>56.581611988659375</v>
      </c>
      <c r="AS7">
        <v>80.275415147833129</v>
      </c>
      <c r="AT7">
        <v>1.4580801944106925</v>
      </c>
      <c r="AU7">
        <v>3.240178209801539</v>
      </c>
      <c r="AV7">
        <v>2.1466180639935195</v>
      </c>
      <c r="AW7">
        <v>33.211826650465774</v>
      </c>
      <c r="AX7">
        <v>37.950587282300525</v>
      </c>
      <c r="AY7">
        <v>1181.4904819765086</v>
      </c>
      <c r="AZ7">
        <v>1200.7695423248279</v>
      </c>
      <c r="BA7">
        <v>3.6452004860267313</v>
      </c>
      <c r="BB7">
        <v>0.16200891049007696</v>
      </c>
      <c r="BC7">
        <v>1.7820980153908463</v>
      </c>
      <c r="BD7">
        <v>0.12150668286755771</v>
      </c>
      <c r="BE7">
        <v>4.0502227622519239E-2</v>
      </c>
      <c r="BF7">
        <v>4.0502227622519239E-2</v>
      </c>
    </row>
    <row r="8" spans="1:58" x14ac:dyDescent="0.25">
      <c r="A8" t="s">
        <v>6</v>
      </c>
      <c r="B8">
        <v>0.6321</v>
      </c>
      <c r="D8" t="s">
        <v>6</v>
      </c>
      <c r="E8" s="11">
        <f>'Newania, this study'!B8/$B8</f>
        <v>9.4921689606074985E-2</v>
      </c>
      <c r="F8" s="11">
        <f>'Newania, this study'!C8/$B8</f>
        <v>66.049675684227182</v>
      </c>
      <c r="G8" s="11">
        <f>'Newania, this study'!D8/$B8</f>
        <v>7.910140800506249E-2</v>
      </c>
      <c r="H8" s="11">
        <f>'Newania, this study'!E8/$B8</f>
        <v>0.12656225280809999</v>
      </c>
      <c r="I8" s="11">
        <f>'Newania, this study'!F8/$B8</f>
        <v>4.7460844803037493E-2</v>
      </c>
      <c r="J8" s="11">
        <f>'Newania, this study'!G8/$B8</f>
        <v>0.17402309761113749</v>
      </c>
      <c r="K8" s="11">
        <f>'Newania, this study'!H8/$B8</f>
        <v>4.7460844803037493E-2</v>
      </c>
      <c r="L8" s="11">
        <f>'Newania, this study'!I8/$B8</f>
        <v>69.925644676475244</v>
      </c>
      <c r="M8" s="11">
        <f>'Newania, this study'!J8/$B8</f>
        <v>100.28476506881823</v>
      </c>
      <c r="N8" s="11">
        <f>'Newania, this study'!K8/$B8</f>
        <v>84.54358487581078</v>
      </c>
      <c r="O8" s="11">
        <f>'Newania, this study'!L8/$B8</f>
        <v>0.61699098243948747</v>
      </c>
      <c r="P8" s="11">
        <f>'Newania, this study'!M8/$B8</f>
        <v>0.66445182724252494</v>
      </c>
      <c r="Q8" s="11">
        <f>'Newania, this study'!N8/$B8</f>
        <v>70.874861572535991</v>
      </c>
      <c r="R8" s="11">
        <f>'Newania, this study'!O8/$B8</f>
        <v>67.584242999525387</v>
      </c>
      <c r="S8" s="11">
        <f>'Newania, this study'!P8/$B8</f>
        <v>4.7460844803037493E-2</v>
      </c>
      <c r="T8" s="11">
        <f>'Newania, this study'!Q8/$B8</f>
        <v>1.5820281601012499E-2</v>
      </c>
      <c r="AA8">
        <v>0.17152693398136898</v>
      </c>
      <c r="AB8">
        <v>63.686941605317699</v>
      </c>
      <c r="AC8">
        <v>0.15008606723369786</v>
      </c>
      <c r="AD8">
        <v>9.5735963152391981E-2</v>
      </c>
      <c r="AE8">
        <v>1.6734335022572582E-2</v>
      </c>
      <c r="AF8">
        <v>9.356014580801944E-2</v>
      </c>
      <c r="AG8">
        <v>1.1628944676702982E-2</v>
      </c>
      <c r="AH8">
        <v>44.016450135526682</v>
      </c>
      <c r="AI8">
        <v>71.898373160523832</v>
      </c>
      <c r="AJ8">
        <v>47.496361332131336</v>
      </c>
      <c r="AK8">
        <v>0.39722026816738071</v>
      </c>
      <c r="AL8">
        <v>0.24140827745526003</v>
      </c>
      <c r="AM8">
        <v>70.055210931338053</v>
      </c>
      <c r="AN8">
        <v>59.691373025516405</v>
      </c>
      <c r="AO8">
        <v>6.861077359254758E-2</v>
      </c>
      <c r="AP8">
        <v>0</v>
      </c>
      <c r="AQ8">
        <v>42.506007830430669</v>
      </c>
      <c r="AR8">
        <v>106.49916745420998</v>
      </c>
      <c r="AS8">
        <v>226.64425543404886</v>
      </c>
      <c r="AT8">
        <v>0.44106925880923442</v>
      </c>
      <c r="AU8">
        <v>0.87124791863552498</v>
      </c>
      <c r="AV8">
        <v>0.25429167835000155</v>
      </c>
      <c r="AW8">
        <v>14.805482722602372</v>
      </c>
      <c r="AX8">
        <v>27.951432546181341</v>
      </c>
      <c r="AY8">
        <v>135.23276192352739</v>
      </c>
      <c r="AZ8">
        <v>127.13147529364113</v>
      </c>
      <c r="BA8">
        <v>0.47867981576195989</v>
      </c>
      <c r="BB8">
        <v>1.3722154718509518</v>
      </c>
      <c r="BC8">
        <v>5.0314567301201558</v>
      </c>
      <c r="BD8">
        <v>7.9166277222170289E-2</v>
      </c>
      <c r="BE8">
        <v>3.430538679627379E-2</v>
      </c>
      <c r="BF8">
        <v>4.9007695423248274E-2</v>
      </c>
    </row>
    <row r="9" spans="1:58" x14ac:dyDescent="0.25">
      <c r="A9" t="s">
        <v>7</v>
      </c>
      <c r="B9">
        <v>9.5899999999999999E-2</v>
      </c>
      <c r="D9" t="s">
        <v>7</v>
      </c>
      <c r="E9" s="11">
        <f>'Newania, this study'!B9/$B9</f>
        <v>0.31282586027111575</v>
      </c>
      <c r="F9" s="11">
        <f>'Newania, this study'!C9/$B9</f>
        <v>54.327424400417101</v>
      </c>
      <c r="G9" s="11">
        <f>'Newania, this study'!D9/$B9</f>
        <v>0.10427528675703858</v>
      </c>
      <c r="H9" s="11">
        <f>'Newania, this study'!E9/$B9</f>
        <v>0.10427528675703858</v>
      </c>
      <c r="I9" s="11">
        <f>'Newania, this study'!F9/$B9</f>
        <v>0.10427528675703858</v>
      </c>
      <c r="J9" s="11">
        <f>'Newania, this study'!G9/$B9</f>
        <v>0.10427528675703858</v>
      </c>
      <c r="K9" s="11">
        <f>'Newania, this study'!H9/$B9</f>
        <v>0.10427528675703858</v>
      </c>
      <c r="L9" s="11">
        <f>'Newania, this study'!I9/$B9</f>
        <v>56.517205422314909</v>
      </c>
      <c r="M9" s="11">
        <f>'Newania, this study'!J9/$B9</f>
        <v>86.548488008342034</v>
      </c>
      <c r="N9" s="11">
        <f>'Newania, this study'!K9/$B9</f>
        <v>73.201251303441083</v>
      </c>
      <c r="O9" s="11">
        <f>'Newania, this study'!L9/$B9</f>
        <v>0.41710114702815432</v>
      </c>
      <c r="P9" s="11">
        <f>'Newania, this study'!M9/$B9</f>
        <v>1.1470281543274243</v>
      </c>
      <c r="Q9" s="11">
        <f>'Newania, this study'!N9/$B9</f>
        <v>55.891553701772686</v>
      </c>
      <c r="R9" s="11">
        <f>'Newania, this study'!O9/$B9</f>
        <v>56.830031282586027</v>
      </c>
      <c r="S9" s="11">
        <f>'Newania, this study'!P9/$B9</f>
        <v>0.10427528675703858</v>
      </c>
      <c r="T9" s="11">
        <f>'Newania, this study'!Q9/$B9</f>
        <v>0</v>
      </c>
    </row>
    <row r="10" spans="1:58" x14ac:dyDescent="0.25">
      <c r="A10" t="s">
        <v>8</v>
      </c>
      <c r="B10">
        <v>0.4854</v>
      </c>
      <c r="D10" t="s">
        <v>8</v>
      </c>
      <c r="E10" s="11">
        <f>'Newania, this study'!B10/$B10</f>
        <v>0.18541409147095178</v>
      </c>
      <c r="F10" s="11">
        <f>'Newania, this study'!C10/$B10</f>
        <v>43.201483312731767</v>
      </c>
      <c r="G10" s="11">
        <f>'Newania, this study'!D10/$B10</f>
        <v>8.2406262875978575E-2</v>
      </c>
      <c r="H10" s="11">
        <f>'Newania, this study'!E10/$B10</f>
        <v>0.24721878862793573</v>
      </c>
      <c r="I10" s="11">
        <f>'Newania, this study'!F10/$B10</f>
        <v>0.16481252575195715</v>
      </c>
      <c r="J10" s="11">
        <f>'Newania, this study'!G10/$B10</f>
        <v>0.18541409147095178</v>
      </c>
      <c r="K10" s="11">
        <f>'Newania, this study'!H10/$B10</f>
        <v>0.10300782859497322</v>
      </c>
      <c r="L10" s="11">
        <f>'Newania, this study'!I10/$B10</f>
        <v>48.104655953852493</v>
      </c>
      <c r="M10" s="11">
        <f>'Newania, this study'!J10/$B10</f>
        <v>69.097651421508033</v>
      </c>
      <c r="N10" s="11">
        <f>'Newania, this study'!K10/$B10</f>
        <v>60.053564070869385</v>
      </c>
      <c r="O10" s="11">
        <f>'Newania, this study'!L10/$B10</f>
        <v>0.76225793160280175</v>
      </c>
      <c r="P10" s="11">
        <f>'Newania, this study'!M10/$B10</f>
        <v>0.67985166872682323</v>
      </c>
      <c r="Q10" s="11">
        <f>'Newania, this study'!N10/$B10</f>
        <v>47.177585496497734</v>
      </c>
      <c r="R10" s="11">
        <f>'Newania, this study'!O10/$B10</f>
        <v>49.072929542645241</v>
      </c>
      <c r="S10" s="11">
        <f>'Newania, this study'!P10/$B10</f>
        <v>4.1203131437989288E-2</v>
      </c>
      <c r="T10" s="11">
        <f>'Newania, this study'!Q10/$B10</f>
        <v>8.2406262875978575E-2</v>
      </c>
    </row>
    <row r="11" spans="1:58" s="3" customFormat="1" x14ac:dyDescent="0.25">
      <c r="A11" s="3" t="s">
        <v>10</v>
      </c>
      <c r="D11" s="3" t="s">
        <v>10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58" x14ac:dyDescent="0.25">
      <c r="A12" t="s">
        <v>9</v>
      </c>
      <c r="B12">
        <v>0.15559999999999999</v>
      </c>
      <c r="D12" t="s">
        <v>9</v>
      </c>
      <c r="E12" s="11">
        <f>'Newania, this study'!B12/$B12</f>
        <v>0.57840616966580982</v>
      </c>
      <c r="F12" s="11">
        <f>'Newania, this study'!C12/$B12</f>
        <v>28.727506426735218</v>
      </c>
      <c r="G12" s="11">
        <f>'Newania, this study'!D12/$B12</f>
        <v>0.32133676092544994</v>
      </c>
      <c r="H12" s="11">
        <f>'Newania, this study'!E12/$B12</f>
        <v>0.57840616966580982</v>
      </c>
      <c r="I12" s="11">
        <f>'Newania, this study'!F12/$B12</f>
        <v>0.70694087403598982</v>
      </c>
      <c r="J12" s="11">
        <f>'Newania, this study'!G12/$B12</f>
        <v>0.32133676092544994</v>
      </c>
      <c r="K12" s="11">
        <f>'Newania, this study'!H12/$B12</f>
        <v>0.12853470437017997</v>
      </c>
      <c r="L12" s="11">
        <f>'Newania, this study'!I12/$B12</f>
        <v>28.66323907455013</v>
      </c>
      <c r="M12" s="11">
        <f>'Newania, this study'!J12/$B12</f>
        <v>38.688946015424165</v>
      </c>
      <c r="N12" s="11">
        <f>'Newania, this study'!K12/$B12</f>
        <v>35.089974293059129</v>
      </c>
      <c r="O12" s="11">
        <f>'Newania, this study'!L12/$B12</f>
        <v>0.77120822622107976</v>
      </c>
      <c r="P12" s="11">
        <f>'Newania, this study'!M12/$B12</f>
        <v>0.57840616966580982</v>
      </c>
      <c r="Q12" s="11">
        <f>'Newania, this study'!N12/$B12</f>
        <v>28.213367609254497</v>
      </c>
      <c r="R12" s="11">
        <f>'Newania, this study'!O12/$B12</f>
        <v>33.22622107969152</v>
      </c>
      <c r="S12" s="11">
        <f>'Newania, this study'!P12/$B12</f>
        <v>6.4267352185089985E-2</v>
      </c>
      <c r="T12" s="11">
        <f>'Newania, this study'!Q12/$B12</f>
        <v>0.19280205655526994</v>
      </c>
    </row>
    <row r="13" spans="1:58" x14ac:dyDescent="0.25">
      <c r="A13" t="s">
        <v>11</v>
      </c>
      <c r="B13">
        <v>5.9900000000000002E-2</v>
      </c>
      <c r="D13" t="s">
        <v>11</v>
      </c>
      <c r="E13" s="11">
        <f>'Newania, this study'!B13/$B13</f>
        <v>1.001669449081803</v>
      </c>
      <c r="F13" s="11">
        <f>'Newania, this study'!C13/$B13</f>
        <v>44.741235392320533</v>
      </c>
      <c r="G13" s="11">
        <f>'Newania, this study'!D13/$B13</f>
        <v>0.5008347245409015</v>
      </c>
      <c r="H13" s="11">
        <f>'Newania, this study'!E13/$B13</f>
        <v>0.333889816360601</v>
      </c>
      <c r="I13" s="11">
        <f>'Newania, this study'!F13/$B13</f>
        <v>0.333889816360601</v>
      </c>
      <c r="J13" s="11">
        <f>'Newania, this study'!G13/$B13</f>
        <v>0.1669449081803005</v>
      </c>
      <c r="K13" s="11">
        <f>'Newania, this study'!H13/$B13</f>
        <v>0.333889816360601</v>
      </c>
      <c r="L13" s="11">
        <f>'Newania, this study'!I13/$B13</f>
        <v>40.233722871452422</v>
      </c>
      <c r="M13" s="11">
        <f>'Newania, this study'!J13/$B13</f>
        <v>49.248747913188652</v>
      </c>
      <c r="N13" s="11">
        <f>'Newania, this study'!K13/$B13</f>
        <v>48.580968280467445</v>
      </c>
      <c r="O13" s="11">
        <f>'Newania, this study'!L13/$B13</f>
        <v>0</v>
      </c>
      <c r="P13" s="11">
        <f>'Newania, this study'!M13/$B13</f>
        <v>0</v>
      </c>
      <c r="Q13" s="11">
        <f>'Newania, this study'!N13/$B13</f>
        <v>39.732888146911513</v>
      </c>
      <c r="R13" s="11">
        <f>'Newania, this study'!O13/$B13</f>
        <v>46.410684474123535</v>
      </c>
      <c r="S13" s="11">
        <f>'Newania, this study'!P13/$B13</f>
        <v>0.1669449081803005</v>
      </c>
      <c r="T13" s="11">
        <f>'Newania, this study'!Q13/$B13</f>
        <v>0.1669449081803005</v>
      </c>
    </row>
    <row r="14" spans="1:58" x14ac:dyDescent="0.25">
      <c r="A14" t="s">
        <v>12</v>
      </c>
      <c r="B14">
        <v>0.20930000000000001</v>
      </c>
      <c r="D14" t="s">
        <v>12</v>
      </c>
      <c r="E14" s="11">
        <f>'Newania, this study'!B14/$B14</f>
        <v>0.71667462971810791</v>
      </c>
      <c r="F14" s="11">
        <f>'Newania, this study'!C14/$B14</f>
        <v>12.6134734830387</v>
      </c>
      <c r="G14" s="11">
        <f>'Newania, this study'!D14/$B14</f>
        <v>0.57333970377448629</v>
      </c>
      <c r="H14" s="11">
        <f>'Newania, this study'!E14/$B14</f>
        <v>0.76445293836598183</v>
      </c>
      <c r="I14" s="11">
        <f>'Newania, this study'!F14/$B14</f>
        <v>0.86000955566172954</v>
      </c>
      <c r="J14" s="11">
        <f>'Newania, this study'!G14/$B14</f>
        <v>0.38222646918299091</v>
      </c>
      <c r="K14" s="11">
        <f>'Newania, this study'!H14/$B14</f>
        <v>0.71667462971810791</v>
      </c>
      <c r="L14" s="11">
        <f>'Newania, this study'!I14/$B14</f>
        <v>10.320114667940755</v>
      </c>
      <c r="M14" s="11">
        <f>'Newania, this study'!J14/$B14</f>
        <v>15.480172001911132</v>
      </c>
      <c r="N14" s="11">
        <f>'Newania, this study'!K14/$B14</f>
        <v>14.859053989488771</v>
      </c>
      <c r="O14" s="11">
        <f>'Newania, this study'!L14/$B14</f>
        <v>0.71667462971810791</v>
      </c>
      <c r="P14" s="11">
        <f>'Newania, this study'!M14/$B14</f>
        <v>0.86000955566172954</v>
      </c>
      <c r="Q14" s="11">
        <f>'Newania, this study'!N14/$B14</f>
        <v>12.087912087912086</v>
      </c>
      <c r="R14" s="11">
        <f>'Newania, this study'!O14/$B14</f>
        <v>15.145723841376014</v>
      </c>
      <c r="S14" s="11">
        <f>'Newania, this study'!P14/$B14</f>
        <v>0.38222646918299091</v>
      </c>
      <c r="T14" s="11">
        <f>'Newania, this study'!Q14/$B14</f>
        <v>0.33444816053511706</v>
      </c>
    </row>
    <row r="15" spans="1:58" x14ac:dyDescent="0.25">
      <c r="A15" t="s">
        <v>13</v>
      </c>
      <c r="B15">
        <v>3.78E-2</v>
      </c>
      <c r="D15" t="s">
        <v>13</v>
      </c>
      <c r="E15" s="11">
        <f>'Newania, this study'!B15/$B15</f>
        <v>0.26455026455026454</v>
      </c>
      <c r="F15" s="11">
        <f>'Newania, this study'!C15/$B15</f>
        <v>7.4074074074074083</v>
      </c>
      <c r="G15" s="11">
        <f>'Newania, this study'!D15/$B15</f>
        <v>0.79365079365079361</v>
      </c>
      <c r="H15" s="11">
        <f>'Newania, this study'!E15/$B15</f>
        <v>1.0582010582010581</v>
      </c>
      <c r="I15" s="11">
        <f>'Newania, this study'!F15/$B15</f>
        <v>1.0582010582010581</v>
      </c>
      <c r="J15" s="11">
        <f>'Newania, this study'!G15/$B15</f>
        <v>0.52910052910052907</v>
      </c>
      <c r="K15" s="11">
        <f>'Newania, this study'!H15/$B15</f>
        <v>0.52910052910052907</v>
      </c>
      <c r="L15" s="11">
        <f>'Newania, this study'!I15/$B15</f>
        <v>7.6719576719576716</v>
      </c>
      <c r="M15" s="11">
        <f>'Newania, this study'!J15/$B15</f>
        <v>8.7301587301587311</v>
      </c>
      <c r="N15" s="11">
        <f>'Newania, this study'!K15/$B15</f>
        <v>9.2592592592592577</v>
      </c>
      <c r="O15" s="11">
        <f>'Newania, this study'!L15/$B15</f>
        <v>0.52910052910052907</v>
      </c>
      <c r="P15" s="11">
        <f>'Newania, this study'!M15/$B15</f>
        <v>0.79365079365079361</v>
      </c>
      <c r="Q15" s="11">
        <f>'Newania, this study'!N15/$B15</f>
        <v>6.3492063492063489</v>
      </c>
      <c r="R15" s="11">
        <f>'Newania, this study'!O15/$B15</f>
        <v>7.9365079365079358</v>
      </c>
      <c r="S15" s="11">
        <f>'Newania, this study'!P15/$B15</f>
        <v>0.26455026455026454</v>
      </c>
      <c r="T15" s="11">
        <f>'Newania, this study'!Q15/$B15</f>
        <v>0.52910052910052907</v>
      </c>
    </row>
    <row r="16" spans="1:58" x14ac:dyDescent="0.25">
      <c r="A16" t="s">
        <v>14</v>
      </c>
      <c r="B16">
        <v>0.25769999999999998</v>
      </c>
      <c r="D16" t="s">
        <v>14</v>
      </c>
      <c r="E16" s="11">
        <f>'Newania, this study'!B16/$B16</f>
        <v>0.62087698874660457</v>
      </c>
      <c r="F16" s="11">
        <f>'Newania, this study'!C16/$B16</f>
        <v>4.9670159099728366</v>
      </c>
      <c r="G16" s="11">
        <f>'Newania, this study'!D16/$B16</f>
        <v>1.0089251067132325</v>
      </c>
      <c r="H16" s="11">
        <f>'Newania, this study'!E16/$B16</f>
        <v>0.9701202949165697</v>
      </c>
      <c r="I16" s="11">
        <f>'Newania, this study'!F16/$B16</f>
        <v>0.54326736515327911</v>
      </c>
      <c r="J16" s="11">
        <f>'Newania, this study'!G16/$B16</f>
        <v>1.0865347303065582</v>
      </c>
      <c r="K16" s="11">
        <f>'Newania, this study'!H16/$B16</f>
        <v>0.46565774155995343</v>
      </c>
      <c r="L16" s="11">
        <f>'Newania, this study'!I16/$B16</f>
        <v>4.4237485448195573</v>
      </c>
      <c r="M16" s="11">
        <f>'Newania, this study'!J16/$B16</f>
        <v>6.2863795110593719</v>
      </c>
      <c r="N16" s="11">
        <f>'Newania, this study'!K16/$B16</f>
        <v>5.6266977105161038</v>
      </c>
      <c r="O16" s="11">
        <f>'Newania, this study'!L16/$B16</f>
        <v>0.9701202949165697</v>
      </c>
      <c r="P16" s="11">
        <f>'Newania, this study'!M16/$B16</f>
        <v>0.89251067132324413</v>
      </c>
      <c r="Q16" s="11">
        <f>'Newania, this study'!N16/$B16</f>
        <v>5.2386495925494767</v>
      </c>
      <c r="R16" s="11">
        <f>'Newania, this study'!O16/$B16</f>
        <v>4.9670159099728366</v>
      </c>
      <c r="S16" s="11">
        <f>'Newania, this study'!P16/$B16</f>
        <v>0.4268529297632907</v>
      </c>
      <c r="T16" s="11">
        <f>'Newania, this study'!Q16/$B16</f>
        <v>0.34924330616996507</v>
      </c>
    </row>
    <row r="17" spans="1:20" x14ac:dyDescent="0.25">
      <c r="A17" t="s">
        <v>15</v>
      </c>
      <c r="B17">
        <v>5.5399999999999998E-2</v>
      </c>
      <c r="D17" t="s">
        <v>15</v>
      </c>
      <c r="E17" s="11">
        <f>'Newania, this study'!B17/$B17</f>
        <v>0.72202166064981954</v>
      </c>
      <c r="F17" s="11">
        <f>'Newania, this study'!C17/$B17</f>
        <v>3.0685920577617334</v>
      </c>
      <c r="G17" s="11">
        <f>'Newania, this study'!D17/$B17</f>
        <v>1.2635379061371843</v>
      </c>
      <c r="H17" s="11">
        <f>'Newania, this study'!E17/$B17</f>
        <v>1.0830324909747293</v>
      </c>
      <c r="I17" s="11">
        <f>'Newania, this study'!F17/$B17</f>
        <v>1.4440433212996391</v>
      </c>
      <c r="J17" s="11">
        <f>'Newania, this study'!G17/$B17</f>
        <v>0.90252707581227443</v>
      </c>
      <c r="K17" s="11">
        <f>'Newania, this study'!H17/$B17</f>
        <v>1.2635379061371843</v>
      </c>
      <c r="L17" s="11">
        <f>'Newania, this study'!I17/$B17</f>
        <v>2.8880866425992782</v>
      </c>
      <c r="M17" s="11">
        <f>'Newania, this study'!J17/$B17</f>
        <v>3.0685920577617334</v>
      </c>
      <c r="N17" s="11">
        <f>'Newania, this study'!K17/$B17</f>
        <v>3.9711191335740073</v>
      </c>
      <c r="O17" s="11">
        <f>'Newania, this study'!L17/$B17</f>
        <v>1.6245487364620939</v>
      </c>
      <c r="P17" s="11">
        <f>'Newania, this study'!M17/$B17</f>
        <v>1.6245487364620939</v>
      </c>
      <c r="Q17" s="11">
        <f>'Newania, this study'!N17/$B17</f>
        <v>3.7906137184115525</v>
      </c>
      <c r="R17" s="11">
        <f>'Newania, this study'!O17/$B17</f>
        <v>3.0685920577617334</v>
      </c>
      <c r="S17" s="11">
        <f>'Newania, this study'!P17/$B17</f>
        <v>0.36101083032490977</v>
      </c>
      <c r="T17" s="11">
        <f>'Newania, this study'!Q17/$B17</f>
        <v>0.54151624548736466</v>
      </c>
    </row>
    <row r="18" spans="1:20" x14ac:dyDescent="0.25">
      <c r="A18" t="s">
        <v>16</v>
      </c>
      <c r="B18">
        <v>0.16669999999999999</v>
      </c>
      <c r="D18" t="s">
        <v>16</v>
      </c>
      <c r="E18" s="11">
        <f>'Newania, this study'!B18/$B18</f>
        <v>0.35992801439712058</v>
      </c>
      <c r="F18" s="11">
        <f>'Newania, this study'!C18/$B18</f>
        <v>1.679664067186563</v>
      </c>
      <c r="G18" s="11">
        <f>'Newania, this study'!D18/$B18</f>
        <v>1.199760047990402</v>
      </c>
      <c r="H18" s="11">
        <f>'Newania, this study'!E18/$B18</f>
        <v>1.139772045590882</v>
      </c>
      <c r="I18" s="11">
        <f>'Newania, this study'!F18/$B18</f>
        <v>1.3197360527894422</v>
      </c>
      <c r="J18" s="11">
        <f>'Newania, this study'!G18/$B18</f>
        <v>0.89982003599280147</v>
      </c>
      <c r="K18" s="11">
        <f>'Newania, this study'!H18/$B18</f>
        <v>0.89982003599280147</v>
      </c>
      <c r="L18" s="11">
        <f>'Newania, this study'!I18/$B18</f>
        <v>2.0395920815836837</v>
      </c>
      <c r="M18" s="11">
        <f>'Newania, this study'!J18/$B18</f>
        <v>1.859628074385123</v>
      </c>
      <c r="N18" s="11">
        <f>'Newania, this study'!K18/$B18</f>
        <v>1.859628074385123</v>
      </c>
      <c r="O18" s="11">
        <f>'Newania, this study'!L18/$B18</f>
        <v>2.1595680863827234</v>
      </c>
      <c r="P18" s="11">
        <f>'Newania, this study'!M18/$B18</f>
        <v>2.2195560887822436</v>
      </c>
      <c r="Q18" s="11">
        <f>'Newania, this study'!N18/$B18</f>
        <v>1.2597480503899221</v>
      </c>
      <c r="R18" s="11">
        <f>'Newania, this study'!O18/$B18</f>
        <v>2.1595680863827234</v>
      </c>
      <c r="S18" s="11">
        <f>'Newania, this study'!P18/$B18</f>
        <v>0.77984403119376133</v>
      </c>
      <c r="T18" s="11">
        <f>'Newania, this study'!Q18/$B18</f>
        <v>0.47990401919616082</v>
      </c>
    </row>
    <row r="19" spans="1:20" x14ac:dyDescent="0.25">
      <c r="A19" t="s">
        <v>60</v>
      </c>
      <c r="B19">
        <v>2.6100000000000002E-2</v>
      </c>
      <c r="D19" t="s">
        <v>60</v>
      </c>
      <c r="E19" s="11">
        <f>'Newania, this study'!B19/$B19</f>
        <v>0.76628352490421447</v>
      </c>
      <c r="F19" s="11">
        <f>'Newania, this study'!C19/$B19</f>
        <v>1.9157088122605364</v>
      </c>
      <c r="G19" s="11">
        <f>'Newania, this study'!D19/$B19</f>
        <v>1.5325670498084289</v>
      </c>
      <c r="H19" s="11">
        <f>'Newania, this study'!E19/$B19</f>
        <v>2.2988505747126435</v>
      </c>
      <c r="I19" s="11">
        <f>'Newania, this study'!F19/$B19</f>
        <v>1.1494252873563218</v>
      </c>
      <c r="J19" s="11">
        <f>'Newania, this study'!G19/$B19</f>
        <v>1.5325670498084289</v>
      </c>
      <c r="K19" s="11">
        <f>'Newania, this study'!H19/$B19</f>
        <v>2.2988505747126435</v>
      </c>
      <c r="L19" s="11">
        <f>'Newania, this study'!I19/$B19</f>
        <v>1.1494252873563218</v>
      </c>
      <c r="M19" s="11">
        <f>'Newania, this study'!J19/$B19</f>
        <v>1.5325670498084289</v>
      </c>
      <c r="N19" s="11">
        <f>'Newania, this study'!K19/$B19</f>
        <v>1.1494252873563218</v>
      </c>
      <c r="O19" s="11">
        <f>'Newania, this study'!L19/$B19</f>
        <v>3.4482758620689653</v>
      </c>
      <c r="P19" s="11">
        <f>'Newania, this study'!M19/$B19</f>
        <v>3.0651340996168579</v>
      </c>
      <c r="Q19" s="11">
        <f>'Newania, this study'!N19/$B19</f>
        <v>1.5325670498084289</v>
      </c>
      <c r="R19" s="11">
        <f>'Newania, this study'!O19/$B19</f>
        <v>2.2988505747126435</v>
      </c>
      <c r="S19" s="11">
        <f>'Newania, this study'!P19/$B19</f>
        <v>0.76628352490421447</v>
      </c>
      <c r="T19" s="11">
        <f>'Newania, this study'!Q19/$B19</f>
        <v>0.76628352490421447</v>
      </c>
    </row>
    <row r="20" spans="1:20" x14ac:dyDescent="0.25">
      <c r="A20" t="s">
        <v>17</v>
      </c>
      <c r="B20">
        <v>0.1694</v>
      </c>
      <c r="D20" t="s">
        <v>17</v>
      </c>
      <c r="E20" s="11">
        <f>'Newania, this study'!B20/$B20</f>
        <v>1.8890200708382527</v>
      </c>
      <c r="F20" s="11">
        <f>'Newania, this study'!C20/$B20</f>
        <v>1.0035419126328218</v>
      </c>
      <c r="G20" s="11">
        <f>'Newania, this study'!D20/$B20</f>
        <v>1.8890200708382527</v>
      </c>
      <c r="H20" s="11">
        <f>'Newania, this study'!E20/$B20</f>
        <v>2.5383707201889019</v>
      </c>
      <c r="I20" s="11">
        <f>'Newania, this study'!F20/$B20</f>
        <v>2.4203069657615113</v>
      </c>
      <c r="J20" s="11">
        <f>'Newania, this study'!G20/$B20</f>
        <v>2.5974025974025974</v>
      </c>
      <c r="K20" s="11">
        <f>'Newania, this study'!H20/$B20</f>
        <v>3.4828807556080283</v>
      </c>
      <c r="L20" s="11">
        <f>'Newania, this study'!I20/$B20</f>
        <v>1.5348288075560803</v>
      </c>
      <c r="M20" s="11">
        <f>'Newania, this study'!J20/$B20</f>
        <v>1.4167650531286895</v>
      </c>
      <c r="N20" s="11">
        <f>'Newania, this study'!K20/$B20</f>
        <v>1.8299881936245572</v>
      </c>
      <c r="O20" s="11">
        <f>'Newania, this study'!L20/$B20</f>
        <v>2.2432113341204252</v>
      </c>
      <c r="P20" s="11">
        <f>'Newania, this study'!M20/$B20</f>
        <v>3.1877213695395517</v>
      </c>
      <c r="Q20" s="11">
        <f>'Newania, this study'!N20/$B20</f>
        <v>1.1216056670602126</v>
      </c>
      <c r="R20" s="11">
        <f>'Newania, this study'!O20/$B20</f>
        <v>1.1216056670602126</v>
      </c>
      <c r="S20" s="11">
        <f>'Newania, this study'!P20/$B20</f>
        <v>1.1806375442739081</v>
      </c>
      <c r="T20" s="11">
        <f>'Newania, this study'!Q20/$B20</f>
        <v>0.94451003541912637</v>
      </c>
    </row>
    <row r="21" spans="1:20" x14ac:dyDescent="0.25">
      <c r="A21" t="s">
        <v>18</v>
      </c>
      <c r="B21">
        <v>2.5600000000000001E-2</v>
      </c>
      <c r="D21" t="s">
        <v>18</v>
      </c>
      <c r="E21" s="11">
        <f>'Newania, this study'!B21/$B21</f>
        <v>1.171875</v>
      </c>
      <c r="F21" s="11">
        <f>'Newania, this study'!C21/$B21</f>
        <v>1.171875</v>
      </c>
      <c r="G21" s="11">
        <f>'Newania, this study'!D21/$B21</f>
        <v>2.34375</v>
      </c>
      <c r="H21" s="11">
        <f>'Newania, this study'!E21/$B21</f>
        <v>2.34375</v>
      </c>
      <c r="I21" s="11">
        <f>'Newania, this study'!F21/$B21</f>
        <v>1.953125</v>
      </c>
      <c r="J21" s="11">
        <f>'Newania, this study'!G21/$B21</f>
        <v>3.125</v>
      </c>
      <c r="K21" s="11">
        <f>'Newania, this study'!H21/$B21</f>
        <v>3.5156249999999996</v>
      </c>
      <c r="L21" s="11">
        <f>'Newania, this study'!I21/$B21</f>
        <v>0.78125</v>
      </c>
      <c r="M21" s="11">
        <f>'Newania, this study'!J21/$B21</f>
        <v>0.78125</v>
      </c>
      <c r="N21" s="11">
        <f>'Newania, this study'!K21/$B21</f>
        <v>0.78125</v>
      </c>
      <c r="O21" s="11">
        <f>'Newania, this study'!L21/$B21</f>
        <v>7.421875</v>
      </c>
      <c r="P21" s="11">
        <f>'Newania, this study'!M21/$B21</f>
        <v>5.078125</v>
      </c>
      <c r="Q21" s="11">
        <f>'Newania, this study'!N21/$B21</f>
        <v>1.171875</v>
      </c>
      <c r="R21" s="11">
        <f>'Newania, this study'!O21/$B21</f>
        <v>1.5625</v>
      </c>
      <c r="S21" s="11">
        <f>'Newania, this study'!P21/$B21</f>
        <v>1.171875</v>
      </c>
      <c r="T21" s="11">
        <f>'Newania, this study'!Q21/$B21</f>
        <v>1.171875</v>
      </c>
    </row>
    <row r="23" spans="1:20" x14ac:dyDescent="0.25">
      <c r="D23" s="13" t="s">
        <v>65</v>
      </c>
      <c r="E23" s="14">
        <f t="shared" ref="E23:O23" si="0">E13/SQRT(E12*E14)</f>
        <v>1.5557755938823499</v>
      </c>
      <c r="F23" s="14">
        <f t="shared" si="0"/>
        <v>2.3503993434632298</v>
      </c>
      <c r="G23" s="14">
        <f t="shared" si="0"/>
        <v>1.1668316954117623</v>
      </c>
      <c r="H23" s="14">
        <f t="shared" si="0"/>
        <v>0.50212441379519124</v>
      </c>
      <c r="I23" s="14">
        <f t="shared" si="0"/>
        <v>0.42821313888310286</v>
      </c>
      <c r="J23" s="14">
        <f t="shared" si="0"/>
        <v>0.47635704491090286</v>
      </c>
      <c r="K23" s="14">
        <f t="shared" si="0"/>
        <v>1.1000994724387376</v>
      </c>
      <c r="L23" s="14">
        <f t="shared" si="0"/>
        <v>2.3392967946878969</v>
      </c>
      <c r="M23" s="14">
        <f t="shared" si="0"/>
        <v>2.012397890263204</v>
      </c>
      <c r="N23" s="14">
        <f t="shared" si="0"/>
        <v>2.1275465017453423</v>
      </c>
      <c r="O23" s="14">
        <f t="shared" si="0"/>
        <v>0</v>
      </c>
      <c r="P23" s="14">
        <f t="shared" ref="P23:T23" si="1">P13/SQRT(P12*P14)</f>
        <v>0</v>
      </c>
      <c r="Q23" s="14">
        <f t="shared" si="1"/>
        <v>2.1515281094242598</v>
      </c>
      <c r="R23" s="14">
        <f t="shared" si="1"/>
        <v>2.0688665666536128</v>
      </c>
      <c r="S23" s="14">
        <f t="shared" si="1"/>
        <v>1.065166733981699</v>
      </c>
      <c r="T23" s="14">
        <f t="shared" si="1"/>
        <v>0.65743518128622613</v>
      </c>
    </row>
    <row r="24" spans="1:20" x14ac:dyDescent="0.25">
      <c r="D24" s="1" t="s">
        <v>66</v>
      </c>
      <c r="E24" s="16">
        <f t="shared" ref="E24:O24" si="2">E7/E12</f>
        <v>0.5601908104945772</v>
      </c>
      <c r="F24" s="16">
        <f t="shared" si="2"/>
        <v>2.2247846450346715</v>
      </c>
      <c r="G24" s="16">
        <f t="shared" si="2"/>
        <v>0.88230052652895907</v>
      </c>
      <c r="H24" s="16">
        <f t="shared" si="2"/>
        <v>0.42014310787093284</v>
      </c>
      <c r="I24" s="16">
        <f t="shared" si="2"/>
        <v>5.7292241982399933E-2</v>
      </c>
      <c r="J24" s="16">
        <f t="shared" si="2"/>
        <v>0.75625759416767901</v>
      </c>
      <c r="K24" s="16">
        <f t="shared" si="2"/>
        <v>0.31510733090319965</v>
      </c>
      <c r="L24" s="16">
        <f t="shared" si="2"/>
        <v>2.3569463136616009</v>
      </c>
      <c r="M24" s="16">
        <f t="shared" si="2"/>
        <v>2.6328735455865355</v>
      </c>
      <c r="N24" s="16">
        <f t="shared" si="2"/>
        <v>2.4769975535467634</v>
      </c>
      <c r="O24" s="16">
        <f t="shared" si="2"/>
        <v>1.1553935466450653</v>
      </c>
      <c r="P24" s="16">
        <f t="shared" ref="P24:T24" si="3">P7/P12</f>
        <v>1.3304531749246207</v>
      </c>
      <c r="Q24" s="16">
        <f t="shared" si="3"/>
        <v>2.7850032890761152</v>
      </c>
      <c r="R24" s="16">
        <f t="shared" si="3"/>
        <v>2.0149803403597257</v>
      </c>
      <c r="S24" s="16">
        <f t="shared" si="3"/>
        <v>1.2604293236127986</v>
      </c>
      <c r="T24" s="16">
        <f t="shared" si="3"/>
        <v>0</v>
      </c>
    </row>
    <row r="25" spans="1:20" x14ac:dyDescent="0.25">
      <c r="D25" s="1" t="s">
        <v>67</v>
      </c>
      <c r="E25" s="16">
        <f t="shared" ref="E25:O25" si="4">E7/E20</f>
        <v>0.17152693398136898</v>
      </c>
      <c r="F25" s="16">
        <f t="shared" si="4"/>
        <v>63.686941605317699</v>
      </c>
      <c r="G25" s="16">
        <f t="shared" si="4"/>
        <v>0.15008606723369786</v>
      </c>
      <c r="H25" s="16">
        <f t="shared" si="4"/>
        <v>9.5735963152391981E-2</v>
      </c>
      <c r="I25" s="16">
        <f t="shared" si="4"/>
        <v>1.6734335022572582E-2</v>
      </c>
      <c r="J25" s="16">
        <f t="shared" si="4"/>
        <v>9.356014580801944E-2</v>
      </c>
      <c r="K25" s="16">
        <f t="shared" si="4"/>
        <v>1.1628944676702982E-2</v>
      </c>
      <c r="L25" s="16">
        <f t="shared" si="4"/>
        <v>44.016450135526682</v>
      </c>
      <c r="M25" s="16">
        <f t="shared" si="4"/>
        <v>71.898373160523832</v>
      </c>
      <c r="N25" s="16">
        <f t="shared" si="4"/>
        <v>47.496361332131336</v>
      </c>
      <c r="O25" s="16">
        <f t="shared" si="4"/>
        <v>0.39722026816738071</v>
      </c>
      <c r="P25" s="16">
        <f t="shared" ref="P25:T25" si="5">P7/P20</f>
        <v>0.24140827745526003</v>
      </c>
      <c r="Q25" s="16">
        <f t="shared" si="5"/>
        <v>70.055210931338053</v>
      </c>
      <c r="R25" s="16">
        <f t="shared" si="5"/>
        <v>59.691373025516405</v>
      </c>
      <c r="S25" s="16">
        <f t="shared" si="5"/>
        <v>6.861077359254758E-2</v>
      </c>
      <c r="T25" s="16">
        <f t="shared" si="5"/>
        <v>0</v>
      </c>
    </row>
    <row r="26" spans="1:20" x14ac:dyDescent="0.25">
      <c r="D26" s="1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8" spans="1:20" x14ac:dyDescent="0.25">
      <c r="E28" s="4" t="s">
        <v>32</v>
      </c>
    </row>
    <row r="29" spans="1:20" x14ac:dyDescent="0.25">
      <c r="E29" t="s">
        <v>20</v>
      </c>
    </row>
    <row r="30" spans="1:20" x14ac:dyDescent="0.25">
      <c r="E30" s="2" t="s">
        <v>4</v>
      </c>
      <c r="F30" s="2" t="s">
        <v>19</v>
      </c>
      <c r="G30" s="2" t="s">
        <v>33</v>
      </c>
      <c r="H30" s="2" t="s">
        <v>34</v>
      </c>
      <c r="I30" s="2" t="s">
        <v>24</v>
      </c>
      <c r="J30" s="2" t="s">
        <v>69</v>
      </c>
      <c r="K30" s="2"/>
      <c r="L30" s="2"/>
      <c r="M30" s="2"/>
      <c r="N30" s="2"/>
      <c r="O30" s="2"/>
    </row>
    <row r="31" spans="1:20" x14ac:dyDescent="0.25">
      <c r="A31" t="s">
        <v>5</v>
      </c>
      <c r="B31">
        <v>0.24690000000000001</v>
      </c>
      <c r="D31" t="s">
        <v>5</v>
      </c>
      <c r="E31" s="11">
        <f>'Newania, this study'!B28/$B31</f>
        <v>52.693398136897528</v>
      </c>
      <c r="F31" s="11">
        <f>'Newania, this study'!C28/$B31</f>
        <v>56.581611988659375</v>
      </c>
      <c r="G31" s="11">
        <f>'Newania, this study'!D28/$B31</f>
        <v>80.275415147833129</v>
      </c>
      <c r="H31" s="11">
        <f>'Newania, this study'!E28/$B31</f>
        <v>1.4580801944106925</v>
      </c>
      <c r="I31" s="11">
        <f>'Newania, this study'!F28/$B31</f>
        <v>3.240178209801539</v>
      </c>
      <c r="J31" s="11">
        <f>'Newania, this study'!G28/$B31</f>
        <v>2.1466180639935195</v>
      </c>
    </row>
    <row r="32" spans="1:20" x14ac:dyDescent="0.25">
      <c r="A32" t="s">
        <v>6</v>
      </c>
      <c r="B32">
        <v>0.6321</v>
      </c>
      <c r="D32" t="s">
        <v>6</v>
      </c>
      <c r="E32" s="11">
        <f>'Newania, this study'!B29/$B32</f>
        <v>44.755576649264356</v>
      </c>
      <c r="F32" s="11">
        <f>'Newania, this study'!C29/$B32</f>
        <v>46.464167062173708</v>
      </c>
      <c r="G32" s="11">
        <f>'Newania, this study'!D29/$B32</f>
        <v>62.521752887201394</v>
      </c>
      <c r="H32" s="11">
        <f>'Newania, this study'!E29/$B32</f>
        <v>0.93339661445973732</v>
      </c>
      <c r="I32" s="11">
        <f>'Newania, this study'!F29/$B32</f>
        <v>2.0408163265306123</v>
      </c>
      <c r="J32" s="11">
        <f>'Newania, this study'!G29/$B32</f>
        <v>1.6927701313083374</v>
      </c>
    </row>
    <row r="33" spans="1:15" x14ac:dyDescent="0.25">
      <c r="A33" t="s">
        <v>7</v>
      </c>
      <c r="B33">
        <v>9.5899999999999999E-2</v>
      </c>
      <c r="D33" t="s">
        <v>7</v>
      </c>
      <c r="E33" s="11">
        <f>'Newania, this study'!B30/$B33</f>
        <v>35.557872784150156</v>
      </c>
      <c r="F33" s="11">
        <f>'Newania, this study'!C30/$B33</f>
        <v>35.766423357664237</v>
      </c>
      <c r="G33" s="11">
        <f>'Newania, this study'!D30/$B33</f>
        <v>48.800834202294055</v>
      </c>
      <c r="H33" s="11">
        <f>'Newania, this study'!E30/$B33</f>
        <v>0.72992700729927018</v>
      </c>
      <c r="I33" s="11">
        <f>'Newania, this study'!F30/$B33</f>
        <v>1.4598540145985404</v>
      </c>
      <c r="J33" s="11">
        <f>'Newania, this study'!G30/$B33</f>
        <v>1.1470281543274243</v>
      </c>
    </row>
    <row r="34" spans="1:15" x14ac:dyDescent="0.25">
      <c r="A34" t="s">
        <v>8</v>
      </c>
      <c r="B34">
        <v>0.4854</v>
      </c>
      <c r="D34" t="s">
        <v>8</v>
      </c>
      <c r="E34" s="11">
        <f>'Newania, this study'!B31/$B34</f>
        <v>28.141738772146685</v>
      </c>
      <c r="F34" s="11">
        <f>'Newania, this study'!C31/$B34</f>
        <v>27.441285537700868</v>
      </c>
      <c r="G34" s="11">
        <f>'Newania, this study'!D31/$B34</f>
        <v>36.423568191182532</v>
      </c>
      <c r="H34" s="11">
        <f>'Newania, this study'!E31/$B34</f>
        <v>0.70045323444581797</v>
      </c>
      <c r="I34" s="11">
        <f>'Newania, this study'!F31/$B34</f>
        <v>1.3391017717346518</v>
      </c>
      <c r="J34" s="11">
        <f>'Newania, this study'!G31/$B34</f>
        <v>1.2360939431396785</v>
      </c>
    </row>
    <row r="35" spans="1:15" s="5" customFormat="1" x14ac:dyDescent="0.25">
      <c r="A35" s="3" t="s">
        <v>10</v>
      </c>
      <c r="B35" s="3"/>
      <c r="D35" s="3" t="s">
        <v>10</v>
      </c>
      <c r="E35" s="12"/>
      <c r="F35" s="12"/>
      <c r="G35" s="12"/>
      <c r="H35" s="12"/>
      <c r="I35" s="12"/>
      <c r="J35" s="3"/>
      <c r="K35" s="3"/>
      <c r="L35" s="3"/>
      <c r="M35" s="3"/>
      <c r="N35" s="3"/>
      <c r="O35" s="3"/>
    </row>
    <row r="36" spans="1:15" x14ac:dyDescent="0.25">
      <c r="A36" t="s">
        <v>9</v>
      </c>
      <c r="B36">
        <v>0.15559999999999999</v>
      </c>
      <c r="D36" t="s">
        <v>9</v>
      </c>
      <c r="E36" s="11">
        <f>'Newania, this study'!B33/$B36</f>
        <v>20.372750642673523</v>
      </c>
      <c r="F36" s="11">
        <f>'Newania, this study'!C33/$B36</f>
        <v>18.637532133676093</v>
      </c>
      <c r="G36" s="11">
        <f>'Newania, this study'!D33/$B36</f>
        <v>23.0719794344473</v>
      </c>
      <c r="H36" s="11">
        <f>'Newania, this study'!E33/$B36</f>
        <v>0.38560411311053988</v>
      </c>
      <c r="I36" s="11">
        <f>'Newania, this study'!F33/$B36</f>
        <v>1.0925449871465298</v>
      </c>
      <c r="J36" s="11">
        <f>'Newania, this study'!G33/$B36</f>
        <v>0.64267352185089988</v>
      </c>
    </row>
    <row r="37" spans="1:15" x14ac:dyDescent="0.25">
      <c r="A37" t="s">
        <v>11</v>
      </c>
      <c r="B37">
        <v>5.9900000000000002E-2</v>
      </c>
      <c r="D37" t="s">
        <v>11</v>
      </c>
      <c r="E37" s="11">
        <f>'Newania, this study'!B34/$B37</f>
        <v>31.886477462437394</v>
      </c>
      <c r="F37" s="11">
        <f>'Newania, this study'!C34/$B37</f>
        <v>30.217028380634389</v>
      </c>
      <c r="G37" s="11">
        <f>'Newania, this study'!D34/$B37</f>
        <v>34.223706176961599</v>
      </c>
      <c r="H37" s="11">
        <f>'Newania, this study'!E34/$B37</f>
        <v>0.333889816360601</v>
      </c>
      <c r="I37" s="11">
        <f>'Newania, this study'!F34/$B37</f>
        <v>0.667779632721202</v>
      </c>
      <c r="J37" s="11">
        <f>'Newania, this study'!G34/$B37</f>
        <v>0.1669449081803005</v>
      </c>
    </row>
    <row r="38" spans="1:15" x14ac:dyDescent="0.25">
      <c r="A38" t="s">
        <v>12</v>
      </c>
      <c r="B38">
        <v>0.20930000000000001</v>
      </c>
      <c r="D38" t="s">
        <v>12</v>
      </c>
      <c r="E38" s="11">
        <f>'Newania, this study'!B35/$B38</f>
        <v>9.6989966555183926</v>
      </c>
      <c r="F38" s="11">
        <f>'Newania, this study'!C35/$B38</f>
        <v>8.8389870998566646</v>
      </c>
      <c r="G38" s="11">
        <f>'Newania, this study'!D35/$B38</f>
        <v>11.75346392737697</v>
      </c>
      <c r="H38" s="11">
        <f>'Newania, this study'!E35/$B38</f>
        <v>0.6211180124223602</v>
      </c>
      <c r="I38" s="11">
        <f>'Newania, this study'!F35/$B38</f>
        <v>0.43000477783086477</v>
      </c>
      <c r="J38" s="11">
        <f>'Newania, this study'!G35/$B38</f>
        <v>9.5556617295747728E-2</v>
      </c>
    </row>
    <row r="39" spans="1:15" x14ac:dyDescent="0.25">
      <c r="A39" t="s">
        <v>13</v>
      </c>
      <c r="B39">
        <v>3.78E-2</v>
      </c>
      <c r="D39" t="s">
        <v>13</v>
      </c>
      <c r="E39" s="11">
        <f>'Newania, this study'!B36/$B39</f>
        <v>4.7619047619047619</v>
      </c>
      <c r="F39" s="11">
        <f>'Newania, this study'!C36/$B39</f>
        <v>4.7619047619047619</v>
      </c>
      <c r="G39" s="11">
        <f>'Newania, this study'!D36/$B39</f>
        <v>5.5555555555555554</v>
      </c>
      <c r="H39" s="11">
        <f>'Newania, this study'!E36/$B39</f>
        <v>0.79365079365079361</v>
      </c>
      <c r="I39" s="11">
        <f>'Newania, this study'!F36/$B39</f>
        <v>0.52910052910052907</v>
      </c>
      <c r="J39" s="11">
        <f>'Newania, this study'!G36/$B39</f>
        <v>1.5873015873015872</v>
      </c>
    </row>
    <row r="40" spans="1:15" x14ac:dyDescent="0.25">
      <c r="A40" t="s">
        <v>14</v>
      </c>
      <c r="B40">
        <v>0.25769999999999998</v>
      </c>
      <c r="D40" t="s">
        <v>14</v>
      </c>
      <c r="E40" s="11">
        <f>'Newania, this study'!B37/$B40</f>
        <v>3.8804811796662788</v>
      </c>
      <c r="F40" s="11">
        <f>'Newania, this study'!C37/$B40</f>
        <v>3.0655801319363603</v>
      </c>
      <c r="G40" s="11">
        <f>'Newania, this study'!D37/$B40</f>
        <v>4.6565774155995348</v>
      </c>
      <c r="H40" s="11">
        <f>'Newania, this study'!E37/$B40</f>
        <v>1.0865347303065582</v>
      </c>
      <c r="I40" s="11">
        <f>'Newania, this study'!F37/$B40</f>
        <v>1.2417539774932091</v>
      </c>
      <c r="J40" s="11">
        <f>'Newania, this study'!G37/$B40</f>
        <v>1.7074117190531628</v>
      </c>
    </row>
    <row r="41" spans="1:15" x14ac:dyDescent="0.25">
      <c r="A41" t="s">
        <v>15</v>
      </c>
      <c r="B41">
        <v>5.5399999999999998E-2</v>
      </c>
      <c r="D41" t="s">
        <v>15</v>
      </c>
      <c r="E41" s="11">
        <f>'Newania, this study'!B38/$B41</f>
        <v>2.7075812274368229</v>
      </c>
      <c r="F41" s="11">
        <f>'Newania, this study'!C38/$B41</f>
        <v>2.1660649819494586</v>
      </c>
      <c r="G41" s="11">
        <f>'Newania, this study'!D38/$B41</f>
        <v>3.0685920577617334</v>
      </c>
      <c r="H41" s="11">
        <f>'Newania, this study'!E38/$B41</f>
        <v>0.90252707581227443</v>
      </c>
      <c r="I41" s="11">
        <f>'Newania, this study'!F38/$B41</f>
        <v>0.72202166064981954</v>
      </c>
      <c r="J41" s="11">
        <f>'Newania, this study'!G38/$B41</f>
        <v>2.1660649819494586</v>
      </c>
    </row>
    <row r="42" spans="1:15" x14ac:dyDescent="0.25">
      <c r="A42" t="s">
        <v>16</v>
      </c>
      <c r="B42">
        <v>0.16669999999999999</v>
      </c>
      <c r="D42" t="s">
        <v>16</v>
      </c>
      <c r="E42" s="11">
        <f>'Newania, this study'!B39/$B42</f>
        <v>0.83983203359328151</v>
      </c>
      <c r="F42" s="11">
        <f>'Newania, this study'!C39/$B42</f>
        <v>0.77984403119376133</v>
      </c>
      <c r="G42" s="11">
        <f>'Newania, this study'!D39/$B42</f>
        <v>1.4997000599880026</v>
      </c>
      <c r="H42" s="11">
        <f>'Newania, this study'!E39/$B42</f>
        <v>2.3995200959808041</v>
      </c>
      <c r="I42" s="11">
        <f>'Newania, this study'!F39/$B42</f>
        <v>2.8794241151769646</v>
      </c>
      <c r="J42" s="11">
        <f>'Newania, this study'!G39/$B42</f>
        <v>2.7594481103779249</v>
      </c>
    </row>
    <row r="43" spans="1:15" x14ac:dyDescent="0.25">
      <c r="A43" t="s">
        <v>60</v>
      </c>
      <c r="B43">
        <v>2.6100000000000002E-2</v>
      </c>
      <c r="D43" t="s">
        <v>60</v>
      </c>
      <c r="E43" s="11">
        <f>'Newania, this study'!B40/$B43</f>
        <v>0.76628352490421447</v>
      </c>
      <c r="F43" s="11">
        <f>'Newania, this study'!C40/$B43</f>
        <v>1.1494252873563218</v>
      </c>
      <c r="G43" s="11">
        <f>'Newania, this study'!D40/$B43</f>
        <v>0.38314176245210724</v>
      </c>
      <c r="H43" s="11">
        <f>'Newania, this study'!E40/$B43</f>
        <v>1.1494252873563218</v>
      </c>
      <c r="I43" s="11">
        <f>'Newania, this study'!F40/$B43</f>
        <v>1.1494252873563218</v>
      </c>
      <c r="J43" s="11">
        <f>'Newania, this study'!G40/$B43</f>
        <v>3.0651340996168579</v>
      </c>
    </row>
    <row r="44" spans="1:15" x14ac:dyDescent="0.25">
      <c r="A44" t="s">
        <v>17</v>
      </c>
      <c r="B44">
        <v>0.1694</v>
      </c>
      <c r="D44" t="s">
        <v>17</v>
      </c>
      <c r="E44" s="11">
        <f>'Newania, this study'!B41/$B44</f>
        <v>1.2396694214876034</v>
      </c>
      <c r="F44" s="11">
        <f>'Newania, this study'!C41/$B44</f>
        <v>0.53128689492325853</v>
      </c>
      <c r="G44" s="11">
        <f>'Newania, this study'!D41/$B44</f>
        <v>0.35419126328217237</v>
      </c>
      <c r="H44" s="11">
        <f>'Newania, this study'!E41/$B44</f>
        <v>3.3057851239669427</v>
      </c>
      <c r="I44" s="11">
        <f>'Newania, this study'!F41/$B44</f>
        <v>3.71900826446281</v>
      </c>
      <c r="J44" s="11">
        <f>'Newania, this study'!G41/$B44</f>
        <v>8.4415584415584419</v>
      </c>
    </row>
    <row r="45" spans="1:15" x14ac:dyDescent="0.25">
      <c r="A45" t="s">
        <v>18</v>
      </c>
      <c r="B45">
        <v>2.5600000000000001E-2</v>
      </c>
      <c r="D45" t="s">
        <v>18</v>
      </c>
      <c r="E45" s="11">
        <f>'Newania, this study'!B42/$B45</f>
        <v>1.171875</v>
      </c>
      <c r="F45" s="11">
        <f>'Newania, this study'!C42/$B45</f>
        <v>0.390625</v>
      </c>
      <c r="G45" s="11">
        <f>'Newania, this study'!D42/$B45</f>
        <v>0.78125</v>
      </c>
      <c r="H45" s="11">
        <f>'Newania, this study'!E42/$B45</f>
        <v>2.734375</v>
      </c>
      <c r="I45" s="11">
        <f>'Newania, this study'!F42/$B45</f>
        <v>5.46875</v>
      </c>
      <c r="J45" s="11">
        <f>'Newania, this study'!G42/$B45</f>
        <v>8.59375</v>
      </c>
    </row>
    <row r="47" spans="1:15" x14ac:dyDescent="0.25">
      <c r="D47" s="13" t="s">
        <v>65</v>
      </c>
      <c r="E47" s="14">
        <f t="shared" ref="E47:I47" si="6">E37/SQRT(E36*E38)</f>
        <v>2.2683930358096398</v>
      </c>
      <c r="F47" s="14">
        <f t="shared" si="6"/>
        <v>2.3542701696644004</v>
      </c>
      <c r="G47" s="14">
        <f t="shared" si="6"/>
        <v>2.0782685775093754</v>
      </c>
      <c r="H47" s="14">
        <f t="shared" si="6"/>
        <v>0.68225273042833534</v>
      </c>
      <c r="I47" s="14">
        <f t="shared" si="6"/>
        <v>0.97426446836655178</v>
      </c>
      <c r="J47" s="14">
        <f t="shared" ref="J47" si="7">J37/SQRT(J36*J38)</f>
        <v>0.67367059344496838</v>
      </c>
    </row>
    <row r="48" spans="1:15" x14ac:dyDescent="0.25">
      <c r="D48" s="1" t="s">
        <v>66</v>
      </c>
      <c r="E48" s="16">
        <f t="shared" ref="E48:I48" si="8">E31/E36</f>
        <v>2.5864645899373042</v>
      </c>
      <c r="F48" s="16">
        <f t="shared" si="8"/>
        <v>3.0358961467018615</v>
      </c>
      <c r="G48" s="16">
        <f t="shared" si="8"/>
        <v>3.4793466844019041</v>
      </c>
      <c r="H48" s="16">
        <f t="shared" si="8"/>
        <v>3.7812879708383953</v>
      </c>
      <c r="I48" s="16">
        <f t="shared" si="8"/>
        <v>2.9657160555595254</v>
      </c>
      <c r="J48" s="16">
        <f t="shared" ref="J48" si="9">J31/J36</f>
        <v>3.3401377075739158</v>
      </c>
    </row>
    <row r="49" spans="1:20" x14ac:dyDescent="0.25">
      <c r="D49" s="1" t="s">
        <v>67</v>
      </c>
      <c r="E49" s="16">
        <f t="shared" ref="E49:I49" si="10">E31/E44</f>
        <v>42.506007830430669</v>
      </c>
      <c r="F49" s="16">
        <f t="shared" si="10"/>
        <v>106.49916745420998</v>
      </c>
      <c r="G49" s="16">
        <f t="shared" si="10"/>
        <v>226.64425543404886</v>
      </c>
      <c r="H49" s="16">
        <f t="shared" si="10"/>
        <v>0.44106925880923442</v>
      </c>
      <c r="I49" s="16">
        <f t="shared" si="10"/>
        <v>0.87124791863552498</v>
      </c>
      <c r="J49" s="16">
        <f t="shared" ref="J49" si="11">J31/J44</f>
        <v>0.25429167835000155</v>
      </c>
    </row>
    <row r="50" spans="1:20" x14ac:dyDescent="0.25">
      <c r="D50" s="1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2" spans="1:20" x14ac:dyDescent="0.25">
      <c r="E52" s="4" t="s">
        <v>35</v>
      </c>
    </row>
    <row r="53" spans="1:20" x14ac:dyDescent="0.25">
      <c r="E53" t="s">
        <v>20</v>
      </c>
      <c r="H53" t="s">
        <v>29</v>
      </c>
      <c r="L53" t="s">
        <v>41</v>
      </c>
      <c r="N53" t="s">
        <v>43</v>
      </c>
    </row>
    <row r="54" spans="1:20" x14ac:dyDescent="0.25">
      <c r="E54" s="2" t="s">
        <v>4</v>
      </c>
      <c r="F54" s="2" t="s">
        <v>19</v>
      </c>
      <c r="G54" s="2" t="s">
        <v>36</v>
      </c>
      <c r="H54" s="2" t="s">
        <v>37</v>
      </c>
      <c r="I54" s="2" t="s">
        <v>38</v>
      </c>
      <c r="J54" s="2" t="s">
        <v>39</v>
      </c>
      <c r="K54" s="2" t="s">
        <v>40</v>
      </c>
      <c r="L54" s="2" t="s">
        <v>42</v>
      </c>
      <c r="M54" s="2" t="s">
        <v>75</v>
      </c>
      <c r="N54" s="2" t="s">
        <v>76</v>
      </c>
      <c r="O54" s="2"/>
    </row>
    <row r="55" spans="1:20" x14ac:dyDescent="0.25">
      <c r="A55" t="s">
        <v>5</v>
      </c>
      <c r="B55">
        <v>0.24690000000000001</v>
      </c>
      <c r="D55" t="s">
        <v>5</v>
      </c>
      <c r="E55" s="11">
        <f>'Newania, this study'!B49/$B55</f>
        <v>33.211826650465774</v>
      </c>
      <c r="F55" s="11">
        <f>'Newania, this study'!C49/$B55</f>
        <v>37.950587282300525</v>
      </c>
      <c r="G55" s="11">
        <f>'Newania, this study'!D49/$B55</f>
        <v>1181.4904819765086</v>
      </c>
      <c r="H55" s="11">
        <f>'Newania, this study'!E49/$B55</f>
        <v>1200.7695423248279</v>
      </c>
      <c r="I55" s="11">
        <f>'Newania, this study'!F49/$B55</f>
        <v>3.6452004860267313</v>
      </c>
      <c r="J55" s="11">
        <f>'Newania, this study'!G49/$B55</f>
        <v>0.16200891049007696</v>
      </c>
      <c r="K55" s="11">
        <f>'Newania, this study'!H49/$B55</f>
        <v>1.7820980153908463</v>
      </c>
      <c r="L55" s="11">
        <f>'Newania, this study'!I49/$B55</f>
        <v>0.12150668286755771</v>
      </c>
      <c r="M55" s="11">
        <f>'Newania, this study'!J49/$B55</f>
        <v>4.0502227622519239E-2</v>
      </c>
      <c r="N55" s="11">
        <f>'Newania, this study'!K49/$B55</f>
        <v>4.0502227622519239E-2</v>
      </c>
    </row>
    <row r="56" spans="1:20" x14ac:dyDescent="0.25">
      <c r="A56" t="s">
        <v>6</v>
      </c>
      <c r="B56">
        <v>0.6321</v>
      </c>
      <c r="D56" t="s">
        <v>6</v>
      </c>
      <c r="E56" s="11">
        <f>'Newania, this study'!B50/$B56</f>
        <v>27.622211675367822</v>
      </c>
      <c r="F56" s="11">
        <f>'Newania, this study'!C50/$B56</f>
        <v>31.007751937984498</v>
      </c>
      <c r="G56" s="11">
        <f>'Newania, this study'!D50/$B56</f>
        <v>1087.8183831672204</v>
      </c>
      <c r="H56" s="11">
        <f>'Newania, this study'!E50/$B56</f>
        <v>1092.7068501819333</v>
      </c>
      <c r="I56" s="11">
        <f>'Newania, this study'!F50/$B56</f>
        <v>3.9392501186521125</v>
      </c>
      <c r="J56" s="11">
        <f>'Newania, this study'!G50/$B56</f>
        <v>0.22148394241417499</v>
      </c>
      <c r="K56" s="11">
        <f>'Newania, this study'!H50/$B56</f>
        <v>1.5662078785002373</v>
      </c>
      <c r="L56" s="11">
        <f>'Newania, this study'!I50/$B56</f>
        <v>4.7460844803037493E-2</v>
      </c>
      <c r="M56" s="11">
        <f>'Newania, this study'!J50/$B56</f>
        <v>0</v>
      </c>
      <c r="N56" s="11">
        <f>'Newania, this study'!K50/$B56</f>
        <v>0</v>
      </c>
    </row>
    <row r="57" spans="1:20" x14ac:dyDescent="0.25">
      <c r="A57" t="s">
        <v>7</v>
      </c>
      <c r="B57">
        <v>9.5899999999999999E-2</v>
      </c>
      <c r="D57" t="s">
        <v>7</v>
      </c>
      <c r="E57" s="11">
        <f>'Newania, this study'!B51/$B57</f>
        <v>22.83628779979145</v>
      </c>
      <c r="F57" s="11">
        <f>'Newania, this study'!C51/$B57</f>
        <v>25.130344108446298</v>
      </c>
      <c r="G57" s="11">
        <f>'Newania, this study'!D51/$B57</f>
        <v>941.08446298227318</v>
      </c>
      <c r="H57" s="11">
        <f>'Newania, this study'!E51/$B57</f>
        <v>951.30344108446309</v>
      </c>
      <c r="I57" s="11">
        <f>'Newania, this study'!F51/$B57</f>
        <v>5.10948905109489</v>
      </c>
      <c r="J57" s="11">
        <f>'Newania, this study'!G51/$B57</f>
        <v>0.20855057351407716</v>
      </c>
      <c r="K57" s="11">
        <f>'Newania, this study'!H51/$B57</f>
        <v>1.4598540145985404</v>
      </c>
      <c r="L57" s="11">
        <f>'Newania, this study'!I51/$B57</f>
        <v>0</v>
      </c>
      <c r="M57" s="11">
        <f>'Newania, this study'!J51/$B57</f>
        <v>0</v>
      </c>
      <c r="N57" s="11">
        <f>'Newania, this study'!K51/$B57</f>
        <v>0</v>
      </c>
    </row>
    <row r="58" spans="1:20" x14ac:dyDescent="0.25">
      <c r="A58" t="s">
        <v>8</v>
      </c>
      <c r="B58">
        <v>0.4854</v>
      </c>
      <c r="D58" t="s">
        <v>8</v>
      </c>
      <c r="E58" s="11">
        <f>'Newania, this study'!B52/$B58</f>
        <v>18.994643592913064</v>
      </c>
      <c r="F58" s="11">
        <f>'Newania, this study'!C52/$B58</f>
        <v>21.281417387721469</v>
      </c>
      <c r="G58" s="11">
        <f>'Newania, this study'!D52/$B58</f>
        <v>820.76637824474653</v>
      </c>
      <c r="H58" s="11">
        <f>'Newania, this study'!E52/$B58</f>
        <v>819.28306551297896</v>
      </c>
      <c r="I58" s="11">
        <f>'Newania, this study'!F52/$B58</f>
        <v>4.5323444581788221</v>
      </c>
      <c r="J58" s="11">
        <f>'Newania, this study'!G52/$B58</f>
        <v>0.3296250515039143</v>
      </c>
      <c r="K58" s="11">
        <f>'Newania, this study'!H52/$B58</f>
        <v>1.8129377832715285</v>
      </c>
      <c r="L58" s="11">
        <f>'Newania, this study'!I52/$B58</f>
        <v>2.0601565718994644E-2</v>
      </c>
      <c r="M58" s="11">
        <f>'Newania, this study'!J52/$B58</f>
        <v>2.0601565718994644E-2</v>
      </c>
      <c r="N58" s="11">
        <f>'Newania, this study'!K52/$B58</f>
        <v>6.1804697156983932E-2</v>
      </c>
    </row>
    <row r="59" spans="1:20" s="5" customFormat="1" x14ac:dyDescent="0.25">
      <c r="A59" s="3" t="s">
        <v>10</v>
      </c>
      <c r="B59" s="3"/>
      <c r="D59" s="3" t="s">
        <v>10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3"/>
    </row>
    <row r="60" spans="1:20" x14ac:dyDescent="0.25">
      <c r="A60" t="s">
        <v>9</v>
      </c>
      <c r="B60">
        <v>0.15559999999999999</v>
      </c>
      <c r="D60" t="s">
        <v>9</v>
      </c>
      <c r="E60" s="11">
        <f>'Newania, this study'!B54/$B60</f>
        <v>15.038560411311055</v>
      </c>
      <c r="F60" s="11">
        <f>'Newania, this study'!C54/$B60</f>
        <v>14.845758354755786</v>
      </c>
      <c r="G60" s="11">
        <f>'Newania, this study'!D54/$B60</f>
        <v>673.13624678663246</v>
      </c>
      <c r="H60" s="11">
        <f>'Newania, this study'!E54/$B60</f>
        <v>679.75578406169666</v>
      </c>
      <c r="I60" s="11">
        <f>'Newania, this study'!F54/$B60</f>
        <v>5.9768637532133679</v>
      </c>
      <c r="J60" s="11">
        <f>'Newania, this study'!G54/$B60</f>
        <v>0.44987146529562988</v>
      </c>
      <c r="K60" s="11">
        <f>'Newania, this study'!H54/$B60</f>
        <v>1.7994858611825195</v>
      </c>
      <c r="L60" s="11">
        <f>'Newania, this study'!I54/$B60</f>
        <v>6.4267352185089985E-2</v>
      </c>
      <c r="M60" s="11">
        <f>'Newania, this study'!J54/$B60</f>
        <v>0.19280205655526994</v>
      </c>
      <c r="N60" s="11">
        <f>'Newania, this study'!K54/$B60</f>
        <v>0.12853470437017997</v>
      </c>
    </row>
    <row r="61" spans="1:20" x14ac:dyDescent="0.25">
      <c r="A61" t="s">
        <v>11</v>
      </c>
      <c r="B61">
        <v>5.9900000000000002E-2</v>
      </c>
      <c r="D61" t="s">
        <v>11</v>
      </c>
      <c r="E61" s="11">
        <f>'Newania, this study'!B55/$B61</f>
        <v>24.540901502504173</v>
      </c>
      <c r="F61" s="11">
        <f>'Newania, this study'!C55/$B61</f>
        <v>25.041736227045075</v>
      </c>
      <c r="G61" s="11">
        <f>'Newania, this study'!D55/$B61</f>
        <v>534.89148580968276</v>
      </c>
      <c r="H61" s="11">
        <f>'Newania, this study'!E55/$B61</f>
        <v>546.57762938230383</v>
      </c>
      <c r="I61" s="11">
        <f>'Newania, this study'!F55/$B61</f>
        <v>2.5041736227045073</v>
      </c>
      <c r="J61" s="11">
        <f>'Newania, this study'!G55/$B61</f>
        <v>0.5008347245409015</v>
      </c>
      <c r="K61" s="11">
        <f>'Newania, this study'!H55/$B61</f>
        <v>1.1686143572621035</v>
      </c>
      <c r="L61" s="11">
        <f>'Newania, this study'!I55/$B61</f>
        <v>0.1669449081803005</v>
      </c>
      <c r="M61" s="11">
        <f>'Newania, this study'!J55/$B61</f>
        <v>0.1669449081803005</v>
      </c>
      <c r="N61" s="11">
        <f>'Newania, this study'!K55/$B61</f>
        <v>0.5008347245409015</v>
      </c>
    </row>
    <row r="62" spans="1:20" x14ac:dyDescent="0.25">
      <c r="A62" t="s">
        <v>12</v>
      </c>
      <c r="B62">
        <v>0.20930000000000001</v>
      </c>
      <c r="D62" t="s">
        <v>12</v>
      </c>
      <c r="E62" s="11">
        <f>'Newania, this study'!B56/$B62</f>
        <v>8.170090778786431</v>
      </c>
      <c r="F62" s="11">
        <f>'Newania, this study'!C56/$B62</f>
        <v>7.0711896798853315</v>
      </c>
      <c r="G62" s="11">
        <f>'Newania, this study'!D56/$B62</f>
        <v>502.38891543239367</v>
      </c>
      <c r="H62" s="11">
        <f>'Newania, this study'!E56/$B62</f>
        <v>503.87004300047772</v>
      </c>
      <c r="I62" s="11">
        <f>'Newania, this study'!F56/$B62</f>
        <v>3.822264691829909</v>
      </c>
      <c r="J62" s="11">
        <f>'Newania, this study'!G56/$B62</f>
        <v>0.43000477783086477</v>
      </c>
      <c r="K62" s="11">
        <f>'Newania, this study'!H56/$B62</f>
        <v>1.2900143334925944</v>
      </c>
      <c r="L62" s="11">
        <f>'Newania, this study'!I56/$B62</f>
        <v>0.23889154323936931</v>
      </c>
      <c r="M62" s="11">
        <f>'Newania, this study'!J56/$B62</f>
        <v>0.14333492594362157</v>
      </c>
      <c r="N62" s="11">
        <f>'Newania, this study'!K56/$B62</f>
        <v>0.23889154323936931</v>
      </c>
    </row>
    <row r="63" spans="1:20" x14ac:dyDescent="0.25">
      <c r="A63" t="s">
        <v>13</v>
      </c>
      <c r="B63">
        <v>3.78E-2</v>
      </c>
      <c r="D63" t="s">
        <v>13</v>
      </c>
      <c r="E63" s="11">
        <f>'Newania, this study'!B57/$B63</f>
        <v>4.7619047619047619</v>
      </c>
      <c r="F63" s="11">
        <f>'Newania, this study'!C57/$B63</f>
        <v>4.2328042328042326</v>
      </c>
      <c r="G63" s="11">
        <f>'Newania, this study'!D57/$B63</f>
        <v>282.80423280423281</v>
      </c>
      <c r="H63" s="11">
        <f>'Newania, this study'!E57/$B63</f>
        <v>288.88888888888886</v>
      </c>
      <c r="I63" s="11">
        <f>'Newania, this study'!F57/$B63</f>
        <v>3.7037037037037042</v>
      </c>
      <c r="J63" s="11">
        <f>'Newania, this study'!G57/$B63</f>
        <v>0.26455026455026454</v>
      </c>
      <c r="K63" s="11">
        <f>'Newania, this study'!H57/$B63</f>
        <v>1.0582010582010581</v>
      </c>
      <c r="L63" s="11">
        <f>'Newania, this study'!I57/$B63</f>
        <v>0.52910052910052907</v>
      </c>
      <c r="M63" s="11">
        <f>'Newania, this study'!J57/$B63</f>
        <v>0.52910052910052907</v>
      </c>
      <c r="N63" s="11">
        <f>'Newania, this study'!K57/$B63</f>
        <v>0.26455026455026454</v>
      </c>
    </row>
    <row r="64" spans="1:20" x14ac:dyDescent="0.25">
      <c r="A64" t="s">
        <v>14</v>
      </c>
      <c r="B64">
        <v>0.25769999999999998</v>
      </c>
      <c r="D64" t="s">
        <v>14</v>
      </c>
      <c r="E64" s="11">
        <f>'Newania, this study'!B58/$B64</f>
        <v>3.8416763678696162</v>
      </c>
      <c r="F64" s="11">
        <f>'Newania, this study'!C58/$B64</f>
        <v>4.3461389212262329</v>
      </c>
      <c r="G64" s="11">
        <f>'Newania, this study'!D58/$B64</f>
        <v>158.5952658129608</v>
      </c>
      <c r="H64" s="11">
        <f>'Newania, this study'!E58/$B64</f>
        <v>163.91152502910361</v>
      </c>
      <c r="I64" s="11">
        <f>'Newania, this study'!F58/$B64</f>
        <v>4.9670159099728366</v>
      </c>
      <c r="J64" s="11">
        <f>'Newania, this study'!G58/$B64</f>
        <v>0.34924330616996507</v>
      </c>
      <c r="K64" s="11">
        <f>'Newania, this study'!H58/$B64</f>
        <v>0.58207217694994184</v>
      </c>
      <c r="L64" s="11">
        <f>'Newania, this study'!I58/$B64</f>
        <v>0.50446255335661627</v>
      </c>
      <c r="M64" s="11">
        <f>'Newania, this study'!J58/$B64</f>
        <v>0.31043849437330229</v>
      </c>
      <c r="N64" s="11">
        <f>'Newania, this study'!K58/$B64</f>
        <v>0.23282887077997672</v>
      </c>
    </row>
    <row r="65" spans="1:20" x14ac:dyDescent="0.25">
      <c r="A65" t="s">
        <v>15</v>
      </c>
      <c r="B65">
        <v>5.5399999999999998E-2</v>
      </c>
      <c r="D65" t="s">
        <v>15</v>
      </c>
      <c r="E65" s="11">
        <f>'Newania, this study'!B59/$B65</f>
        <v>2.3465703971119134</v>
      </c>
      <c r="F65" s="11">
        <f>'Newania, this study'!C59/$B65</f>
        <v>2.3465703971119134</v>
      </c>
      <c r="G65" s="11">
        <f>'Newania, this study'!D59/$B65</f>
        <v>79.241877256317693</v>
      </c>
      <c r="H65" s="11">
        <f>'Newania, this study'!E59/$B65</f>
        <v>80.505415162454881</v>
      </c>
      <c r="I65" s="11">
        <f>'Newania, this study'!F59/$B65</f>
        <v>4.8736462093862825</v>
      </c>
      <c r="J65" s="11">
        <f>'Newania, this study'!G59/$B65</f>
        <v>0.36101083032490977</v>
      </c>
      <c r="K65" s="11">
        <f>'Newania, this study'!H59/$B65</f>
        <v>0.54151624548736466</v>
      </c>
      <c r="L65" s="11">
        <f>'Newania, this study'!I59/$B65</f>
        <v>0.54151624548736466</v>
      </c>
      <c r="M65" s="11">
        <f>'Newania, this study'!J59/$B65</f>
        <v>0.72202166064981954</v>
      </c>
      <c r="N65" s="11">
        <f>'Newania, this study'!K59/$B65</f>
        <v>0.36101083032490977</v>
      </c>
    </row>
    <row r="66" spans="1:20" x14ac:dyDescent="0.25">
      <c r="A66" t="s">
        <v>16</v>
      </c>
      <c r="B66">
        <v>0.16669999999999999</v>
      </c>
      <c r="D66" t="s">
        <v>16</v>
      </c>
      <c r="E66" s="11">
        <f>'Newania, this study'!B60/$B66</f>
        <v>1.859628074385123</v>
      </c>
      <c r="F66" s="11">
        <f>'Newania, this study'!C60/$B66</f>
        <v>0.83983203359328151</v>
      </c>
      <c r="G66" s="11">
        <f>'Newania, this study'!D60/$B66</f>
        <v>49.130173965206957</v>
      </c>
      <c r="H66" s="11">
        <f>'Newania, this study'!E60/$B66</f>
        <v>47.990401919616083</v>
      </c>
      <c r="I66" s="11">
        <f>'Newania, this study'!F60/$B66</f>
        <v>4.6790641871625684</v>
      </c>
      <c r="J66" s="11">
        <f>'Newania, this study'!G60/$B66</f>
        <v>0.11997600479904021</v>
      </c>
      <c r="K66" s="11">
        <f>'Newania, this study'!H60/$B66</f>
        <v>0.11997600479904021</v>
      </c>
      <c r="L66" s="11">
        <f>'Newania, this study'!I60/$B66</f>
        <v>1.0797840431913617</v>
      </c>
      <c r="M66" s="11">
        <f>'Newania, this study'!J60/$B66</f>
        <v>0.59988002399520102</v>
      </c>
      <c r="N66" s="11">
        <f>'Newania, this study'!K60/$B66</f>
        <v>0.11997600479904021</v>
      </c>
    </row>
    <row r="67" spans="1:20" x14ac:dyDescent="0.25">
      <c r="A67" t="s">
        <v>60</v>
      </c>
      <c r="B67">
        <v>2.6100000000000002E-2</v>
      </c>
      <c r="D67" t="s">
        <v>60</v>
      </c>
      <c r="E67" s="11">
        <f>'Newania, this study'!B61/$B67</f>
        <v>1.1494252873563218</v>
      </c>
      <c r="F67" s="11">
        <f>'Newania, this study'!C61/$B67</f>
        <v>0.76628352490421447</v>
      </c>
      <c r="G67" s="11">
        <f>'Newania, this study'!D61/$B67</f>
        <v>30.268199233716473</v>
      </c>
      <c r="H67" s="11">
        <f>'Newania, this study'!E61/$B67</f>
        <v>30.651340996168582</v>
      </c>
      <c r="I67" s="11">
        <f>'Newania, this study'!F61/$B67</f>
        <v>6.8965517241379306</v>
      </c>
      <c r="J67" s="11">
        <f>'Newania, this study'!G61/$B67</f>
        <v>0</v>
      </c>
      <c r="K67" s="11">
        <f>'Newania, this study'!H61/$B67</f>
        <v>0.38314176245210724</v>
      </c>
      <c r="L67" s="11">
        <f>'Newania, this study'!I61/$B67</f>
        <v>1.1494252873563218</v>
      </c>
      <c r="M67" s="11">
        <f>'Newania, this study'!J61/$B67</f>
        <v>1.1494252873563218</v>
      </c>
      <c r="N67" s="11">
        <f>'Newania, this study'!K61/$B67</f>
        <v>0.38314176245210724</v>
      </c>
    </row>
    <row r="68" spans="1:20" x14ac:dyDescent="0.25">
      <c r="A68" t="s">
        <v>17</v>
      </c>
      <c r="B68">
        <v>0.1694</v>
      </c>
      <c r="D68" t="s">
        <v>17</v>
      </c>
      <c r="E68" s="11">
        <f>'Newania, this study'!B62/$B68</f>
        <v>2.2432113341204252</v>
      </c>
      <c r="F68" s="11">
        <f>'Newania, this study'!C62/$B68</f>
        <v>1.3577331759149942</v>
      </c>
      <c r="G68" s="11">
        <f>'Newania, this study'!D62/$B68</f>
        <v>8.7367178276269186</v>
      </c>
      <c r="H68" s="11">
        <f>'Newania, this study'!E62/$B68</f>
        <v>9.4451003541912648</v>
      </c>
      <c r="I68" s="11">
        <f>'Newania, this study'!F62/$B68</f>
        <v>7.6151121605667065</v>
      </c>
      <c r="J68" s="11">
        <f>'Newania, this study'!G62/$B68</f>
        <v>0.1180637544273908</v>
      </c>
      <c r="K68" s="11">
        <f>'Newania, this study'!H62/$B68</f>
        <v>0.35419126328217237</v>
      </c>
      <c r="L68" s="11">
        <f>'Newania, this study'!I62/$B68</f>
        <v>1.5348288075560803</v>
      </c>
      <c r="M68" s="11">
        <f>'Newania, this study'!J62/$B68</f>
        <v>1.1806375442739081</v>
      </c>
      <c r="N68" s="11">
        <f>'Newania, this study'!K62/$B68</f>
        <v>0.82644628099173567</v>
      </c>
    </row>
    <row r="69" spans="1:20" x14ac:dyDescent="0.25">
      <c r="A69" t="s">
        <v>18</v>
      </c>
      <c r="B69">
        <v>2.5600000000000001E-2</v>
      </c>
      <c r="D69" t="s">
        <v>18</v>
      </c>
      <c r="E69" s="11">
        <f>'Newania, this study'!B63/$B69</f>
        <v>1.5625</v>
      </c>
      <c r="F69" s="11">
        <f>'Newania, this study'!C63/$B69</f>
        <v>1.953125</v>
      </c>
      <c r="G69" s="11">
        <f>'Newania, this study'!D63/$B69</f>
        <v>8.203125</v>
      </c>
      <c r="H69" s="11">
        <f>'Newania, this study'!E63/$B69</f>
        <v>5.46875</v>
      </c>
      <c r="I69" s="11">
        <f>'Newania, this study'!F63/$B69</f>
        <v>4.6875</v>
      </c>
      <c r="J69" s="11">
        <f>'Newania, this study'!G63/$B69</f>
        <v>0.390625</v>
      </c>
      <c r="K69" s="11">
        <f>'Newania, this study'!H63/$B69</f>
        <v>0</v>
      </c>
      <c r="L69" s="11">
        <f>'Newania, this study'!I63/$B69</f>
        <v>2.34375</v>
      </c>
      <c r="M69" s="11">
        <f>'Newania, this study'!J63/$B69</f>
        <v>1.953125</v>
      </c>
      <c r="N69" s="11">
        <f>'Newania, this study'!K63/$B69</f>
        <v>0.78125</v>
      </c>
    </row>
    <row r="71" spans="1:20" x14ac:dyDescent="0.25">
      <c r="D71" s="13" t="s">
        <v>65</v>
      </c>
      <c r="E71" s="14">
        <f>E61/SQRT(E60*E62)</f>
        <v>2.2139812520133471</v>
      </c>
      <c r="F71" s="14">
        <f t="shared" ref="F71:N71" si="12">F61/SQRT(F60*F62)</f>
        <v>2.4440889048559185</v>
      </c>
      <c r="G71" s="14">
        <f t="shared" si="12"/>
        <v>0.91980162441713642</v>
      </c>
      <c r="H71" s="14">
        <f t="shared" si="12"/>
        <v>0.93393387369498682</v>
      </c>
      <c r="I71" s="14">
        <f t="shared" si="12"/>
        <v>0.52392289767210842</v>
      </c>
      <c r="J71" s="14">
        <f t="shared" si="12"/>
        <v>1.1387111366709994</v>
      </c>
      <c r="K71" s="14">
        <f t="shared" si="12"/>
        <v>0.76700771150059721</v>
      </c>
      <c r="L71" s="14">
        <f t="shared" si="12"/>
        <v>1.3473411868899368</v>
      </c>
      <c r="M71" s="14">
        <f t="shared" si="12"/>
        <v>1.0042488275903825</v>
      </c>
      <c r="N71" s="14">
        <f t="shared" si="12"/>
        <v>2.8581422694654171</v>
      </c>
    </row>
    <row r="72" spans="1:20" x14ac:dyDescent="0.25">
      <c r="D72" s="1" t="s">
        <v>66</v>
      </c>
      <c r="E72" s="16">
        <f>E55/E60</f>
        <v>2.2084445413728524</v>
      </c>
      <c r="F72" s="16">
        <f t="shared" ref="F72:N72" si="13">F55/F60</f>
        <v>2.5563252732147017</v>
      </c>
      <c r="G72" s="16">
        <f t="shared" si="13"/>
        <v>1.7552025873166386</v>
      </c>
      <c r="H72" s="16">
        <f t="shared" si="13"/>
        <v>1.766471974905391</v>
      </c>
      <c r="I72" s="16">
        <f t="shared" si="13"/>
        <v>0.60988515658683806</v>
      </c>
      <c r="J72" s="16">
        <f t="shared" si="13"/>
        <v>0.36012266388937103</v>
      </c>
      <c r="K72" s="16">
        <f t="shared" si="13"/>
        <v>0.99033732569577015</v>
      </c>
      <c r="L72" s="16">
        <f t="shared" si="13"/>
        <v>1.8906439854191976</v>
      </c>
      <c r="M72" s="16">
        <f t="shared" si="13"/>
        <v>0.21007155393546645</v>
      </c>
      <c r="N72" s="16">
        <f t="shared" si="13"/>
        <v>0.31510733090319965</v>
      </c>
    </row>
    <row r="73" spans="1:20" x14ac:dyDescent="0.25">
      <c r="D73" s="1" t="s">
        <v>67</v>
      </c>
      <c r="E73" s="16">
        <f>E55/E68</f>
        <v>14.805482722602372</v>
      </c>
      <c r="F73" s="16">
        <f t="shared" ref="F73:N73" si="14">F55/F68</f>
        <v>27.951432546181341</v>
      </c>
      <c r="G73" s="16">
        <f t="shared" si="14"/>
        <v>135.23276192352739</v>
      </c>
      <c r="H73" s="16">
        <f t="shared" si="14"/>
        <v>127.13147529364113</v>
      </c>
      <c r="I73" s="16">
        <f t="shared" si="14"/>
        <v>0.47867981576195989</v>
      </c>
      <c r="J73" s="16">
        <f t="shared" si="14"/>
        <v>1.3722154718509518</v>
      </c>
      <c r="K73" s="16">
        <f t="shared" si="14"/>
        <v>5.0314567301201558</v>
      </c>
      <c r="L73" s="16">
        <f t="shared" si="14"/>
        <v>7.9166277222170289E-2</v>
      </c>
      <c r="M73" s="16">
        <f t="shared" si="14"/>
        <v>3.430538679627379E-2</v>
      </c>
      <c r="N73" s="16">
        <f t="shared" si="14"/>
        <v>4.9007695423248274E-2</v>
      </c>
    </row>
    <row r="74" spans="1:20" x14ac:dyDescent="0.25">
      <c r="D74" s="1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  <row r="76" spans="1:20" x14ac:dyDescent="0.25">
      <c r="E76" s="1" t="s">
        <v>78</v>
      </c>
    </row>
    <row r="77" spans="1:20" x14ac:dyDescent="0.25">
      <c r="E77" s="2" t="s">
        <v>79</v>
      </c>
      <c r="F77" s="20" t="s">
        <v>90</v>
      </c>
      <c r="G77" s="2" t="s">
        <v>80</v>
      </c>
      <c r="H77" s="20" t="s">
        <v>90</v>
      </c>
      <c r="I77" s="2" t="s">
        <v>81</v>
      </c>
      <c r="J77" s="20" t="s">
        <v>90</v>
      </c>
      <c r="K77" s="2" t="s">
        <v>82</v>
      </c>
      <c r="L77" s="20" t="s">
        <v>90</v>
      </c>
      <c r="M77" s="2" t="s">
        <v>83</v>
      </c>
      <c r="N77" s="20" t="s">
        <v>90</v>
      </c>
    </row>
    <row r="78" spans="1:20" x14ac:dyDescent="0.25">
      <c r="A78" t="s">
        <v>5</v>
      </c>
      <c r="B78">
        <v>0.24690000000000001</v>
      </c>
      <c r="D78" t="s">
        <v>5</v>
      </c>
      <c r="E78" s="11">
        <f>'Newania, this study'!B71/$B78</f>
        <v>66.044405169557038</v>
      </c>
      <c r="F78" s="11">
        <f>'Newania, this study'!C71/$B78</f>
        <v>20.544798559577721</v>
      </c>
      <c r="G78" s="11">
        <f>'Newania, this study'!D71/$B78</f>
        <v>0.36452004860267317</v>
      </c>
      <c r="H78" s="11">
        <f>'Newania, this study'!E71/$B78</f>
        <v>0.73064556071581843</v>
      </c>
      <c r="I78" s="11">
        <f>'Newania, this study'!F71/$B78</f>
        <v>1.6909680032401782</v>
      </c>
      <c r="J78" s="11">
        <f>'Newania, this study'!G71/$B78</f>
        <v>1.336931437851921</v>
      </c>
      <c r="K78" s="11">
        <f>'Newania, this study'!H71/$B78</f>
        <v>0.97205346294046169</v>
      </c>
      <c r="L78" s="11">
        <f>'Newania, this study'!I71/$B78</f>
        <v>1.1455759922017781</v>
      </c>
      <c r="M78" s="11">
        <f>'Newania, this study'!J71/$B78</f>
        <v>1191.1300121506683</v>
      </c>
      <c r="N78" s="11">
        <f>'Newania, this study'!K71/$B78</f>
        <v>13.632354307201297</v>
      </c>
    </row>
    <row r="79" spans="1:20" x14ac:dyDescent="0.25">
      <c r="A79" t="s">
        <v>6</v>
      </c>
      <c r="B79">
        <v>0.6321</v>
      </c>
      <c r="D79" t="s">
        <v>6</v>
      </c>
      <c r="E79" s="11">
        <f>'Newania, this study'!B72/$B79</f>
        <v>61.0576577353986</v>
      </c>
      <c r="F79" s="11">
        <f>'Newania, this study'!C72/$B79</f>
        <v>21.987922251589282</v>
      </c>
      <c r="G79" s="11">
        <f>'Newania, this study'!D72/$B79</f>
        <v>0.24719190001582028</v>
      </c>
      <c r="H79" s="11">
        <f>'Newania, this study'!E72/$B79</f>
        <v>0.58513277355009918</v>
      </c>
      <c r="I79" s="11">
        <f>'Newania, this study'!F72/$B79</f>
        <v>1.5385223856984656</v>
      </c>
      <c r="J79" s="11">
        <f>'Newania, this study'!G72/$B79</f>
        <v>1.606537717696243</v>
      </c>
      <c r="K79" s="11">
        <f>'Newania, this study'!H72/$B79</f>
        <v>0.89384591045720607</v>
      </c>
      <c r="L79" s="11">
        <f>'Newania, this study'!I72/$B79</f>
        <v>0.95086341403032026</v>
      </c>
      <c r="M79" s="11">
        <f>'Newania, this study'!J72/$B79</f>
        <v>1090.2626166745767</v>
      </c>
      <c r="N79" s="11">
        <f>'Newania, this study'!K72/$B79</f>
        <v>3.4566681757102584</v>
      </c>
    </row>
    <row r="80" spans="1:20" x14ac:dyDescent="0.25">
      <c r="A80" t="s">
        <v>7</v>
      </c>
      <c r="B80">
        <v>9.5899999999999999E-2</v>
      </c>
      <c r="D80" t="s">
        <v>7</v>
      </c>
      <c r="E80" s="11">
        <f>'Newania, this study'!B73/$B80</f>
        <v>50.127974215565452</v>
      </c>
      <c r="F80" s="11">
        <f>'Newania, this study'!C73/$B80</f>
        <v>19.456220015628514</v>
      </c>
      <c r="G80" s="11">
        <f>'Newania, this study'!D73/$B80</f>
        <v>0.22158498435870699</v>
      </c>
      <c r="H80" s="11">
        <f>'Newania, this study'!E73/$B80</f>
        <v>0.38791648026217146</v>
      </c>
      <c r="I80" s="11">
        <f>'Newania, this study'!F73/$B80</f>
        <v>1.8508863399374347</v>
      </c>
      <c r="J80" s="11">
        <f>'Newania, this study'!G73/$B80</f>
        <v>2.1928822570190918</v>
      </c>
      <c r="K80" s="11">
        <f>'Newania, this study'!H73/$B80</f>
        <v>0.83420229405630864</v>
      </c>
      <c r="L80" s="11">
        <f>'Newania, this study'!I73/$B80</f>
        <v>0.8848051485128855</v>
      </c>
      <c r="M80" s="11">
        <f>'Newania, this study'!J73/$B80</f>
        <v>946.19395203336819</v>
      </c>
      <c r="N80" s="11">
        <f>'Newania, this study'!K73/$B80</f>
        <v>7.2259087128552588</v>
      </c>
    </row>
    <row r="81" spans="1:14" x14ac:dyDescent="0.25">
      <c r="A81" t="s">
        <v>8</v>
      </c>
      <c r="B81">
        <v>0.4854</v>
      </c>
      <c r="D81" t="s">
        <v>8</v>
      </c>
      <c r="E81" s="11">
        <f>'Newania, this study'!B74/$B81</f>
        <v>40.817320298160844</v>
      </c>
      <c r="F81" s="11">
        <f>'Newania, this study'!C74/$B81</f>
        <v>15.981183329715918</v>
      </c>
      <c r="G81" s="11">
        <f>'Newania, this study'!D74/$B81</f>
        <v>0.24206839719818704</v>
      </c>
      <c r="H81" s="11">
        <f>'Newania, this study'!E74/$B81</f>
        <v>0.40516828267937982</v>
      </c>
      <c r="I81" s="11">
        <f>'Newania, this study'!F74/$B81</f>
        <v>1.6687268232385661</v>
      </c>
      <c r="J81" s="11">
        <f>'Newania, this study'!G74/$B81</f>
        <v>1.909399523812692</v>
      </c>
      <c r="K81" s="11">
        <f>'Newania, this study'!H74/$B81</f>
        <v>1.0712814173877214</v>
      </c>
      <c r="L81" s="11">
        <f>'Newania, this study'!I74/$B81</f>
        <v>1.0488604912532222</v>
      </c>
      <c r="M81" s="11">
        <f>'Newania, this study'!J74/$B81</f>
        <v>820.02472187886269</v>
      </c>
      <c r="N81" s="11">
        <f>'Newania, this study'!K74/$B81</f>
        <v>1.0488604912531794</v>
      </c>
    </row>
    <row r="82" spans="1:14" s="5" customFormat="1" x14ac:dyDescent="0.25">
      <c r="A82" s="3" t="s">
        <v>10</v>
      </c>
      <c r="B82" s="3"/>
      <c r="D82" s="3" t="s">
        <v>10</v>
      </c>
      <c r="E82" s="15"/>
      <c r="G82" s="15"/>
      <c r="I82" s="15"/>
      <c r="K82" s="15"/>
      <c r="M82" s="15"/>
      <c r="N82" s="15"/>
    </row>
    <row r="83" spans="1:14" x14ac:dyDescent="0.25">
      <c r="A83" t="s">
        <v>9</v>
      </c>
      <c r="B83">
        <v>0.15559999999999999</v>
      </c>
      <c r="D83" t="s">
        <v>9</v>
      </c>
      <c r="E83" s="11">
        <f>'Newania, this study'!B76/$B83</f>
        <v>25.870530497779857</v>
      </c>
      <c r="F83" s="11">
        <f>'Newania, this study'!C76/$B83</f>
        <v>8.0877526920807554</v>
      </c>
      <c r="G83" s="11">
        <f>'Newania, this study'!D76/$B83</f>
        <v>0.36150385604113117</v>
      </c>
      <c r="H83" s="11">
        <f>'Newania, this study'!E76/$B83</f>
        <v>0.24275589418138546</v>
      </c>
      <c r="I83" s="11">
        <f>'Newania, this study'!F76/$B83</f>
        <v>1.9280205655526996</v>
      </c>
      <c r="J83" s="11">
        <f>'Newania, this study'!G76/$B83</f>
        <v>2.7038154200466109</v>
      </c>
      <c r="K83" s="11">
        <f>'Newania, this study'!H76/$B83</f>
        <v>1.1246786632390748</v>
      </c>
      <c r="L83" s="11">
        <f>'Newania, this study'!I76/$B83</f>
        <v>0.95432149131860533</v>
      </c>
      <c r="M83" s="11">
        <f>'Newania, this study'!J76/$B83</f>
        <v>676.44601542416456</v>
      </c>
      <c r="N83" s="11">
        <f>'Newania, this study'!K76/$B83</f>
        <v>4.6807196955150694</v>
      </c>
    </row>
    <row r="84" spans="1:14" x14ac:dyDescent="0.25">
      <c r="A84" t="s">
        <v>11</v>
      </c>
      <c r="B84">
        <v>5.9900000000000002E-2</v>
      </c>
      <c r="D84" t="s">
        <v>11</v>
      </c>
      <c r="E84" s="11">
        <f>'Newania, this study'!B77/$B84</f>
        <v>37.714372438913337</v>
      </c>
      <c r="F84" s="11">
        <f>'Newania, this study'!C77/$B84</f>
        <v>9.0721784860003147</v>
      </c>
      <c r="G84" s="11">
        <f>'Newania, this study'!D77/$B84</f>
        <v>0.39649415692821371</v>
      </c>
      <c r="H84" s="11">
        <f>'Newania, this study'!E77/$B84</f>
        <v>0.2813051779653099</v>
      </c>
      <c r="I84" s="11">
        <f>'Newania, this study'!F77/$B84</f>
        <v>0.70951585976627707</v>
      </c>
      <c r="J84" s="11">
        <f>'Newania, this study'!G77/$B84</f>
        <v>1.2067472700167747</v>
      </c>
      <c r="K84" s="11">
        <f>'Newania, this study'!H77/$B84</f>
        <v>0.8347245409015025</v>
      </c>
      <c r="L84" s="11">
        <f>'Newania, this study'!I77/$B84</f>
        <v>0.47219150663542386</v>
      </c>
      <c r="M84" s="11">
        <f>'Newania, this study'!J77/$B84</f>
        <v>540.73455759599335</v>
      </c>
      <c r="N84" s="11">
        <f>'Newania, this study'!K77/$B84</f>
        <v>8.263351366119954</v>
      </c>
    </row>
    <row r="85" spans="1:14" x14ac:dyDescent="0.25">
      <c r="A85" t="s">
        <v>12</v>
      </c>
      <c r="B85">
        <v>0.20930000000000001</v>
      </c>
      <c r="D85" t="s">
        <v>12</v>
      </c>
      <c r="E85" s="11">
        <f>'Newania, this study'!B78/$B85</f>
        <v>11.458107110281025</v>
      </c>
      <c r="F85" s="11">
        <f>'Newania, this study'!C78/$B85</f>
        <v>2.9063053211052887</v>
      </c>
      <c r="G85" s="11">
        <f>'Newania, this study'!D78/$B85</f>
        <v>0.45986622073578592</v>
      </c>
      <c r="H85" s="11">
        <f>'Newania, this study'!E78/$B85</f>
        <v>0.29334647562889055</v>
      </c>
      <c r="I85" s="11">
        <f>'Newania, this study'!F78/$B85</f>
        <v>1.5050167224080266</v>
      </c>
      <c r="J85" s="11">
        <f>'Newania, this study'!G78/$B85</f>
        <v>1.5479483821675029</v>
      </c>
      <c r="K85" s="11">
        <f>'Newania, this study'!H78/$B85</f>
        <v>0.86000955566172954</v>
      </c>
      <c r="L85" s="11">
        <f>'Newania, this study'!I78/$B85</f>
        <v>0.60811858869363866</v>
      </c>
      <c r="M85" s="11">
        <f>'Newania, this study'!J78/$B85</f>
        <v>503.12947921643575</v>
      </c>
      <c r="N85" s="11">
        <f>'Newania, this study'!K78/$B85</f>
        <v>1.0473153471945593</v>
      </c>
    </row>
    <row r="86" spans="1:14" x14ac:dyDescent="0.25">
      <c r="A86" t="s">
        <v>13</v>
      </c>
      <c r="B86">
        <v>3.78E-2</v>
      </c>
      <c r="D86" t="s">
        <v>13</v>
      </c>
      <c r="E86" s="11">
        <f>'Newania, this study'!B79/$B86</f>
        <v>6.4935064935064943</v>
      </c>
      <c r="F86" s="11">
        <f>'Newania, this study'!C79/$B86</f>
        <v>1.7878730293219169</v>
      </c>
      <c r="G86" s="11">
        <f>'Newania, this study'!D79/$B86</f>
        <v>0.69444444444444442</v>
      </c>
      <c r="H86" s="11">
        <f>'Newania, this study'!E79/$B86</f>
        <v>0.4457719619079914</v>
      </c>
      <c r="I86" s="11">
        <f>'Newania, this study'!F79/$B86</f>
        <v>1.4550264550264551</v>
      </c>
      <c r="J86" s="11">
        <f>'Newania, this study'!G79/$B86</f>
        <v>1.5042964822955891</v>
      </c>
      <c r="K86" s="11">
        <f>'Newania, this study'!H79/$B86</f>
        <v>0.66137566137566139</v>
      </c>
      <c r="L86" s="11">
        <f>'Newania, this study'!I79/$B86</f>
        <v>0.56119585808456152</v>
      </c>
      <c r="M86" s="11">
        <f>'Newania, this study'!J79/$B86</f>
        <v>285.84656084656086</v>
      </c>
      <c r="N86" s="11">
        <f>'Newania, this study'!K79/$B86</f>
        <v>4.3025015786483136</v>
      </c>
    </row>
    <row r="87" spans="1:14" x14ac:dyDescent="0.25">
      <c r="A87" t="s">
        <v>14</v>
      </c>
      <c r="B87">
        <v>0.25769999999999998</v>
      </c>
      <c r="D87" t="s">
        <v>14</v>
      </c>
      <c r="E87" s="11">
        <f>'Newania, this study'!B80/$B87</f>
        <v>4.6636328359262</v>
      </c>
      <c r="F87" s="11">
        <f>'Newania, this study'!C80/$B87</f>
        <v>0.89870104087607638</v>
      </c>
      <c r="G87" s="11">
        <f>'Newania, this study'!D80/$B87</f>
        <v>0.65483119906868459</v>
      </c>
      <c r="H87" s="11">
        <f>'Newania, this study'!E80/$B87</f>
        <v>0.48884272687920177</v>
      </c>
      <c r="I87" s="11">
        <f>'Newania, this study'!F80/$B87</f>
        <v>1.9790454016298022</v>
      </c>
      <c r="J87" s="11">
        <f>'Newania, this study'!G80/$B87</f>
        <v>1.9935755690276917</v>
      </c>
      <c r="K87" s="11">
        <f>'Newania, this study'!H80/$B87</f>
        <v>0.46565774155995343</v>
      </c>
      <c r="L87" s="11">
        <f>'Newania, this study'!I80/$B87</f>
        <v>0.16463487338452792</v>
      </c>
      <c r="M87" s="11">
        <f>'Newania, this study'!J80/$B87</f>
        <v>161.25339542103222</v>
      </c>
      <c r="N87" s="11">
        <f>'Newania, this study'!K80/$B87</f>
        <v>3.7591629422800672</v>
      </c>
    </row>
    <row r="88" spans="1:14" x14ac:dyDescent="0.25">
      <c r="A88" t="s">
        <v>15</v>
      </c>
      <c r="B88">
        <v>5.5399999999999998E-2</v>
      </c>
      <c r="D88" t="s">
        <v>15</v>
      </c>
      <c r="E88" s="11">
        <f>'Newania, this study'!B81/$B88</f>
        <v>2.9537249753856245</v>
      </c>
      <c r="F88" s="11">
        <f>'Newania, this study'!C81/$B88</f>
        <v>0.56664170268842939</v>
      </c>
      <c r="G88" s="11">
        <f>'Newania, this study'!D81/$B88</f>
        <v>1.0604693140794226</v>
      </c>
      <c r="H88" s="11">
        <f>'Newania, this study'!E81/$B88</f>
        <v>0.59035008888308826</v>
      </c>
      <c r="I88" s="11">
        <f>'Newania, this study'!F81/$B88</f>
        <v>2.256317689530686</v>
      </c>
      <c r="J88" s="11">
        <f>'Newania, this study'!G81/$B88</f>
        <v>1.777772166389189</v>
      </c>
      <c r="K88" s="11">
        <f>'Newania, this study'!H81/$B88</f>
        <v>0.45126353790613721</v>
      </c>
      <c r="L88" s="11">
        <f>'Newania, this study'!I81/$B88</f>
        <v>0.12763660310226452</v>
      </c>
      <c r="M88" s="11">
        <f>'Newania, this study'!J81/$B88</f>
        <v>79.87364620938628</v>
      </c>
      <c r="N88" s="11">
        <f>'Newania, this study'!K81/$B88</f>
        <v>0.89345622171585792</v>
      </c>
    </row>
    <row r="89" spans="1:14" x14ac:dyDescent="0.25">
      <c r="A89" t="s">
        <v>16</v>
      </c>
      <c r="B89">
        <v>0.16669999999999999</v>
      </c>
      <c r="D89" t="s">
        <v>16</v>
      </c>
      <c r="E89" s="11">
        <f>'Newania, this study'!B82/$B89</f>
        <v>1.5160604242787807</v>
      </c>
      <c r="F89" s="11">
        <f>'Newania, this study'!C82/$B89</f>
        <v>0.50907934496225238</v>
      </c>
      <c r="G89" s="11">
        <f>'Newania, this study'!D82/$B89</f>
        <v>0.96730653869226169</v>
      </c>
      <c r="H89" s="11">
        <f>'Newania, this study'!E82/$B89</f>
        <v>0.83272429004002535</v>
      </c>
      <c r="I89" s="11">
        <f>'Newania, this study'!F82/$B89</f>
        <v>2.8644271145770848</v>
      </c>
      <c r="J89" s="11">
        <f>'Newania, this study'!G82/$B89</f>
        <v>1.2140471065378096</v>
      </c>
      <c r="K89" s="11">
        <f>'Newania, this study'!H82/$B89</f>
        <v>0.11997600479904021</v>
      </c>
      <c r="L89" s="11">
        <f>'Newania, this study'!I82/$B89</f>
        <v>0</v>
      </c>
      <c r="M89" s="11">
        <f>'Newania, this study'!J82/$B89</f>
        <v>48.560287942411513</v>
      </c>
      <c r="N89" s="11">
        <f>'Newania, this study'!K82/$B89</f>
        <v>0.80594054244417335</v>
      </c>
    </row>
    <row r="90" spans="1:14" x14ac:dyDescent="0.25">
      <c r="A90" t="s">
        <v>60</v>
      </c>
      <c r="B90">
        <v>2.6100000000000002E-2</v>
      </c>
      <c r="D90" t="s">
        <v>60</v>
      </c>
      <c r="E90" s="11">
        <f>'Newania, this study'!B83/$B90</f>
        <v>1.253918495297806</v>
      </c>
      <c r="F90" s="11">
        <f>'Newania, this study'!C83/$B90</f>
        <v>0.54430163303706036</v>
      </c>
      <c r="G90" s="11">
        <f>'Newania, this study'!D83/$B90</f>
        <v>1.3888888888888891</v>
      </c>
      <c r="H90" s="11">
        <f>'Newania, this study'!E83/$B90</f>
        <v>0.89122383623063883</v>
      </c>
      <c r="I90" s="11">
        <f>'Newania, this study'!F83/$B90</f>
        <v>3.6398467432950188</v>
      </c>
      <c r="J90" s="11">
        <f>'Newania, this study'!G83/$B90</f>
        <v>2.3927195396162442</v>
      </c>
      <c r="K90" s="11">
        <f>'Newania, this study'!H83/$B90</f>
        <v>0.19157088122605362</v>
      </c>
      <c r="L90" s="11">
        <f>'Newania, this study'!I83/$B90</f>
        <v>0.27092213838565038</v>
      </c>
      <c r="M90" s="11">
        <f>'Newania, this study'!J83/$B90</f>
        <v>30.459770114942529</v>
      </c>
      <c r="N90" s="11">
        <f>'Newania, this study'!K83/$B90</f>
        <v>0.2709221383856506</v>
      </c>
    </row>
    <row r="91" spans="1:14" x14ac:dyDescent="0.25">
      <c r="A91" t="s">
        <v>17</v>
      </c>
      <c r="B91">
        <v>0.1694</v>
      </c>
      <c r="D91" t="s">
        <v>17</v>
      </c>
      <c r="E91" s="11">
        <f>'Newania, this study'!B84/$B91</f>
        <v>1.2504024900719115</v>
      </c>
      <c r="F91" s="11">
        <f>'Newania, this study'!C84/$B91</f>
        <v>0.5344378435395567</v>
      </c>
      <c r="G91" s="11">
        <f>'Newania, this study'!D84/$B91</f>
        <v>2.6342975206611574</v>
      </c>
      <c r="H91" s="11">
        <f>'Newania, this study'!E84/$B91</f>
        <v>2.5025095118710055</v>
      </c>
      <c r="I91" s="11">
        <f>'Newania, this study'!F84/$B91</f>
        <v>4.0879574970484063</v>
      </c>
      <c r="J91" s="11">
        <f>'Newania, this study'!G84/$B91</f>
        <v>2.3990364129861557</v>
      </c>
      <c r="K91" s="11">
        <f>'Newania, this study'!H84/$B91</f>
        <v>0.23612750885478159</v>
      </c>
      <c r="L91" s="11">
        <f>'Newania, this study'!I84/$B91</f>
        <v>0.1669673627359026</v>
      </c>
      <c r="M91" s="11">
        <f>'Newania, this study'!J84/$B91</f>
        <v>9.0909090909090917</v>
      </c>
      <c r="N91" s="11">
        <f>'Newania, this study'!K84/$B91</f>
        <v>0.50090208820770821</v>
      </c>
    </row>
    <row r="92" spans="1:14" x14ac:dyDescent="0.25">
      <c r="A92" t="s">
        <v>18</v>
      </c>
      <c r="B92">
        <v>2.5600000000000001E-2</v>
      </c>
      <c r="D92" t="s">
        <v>18</v>
      </c>
      <c r="E92" s="11">
        <f>'Newania, this study'!B85/$B92</f>
        <v>1.1008522727272727</v>
      </c>
      <c r="F92" s="11">
        <f>'Newania, this study'!C85/$B92</f>
        <v>0.45615172509464236</v>
      </c>
      <c r="G92" s="11">
        <f>'Newania, this study'!D85/$B92</f>
        <v>2.685546875</v>
      </c>
      <c r="H92" s="11">
        <f>'Newania, this study'!E85/$B92</f>
        <v>2.5353037081537435</v>
      </c>
      <c r="I92" s="11">
        <f>'Newania, this study'!F85/$B92</f>
        <v>4.98046875</v>
      </c>
      <c r="J92" s="11">
        <f>'Newania, this study'!G85/$B92</f>
        <v>1.923605039413302</v>
      </c>
      <c r="K92" s="11">
        <f>'Newania, this study'!H85/$B92</f>
        <v>0.1953125</v>
      </c>
      <c r="L92" s="11">
        <f>'Newania, this study'!I85/$B92</f>
        <v>0.27621358640099514</v>
      </c>
      <c r="M92" s="11">
        <f>'Newania, this study'!J85/$B92</f>
        <v>6.8359374999999991</v>
      </c>
      <c r="N92" s="11">
        <f>'Newania, this study'!K85/$B92</f>
        <v>1.933495104806966</v>
      </c>
    </row>
    <row r="94" spans="1:14" x14ac:dyDescent="0.25">
      <c r="D94" s="13" t="s">
        <v>65</v>
      </c>
      <c r="E94" s="14">
        <f>E84/SQRT(E83*E85)</f>
        <v>2.1905228080050283</v>
      </c>
      <c r="F94" s="19">
        <f>_xlfn.STDEV.P(F23,L23:N23,Q23:R23,E47:G47,E71:F71)</f>
        <v>0.13521397555881298</v>
      </c>
      <c r="G94" s="14">
        <f t="shared" ref="G94" si="15">G84/SQRT(G83*G85)</f>
        <v>0.97244392952333658</v>
      </c>
      <c r="H94" s="19">
        <f>_xlfn.STDEV.P(G23:K23,S23:T23,I47:J47,L71:N71)</f>
        <v>0.6247406322182163</v>
      </c>
      <c r="I94" s="14">
        <f>I84/SQRT(I83*I85)</f>
        <v>0.41651976424417148</v>
      </c>
      <c r="J94" s="19">
        <f>_xlfn.STDEV.P(O23:P23,H47,I71)</f>
        <v>0.30669572846152526</v>
      </c>
      <c r="K94" s="14">
        <f>K84/SQRT(K83*K85)</f>
        <v>0.84874516944413603</v>
      </c>
      <c r="L94" s="19">
        <f>_xlfn.STDEV.P(J71:K71)</f>
        <v>0.18585171258520095</v>
      </c>
      <c r="M94" s="14">
        <f>M84/SQRT(M83*M85)</f>
        <v>0.92688888039721362</v>
      </c>
      <c r="N94" s="19">
        <f>_xlfn.STDEV.P(G71:H71)</f>
        <v>7.0661246389251975E-3</v>
      </c>
    </row>
    <row r="95" spans="1:14" x14ac:dyDescent="0.25">
      <c r="D95" s="1" t="s">
        <v>66</v>
      </c>
      <c r="E95" s="16">
        <f>E78/E83</f>
        <v>2.5528817499596617</v>
      </c>
      <c r="F95" s="19">
        <f t="shared" ref="F95:F96" si="16">_xlfn.STDEV.P(F24,L24:N24,Q24:R24,E48:G48,E72:F72)</f>
        <v>0.39380282613644602</v>
      </c>
      <c r="G95" s="16">
        <f t="shared" ref="G95" si="17">G78/G83</f>
        <v>1.0083434588902389</v>
      </c>
      <c r="H95" s="19">
        <f>_xlfn.STDEV.P(G24:K24,S24:T24,I48:J48,L72:N72)</f>
        <v>1.0819528744044451</v>
      </c>
      <c r="I95" s="16">
        <f>I78/I83</f>
        <v>0.87704873768057223</v>
      </c>
      <c r="J95" s="19">
        <f>_xlfn.STDEV.P(O24:P24,H48,I72)</f>
        <v>1.2198143321896</v>
      </c>
      <c r="K95" s="16">
        <f>K78/K83</f>
        <v>0.86429439333449032</v>
      </c>
      <c r="L95" s="19">
        <f>_xlfn.STDEV.P(J72:K72)</f>
        <v>0.31510733090319948</v>
      </c>
      <c r="M95" s="16">
        <f>M78/M83</f>
        <v>1.7608648509870692</v>
      </c>
      <c r="N95" s="19">
        <f>_xlfn.STDEV.P(G72:H72)</f>
        <v>5.6346937943761999E-3</v>
      </c>
    </row>
    <row r="96" spans="1:14" x14ac:dyDescent="0.25">
      <c r="D96" s="1" t="s">
        <v>67</v>
      </c>
      <c r="E96" s="16">
        <f>E78/E91</f>
        <v>52.818516992683513</v>
      </c>
      <c r="F96" s="19">
        <f t="shared" si="16"/>
        <v>54.580074323896824</v>
      </c>
      <c r="G96" s="16">
        <f t="shared" ref="G96" si="18">G78/G91</f>
        <v>0.13837466943034807</v>
      </c>
      <c r="H96" s="19">
        <f>_xlfn.STDEV.P(G25:K25,S25:T25,I49:J49,L73:N73)</f>
        <v>0.22937621386111556</v>
      </c>
      <c r="I96" s="16">
        <f>I78/I91</f>
        <v>0.41364618014279592</v>
      </c>
      <c r="J96" s="19">
        <f>_xlfn.STDEV.P(O25:P25,H49,I73)</f>
        <v>9.028171627060301E-2</v>
      </c>
      <c r="K96" s="16">
        <f>K78/K91</f>
        <v>4.1166464155528555</v>
      </c>
      <c r="L96" s="19">
        <f>_xlfn.STDEV.P(J73:K73)</f>
        <v>1.8296206291346022</v>
      </c>
      <c r="M96" s="16">
        <f>M78/M91</f>
        <v>131.0243013365735</v>
      </c>
      <c r="N96" s="19">
        <f>_xlfn.STDEV.P(G73:H73)</f>
        <v>4.0506433149431302</v>
      </c>
    </row>
    <row r="97" spans="4:20" x14ac:dyDescent="0.25">
      <c r="D97" s="1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A9" workbookViewId="0">
      <selection activeCell="D32" sqref="D32"/>
    </sheetView>
  </sheetViews>
  <sheetFormatPr baseColWidth="10" defaultRowHeight="15" x14ac:dyDescent="0.25"/>
  <sheetData>
    <row r="1" spans="1:15" ht="21" x14ac:dyDescent="0.35">
      <c r="A1" s="6" t="s">
        <v>0</v>
      </c>
    </row>
    <row r="3" spans="1:15" x14ac:dyDescent="0.25">
      <c r="A3" s="1" t="s">
        <v>45</v>
      </c>
    </row>
    <row r="4" spans="1:15" x14ac:dyDescent="0.25">
      <c r="B4" s="2" t="s">
        <v>46</v>
      </c>
      <c r="C4" s="2" t="s">
        <v>47</v>
      </c>
      <c r="D4" s="2" t="s">
        <v>48</v>
      </c>
      <c r="E4" s="2" t="s">
        <v>49</v>
      </c>
      <c r="F4" s="2" t="s">
        <v>50</v>
      </c>
      <c r="G4" s="2" t="s">
        <v>51</v>
      </c>
      <c r="H4" s="2" t="s">
        <v>52</v>
      </c>
      <c r="I4" s="2" t="s">
        <v>53</v>
      </c>
      <c r="J4" s="2" t="s">
        <v>54</v>
      </c>
      <c r="K4" s="2" t="s">
        <v>55</v>
      </c>
      <c r="L4" s="2" t="s">
        <v>56</v>
      </c>
      <c r="M4" t="s">
        <v>57</v>
      </c>
      <c r="N4" t="s">
        <v>58</v>
      </c>
      <c r="O4" t="s">
        <v>59</v>
      </c>
    </row>
    <row r="5" spans="1:15" x14ac:dyDescent="0.25">
      <c r="A5" t="s">
        <v>5</v>
      </c>
      <c r="B5">
        <v>1056</v>
      </c>
      <c r="C5">
        <v>117.2</v>
      </c>
      <c r="D5">
        <v>142</v>
      </c>
      <c r="E5">
        <v>91.1</v>
      </c>
      <c r="F5">
        <v>1247</v>
      </c>
      <c r="G5">
        <v>1550</v>
      </c>
      <c r="H5">
        <v>20.6</v>
      </c>
      <c r="I5">
        <v>38.299999999999997</v>
      </c>
      <c r="J5">
        <v>18.100000000000001</v>
      </c>
      <c r="K5">
        <v>310</v>
      </c>
      <c r="L5">
        <v>48.6</v>
      </c>
      <c r="M5">
        <v>184</v>
      </c>
      <c r="N5">
        <v>66.900000000000006</v>
      </c>
      <c r="O5">
        <v>1014</v>
      </c>
    </row>
    <row r="6" spans="1:15" x14ac:dyDescent="0.25">
      <c r="A6" t="s">
        <v>6</v>
      </c>
      <c r="B6">
        <v>2234</v>
      </c>
      <c r="C6">
        <v>195.1</v>
      </c>
      <c r="D6">
        <v>303</v>
      </c>
      <c r="E6">
        <v>173</v>
      </c>
      <c r="F6">
        <v>2532</v>
      </c>
      <c r="G6">
        <v>3486</v>
      </c>
      <c r="H6">
        <v>51.2</v>
      </c>
      <c r="I6">
        <v>94.2</v>
      </c>
      <c r="J6">
        <v>41.2</v>
      </c>
      <c r="K6">
        <v>736</v>
      </c>
      <c r="L6">
        <v>116</v>
      </c>
      <c r="M6">
        <v>445</v>
      </c>
      <c r="N6">
        <v>146</v>
      </c>
      <c r="O6">
        <v>2263</v>
      </c>
    </row>
    <row r="7" spans="1:15" x14ac:dyDescent="0.25">
      <c r="A7" t="s">
        <v>7</v>
      </c>
      <c r="B7">
        <v>298</v>
      </c>
      <c r="C7">
        <v>19</v>
      </c>
      <c r="D7">
        <v>33.799999999999997</v>
      </c>
      <c r="E7">
        <v>18.100000000000001</v>
      </c>
      <c r="F7">
        <v>326</v>
      </c>
      <c r="G7">
        <v>492</v>
      </c>
      <c r="H7">
        <v>6</v>
      </c>
      <c r="I7">
        <v>12</v>
      </c>
      <c r="J7">
        <v>5.0999999999999996</v>
      </c>
      <c r="K7">
        <v>88.1</v>
      </c>
      <c r="L7">
        <v>13.6</v>
      </c>
      <c r="M7">
        <v>54.2</v>
      </c>
      <c r="N7">
        <v>16.2</v>
      </c>
      <c r="O7">
        <v>263</v>
      </c>
    </row>
    <row r="8" spans="1:15" x14ac:dyDescent="0.25">
      <c r="A8" t="s">
        <v>8</v>
      </c>
      <c r="B8">
        <v>1099</v>
      </c>
      <c r="C8">
        <v>67.599999999999994</v>
      </c>
      <c r="D8">
        <v>129</v>
      </c>
      <c r="E8">
        <v>66.5</v>
      </c>
      <c r="F8">
        <v>1123</v>
      </c>
      <c r="G8">
        <v>1321</v>
      </c>
      <c r="H8">
        <v>23.8</v>
      </c>
      <c r="I8">
        <v>51.7</v>
      </c>
      <c r="J8">
        <v>22.3</v>
      </c>
      <c r="K8">
        <v>357</v>
      </c>
      <c r="L8">
        <v>54.8</v>
      </c>
      <c r="M8">
        <v>225</v>
      </c>
      <c r="N8">
        <v>61.4</v>
      </c>
      <c r="O8">
        <v>1035</v>
      </c>
    </row>
    <row r="9" spans="1:15" s="3" customFormat="1" x14ac:dyDescent="0.25">
      <c r="A9" s="3" t="s">
        <v>10</v>
      </c>
    </row>
    <row r="10" spans="1:15" x14ac:dyDescent="0.25">
      <c r="A10" t="s">
        <v>9</v>
      </c>
      <c r="B10">
        <v>184.5</v>
      </c>
      <c r="C10">
        <v>8.8000000000000007</v>
      </c>
      <c r="D10">
        <v>18.8</v>
      </c>
      <c r="E10">
        <v>9.1999999999999993</v>
      </c>
      <c r="F10">
        <v>285</v>
      </c>
      <c r="G10">
        <v>302</v>
      </c>
      <c r="H10">
        <v>3.5</v>
      </c>
      <c r="I10">
        <v>10.7</v>
      </c>
      <c r="J10">
        <v>4.5999999999999996</v>
      </c>
      <c r="K10">
        <v>55.1</v>
      </c>
      <c r="L10">
        <v>8.9</v>
      </c>
      <c r="M10">
        <v>36.6</v>
      </c>
      <c r="N10">
        <v>9.5</v>
      </c>
      <c r="O10">
        <v>156</v>
      </c>
    </row>
    <row r="11" spans="1:15" x14ac:dyDescent="0.25">
      <c r="A11" t="s">
        <v>11</v>
      </c>
      <c r="B11">
        <v>48.5</v>
      </c>
      <c r="C11">
        <v>2.5</v>
      </c>
      <c r="D11">
        <v>5.4</v>
      </c>
      <c r="E11">
        <v>2.4</v>
      </c>
      <c r="F11">
        <v>87</v>
      </c>
      <c r="G11">
        <v>81.400000000000006</v>
      </c>
      <c r="H11">
        <v>1</v>
      </c>
      <c r="I11">
        <v>2.9</v>
      </c>
      <c r="J11">
        <v>1.6</v>
      </c>
      <c r="K11">
        <v>14.9</v>
      </c>
      <c r="L11">
        <v>2.6</v>
      </c>
      <c r="M11">
        <v>10.199999999999999</v>
      </c>
      <c r="N11">
        <v>2.5</v>
      </c>
      <c r="O11">
        <v>33.700000000000003</v>
      </c>
    </row>
    <row r="12" spans="1:15" x14ac:dyDescent="0.25">
      <c r="A12" t="s">
        <v>12</v>
      </c>
      <c r="B12">
        <v>140</v>
      </c>
      <c r="C12">
        <v>7.3</v>
      </c>
      <c r="D12">
        <v>14.3</v>
      </c>
      <c r="E12">
        <v>7.3</v>
      </c>
      <c r="F12">
        <v>243</v>
      </c>
      <c r="G12">
        <v>244</v>
      </c>
      <c r="H12">
        <v>2.6</v>
      </c>
      <c r="I12">
        <v>10.9</v>
      </c>
      <c r="J12">
        <v>4</v>
      </c>
      <c r="K12">
        <v>42</v>
      </c>
      <c r="L12">
        <v>7</v>
      </c>
      <c r="M12">
        <v>28.3</v>
      </c>
      <c r="N12">
        <v>7.7</v>
      </c>
      <c r="O12">
        <v>109</v>
      </c>
    </row>
    <row r="13" spans="1:15" x14ac:dyDescent="0.25">
      <c r="A13" t="s">
        <v>13</v>
      </c>
      <c r="B13">
        <v>18.28</v>
      </c>
      <c r="C13">
        <v>0.73</v>
      </c>
      <c r="D13">
        <v>1.64</v>
      </c>
      <c r="E13">
        <v>0.76</v>
      </c>
      <c r="F13">
        <v>24.8</v>
      </c>
      <c r="G13">
        <v>19.46</v>
      </c>
      <c r="H13">
        <v>0.24</v>
      </c>
      <c r="I13">
        <v>1.23</v>
      </c>
      <c r="J13">
        <v>0.45</v>
      </c>
      <c r="K13">
        <v>3.89</v>
      </c>
      <c r="L13">
        <v>0.66</v>
      </c>
      <c r="M13">
        <v>3.23</v>
      </c>
      <c r="N13">
        <v>0.8</v>
      </c>
      <c r="O13">
        <v>10.36</v>
      </c>
    </row>
    <row r="14" spans="1:15" x14ac:dyDescent="0.25">
      <c r="A14" t="s">
        <v>14</v>
      </c>
      <c r="B14">
        <v>46.6</v>
      </c>
      <c r="C14">
        <v>2.41</v>
      </c>
      <c r="D14">
        <v>4.67</v>
      </c>
      <c r="E14">
        <v>2.62</v>
      </c>
      <c r="F14">
        <v>106</v>
      </c>
      <c r="G14">
        <v>98.5</v>
      </c>
      <c r="H14">
        <v>1.21</v>
      </c>
      <c r="I14">
        <v>6.87</v>
      </c>
      <c r="J14">
        <v>2.4</v>
      </c>
      <c r="K14">
        <v>14</v>
      </c>
      <c r="L14">
        <v>2.95</v>
      </c>
      <c r="M14">
        <v>10.8</v>
      </c>
      <c r="N14">
        <v>3.43</v>
      </c>
      <c r="O14">
        <v>29.8</v>
      </c>
    </row>
    <row r="15" spans="1:15" x14ac:dyDescent="0.25">
      <c r="A15" t="s">
        <v>15</v>
      </c>
      <c r="B15">
        <v>8.1</v>
      </c>
      <c r="C15">
        <v>0.39</v>
      </c>
      <c r="D15">
        <v>0.78</v>
      </c>
      <c r="E15">
        <v>0.42</v>
      </c>
      <c r="F15">
        <v>12.35</v>
      </c>
      <c r="G15">
        <v>9.24</v>
      </c>
      <c r="H15">
        <v>0.17</v>
      </c>
      <c r="I15">
        <v>0.86</v>
      </c>
      <c r="J15">
        <v>0.33</v>
      </c>
      <c r="K15">
        <v>1.75</v>
      </c>
      <c r="L15">
        <v>0.39</v>
      </c>
      <c r="M15">
        <v>1.68</v>
      </c>
      <c r="N15">
        <v>0.51</v>
      </c>
      <c r="O15">
        <v>4.13</v>
      </c>
    </row>
    <row r="16" spans="1:15" x14ac:dyDescent="0.25">
      <c r="A16" t="s">
        <v>16</v>
      </c>
      <c r="B16">
        <v>14.84</v>
      </c>
      <c r="C16">
        <v>0.83</v>
      </c>
      <c r="D16">
        <v>1.54</v>
      </c>
      <c r="E16">
        <v>0.89</v>
      </c>
      <c r="F16">
        <v>21.06</v>
      </c>
      <c r="G16">
        <v>16.09</v>
      </c>
      <c r="H16">
        <v>0.37</v>
      </c>
      <c r="I16">
        <v>1.73</v>
      </c>
      <c r="J16">
        <v>0.7</v>
      </c>
      <c r="K16">
        <v>3.41</v>
      </c>
      <c r="L16">
        <v>0.81</v>
      </c>
      <c r="M16">
        <v>3.32</v>
      </c>
      <c r="N16">
        <v>1.1100000000000001</v>
      </c>
      <c r="O16">
        <v>8.17</v>
      </c>
    </row>
    <row r="17" spans="1:15" x14ac:dyDescent="0.25">
      <c r="A17" t="s">
        <v>60</v>
      </c>
      <c r="B17">
        <v>1.04</v>
      </c>
      <c r="C17">
        <v>0.08</v>
      </c>
      <c r="D17">
        <v>0.12</v>
      </c>
      <c r="E17">
        <v>0.08</v>
      </c>
      <c r="F17">
        <v>1.59</v>
      </c>
      <c r="G17">
        <v>1.19</v>
      </c>
      <c r="H17">
        <v>0.04</v>
      </c>
      <c r="I17">
        <v>0.17</v>
      </c>
      <c r="J17">
        <v>7.0000000000000007E-2</v>
      </c>
      <c r="K17">
        <v>0.25</v>
      </c>
      <c r="L17">
        <v>0.08</v>
      </c>
      <c r="M17">
        <v>0.27</v>
      </c>
      <c r="N17">
        <v>0.11</v>
      </c>
      <c r="O17">
        <v>0.52</v>
      </c>
    </row>
    <row r="18" spans="1:15" x14ac:dyDescent="0.25">
      <c r="A18" t="s">
        <v>17</v>
      </c>
      <c r="B18">
        <v>5.12</v>
      </c>
      <c r="C18">
        <v>0.43</v>
      </c>
      <c r="D18">
        <v>0.64</v>
      </c>
      <c r="E18">
        <v>0.48</v>
      </c>
      <c r="F18">
        <v>7.52</v>
      </c>
      <c r="G18">
        <v>5.69</v>
      </c>
      <c r="H18">
        <v>0.25</v>
      </c>
      <c r="I18">
        <v>0.95</v>
      </c>
      <c r="J18">
        <v>0.42</v>
      </c>
      <c r="K18">
        <v>1.29</v>
      </c>
      <c r="L18">
        <v>0.46</v>
      </c>
      <c r="M18">
        <v>1.1599999999999999</v>
      </c>
      <c r="N18">
        <v>0.67</v>
      </c>
      <c r="O18">
        <v>2.73</v>
      </c>
    </row>
    <row r="19" spans="1:15" x14ac:dyDescent="0.25">
      <c r="A19" t="s">
        <v>18</v>
      </c>
      <c r="B19">
        <v>0.47</v>
      </c>
      <c r="C19">
        <v>0.05</v>
      </c>
      <c r="D19">
        <v>0.06</v>
      </c>
      <c r="E19">
        <v>0.05</v>
      </c>
      <c r="F19">
        <v>0.7</v>
      </c>
      <c r="G19">
        <v>0.52</v>
      </c>
      <c r="H19">
        <v>0.03</v>
      </c>
      <c r="I19">
        <v>0.1</v>
      </c>
      <c r="J19">
        <v>0.05</v>
      </c>
      <c r="K19">
        <v>0.13</v>
      </c>
      <c r="L19">
        <v>0.05</v>
      </c>
      <c r="M19">
        <v>0.15</v>
      </c>
      <c r="N19">
        <v>0.08</v>
      </c>
      <c r="O19">
        <v>0.26</v>
      </c>
    </row>
    <row r="24" spans="1:15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5" s="7" customFormat="1" x14ac:dyDescent="0.25"/>
    <row r="26" spans="1:15" s="7" customFormat="1" x14ac:dyDescent="0.25"/>
    <row r="27" spans="1:15" s="7" customFormat="1" x14ac:dyDescent="0.25"/>
    <row r="28" spans="1:15" s="7" customFormat="1" x14ac:dyDescent="0.25"/>
    <row r="29" spans="1:15" s="7" customForma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5" s="7" customFormat="1" x14ac:dyDescent="0.25"/>
    <row r="31" spans="1:15" s="7" customFormat="1" x14ac:dyDescent="0.25"/>
    <row r="32" spans="1:15" s="7" customFormat="1" x14ac:dyDescent="0.25"/>
    <row r="33" spans="1:12" s="7" customFormat="1" x14ac:dyDescent="0.25"/>
    <row r="34" spans="1:12" s="7" customFormat="1" x14ac:dyDescent="0.25"/>
    <row r="35" spans="1:12" s="7" customFormat="1" x14ac:dyDescent="0.25"/>
    <row r="36" spans="1:12" s="7" customFormat="1" x14ac:dyDescent="0.25"/>
    <row r="37" spans="1:12" s="7" customFormat="1" x14ac:dyDescent="0.25"/>
    <row r="38" spans="1:12" s="7" customFormat="1" x14ac:dyDescent="0.25"/>
    <row r="39" spans="1:12" s="7" customFormat="1" x14ac:dyDescent="0.25"/>
    <row r="40" spans="1:12" s="7" customFormat="1" x14ac:dyDescent="0.25"/>
    <row r="41" spans="1:12" s="7" customFormat="1" x14ac:dyDescent="0.25"/>
    <row r="42" spans="1:12" s="7" customFormat="1" x14ac:dyDescent="0.25"/>
    <row r="43" spans="1:12" s="7" customForma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s="7" customFormat="1" x14ac:dyDescent="0.25"/>
    <row r="45" spans="1:12" s="7" customFormat="1" x14ac:dyDescent="0.25"/>
    <row r="46" spans="1:12" s="7" customFormat="1" x14ac:dyDescent="0.25"/>
    <row r="47" spans="1:12" s="7" customFormat="1" x14ac:dyDescent="0.25"/>
    <row r="48" spans="1:12" s="7" customForma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activeCell="C27" sqref="C27"/>
    </sheetView>
  </sheetViews>
  <sheetFormatPr baseColWidth="10" defaultRowHeight="15" x14ac:dyDescent="0.25"/>
  <cols>
    <col min="1" max="1" width="14.42578125" customWidth="1"/>
  </cols>
  <sheetData>
    <row r="1" spans="1:18" x14ac:dyDescent="0.25">
      <c r="A1" s="1" t="s">
        <v>0</v>
      </c>
    </row>
    <row r="3" spans="1:18" x14ac:dyDescent="0.25">
      <c r="A3" t="s">
        <v>91</v>
      </c>
      <c r="E3" s="4"/>
    </row>
    <row r="4" spans="1:18" x14ac:dyDescent="0.25">
      <c r="A4" t="s">
        <v>92</v>
      </c>
      <c r="D4" s="1" t="s">
        <v>45</v>
      </c>
    </row>
    <row r="5" spans="1:18" x14ac:dyDescent="0.25">
      <c r="E5" s="2" t="s">
        <v>46</v>
      </c>
      <c r="F5" s="2" t="s">
        <v>47</v>
      </c>
      <c r="G5" s="2" t="s">
        <v>48</v>
      </c>
      <c r="H5" s="2" t="s">
        <v>49</v>
      </c>
      <c r="I5" s="2" t="s">
        <v>50</v>
      </c>
      <c r="J5" s="2" t="s">
        <v>51</v>
      </c>
      <c r="K5" s="2" t="s">
        <v>52</v>
      </c>
      <c r="L5" s="2" t="s">
        <v>53</v>
      </c>
      <c r="M5" s="2" t="s">
        <v>54</v>
      </c>
      <c r="N5" s="2" t="s">
        <v>55</v>
      </c>
      <c r="O5" s="2" t="s">
        <v>56</v>
      </c>
      <c r="P5" t="s">
        <v>57</v>
      </c>
      <c r="Q5" t="s">
        <v>58</v>
      </c>
      <c r="R5" t="s">
        <v>59</v>
      </c>
    </row>
    <row r="6" spans="1:18" x14ac:dyDescent="0.25">
      <c r="A6" t="s">
        <v>5</v>
      </c>
      <c r="B6">
        <v>0.24690000000000001</v>
      </c>
      <c r="D6" t="s">
        <v>5</v>
      </c>
      <c r="E6" s="11">
        <f>'Newania Literature'!B5/$B$6</f>
        <v>4277.0352369380316</v>
      </c>
      <c r="F6" s="11">
        <f>'Newania Literature'!C5/$B$6</f>
        <v>474.68610773592548</v>
      </c>
      <c r="G6" s="11">
        <f>'Newania Literature'!D5/$B$6</f>
        <v>575.13163223977313</v>
      </c>
      <c r="H6" s="11">
        <f>'Newania Literature'!E5/$B$6</f>
        <v>368.97529364115024</v>
      </c>
      <c r="I6" s="11">
        <f>'Newania Literature'!F5/$B$6</f>
        <v>5050.6277845281493</v>
      </c>
      <c r="J6" s="11">
        <f>'Newania Literature'!G5/$B$6</f>
        <v>6277.8452814904822</v>
      </c>
      <c r="K6" s="11">
        <f>'Newania Literature'!H5/$B$6</f>
        <v>83.434588902389635</v>
      </c>
      <c r="L6" s="11">
        <f>'Newania Literature'!I5/$B$6</f>
        <v>155.12353179424866</v>
      </c>
      <c r="M6" s="11">
        <f>'Newania Literature'!J5/$B$6</f>
        <v>73.309031996759828</v>
      </c>
      <c r="N6" s="11">
        <f>'Newania Literature'!K5/$B$6</f>
        <v>1255.5690562980963</v>
      </c>
      <c r="O6" s="11">
        <f>'Newania Literature'!L5/$B$6</f>
        <v>196.84082624544351</v>
      </c>
      <c r="P6" s="11">
        <f>'Newania Literature'!M5/$B$6</f>
        <v>745.24098825435397</v>
      </c>
      <c r="Q6" s="11">
        <f>'Newania Literature'!N5/$B$6</f>
        <v>270.95990279465371</v>
      </c>
      <c r="R6" s="11">
        <f>'Newania Literature'!O5/$B$6</f>
        <v>4106.9258809234507</v>
      </c>
    </row>
    <row r="7" spans="1:18" x14ac:dyDescent="0.25">
      <c r="A7" t="s">
        <v>6</v>
      </c>
      <c r="B7">
        <v>0.6321</v>
      </c>
      <c r="D7" t="s">
        <v>6</v>
      </c>
      <c r="E7" s="11">
        <f>'Newania Literature'!B6/$B$7</f>
        <v>3534.250909666192</v>
      </c>
      <c r="F7" s="11">
        <f>'Newania Literature'!C6/$B$7</f>
        <v>308.6536940357538</v>
      </c>
      <c r="G7" s="11">
        <f>'Newania Literature'!D6/$B$7</f>
        <v>479.35453251067867</v>
      </c>
      <c r="H7" s="11">
        <f>'Newania Literature'!E6/$B$7</f>
        <v>273.69087169751623</v>
      </c>
      <c r="I7" s="11">
        <f>'Newania Literature'!F6/$B$7</f>
        <v>4005.6953013763646</v>
      </c>
      <c r="J7" s="11">
        <f>'Newania Literature'!G6/$B$7</f>
        <v>5514.950166112957</v>
      </c>
      <c r="K7" s="11">
        <f>'Newania Literature'!H6/$B$7</f>
        <v>80.99984179718399</v>
      </c>
      <c r="L7" s="11">
        <f>'Newania Literature'!I6/$B$7</f>
        <v>149.02705268153773</v>
      </c>
      <c r="M7" s="11">
        <f>'Newania Literature'!J6/$B$7</f>
        <v>65.179560196171494</v>
      </c>
      <c r="N7" s="11">
        <f>'Newania Literature'!K6/$B$7</f>
        <v>1164.3727258345198</v>
      </c>
      <c r="O7" s="11">
        <f>'Newania Literature'!L6/$B$7</f>
        <v>183.51526657174497</v>
      </c>
      <c r="P7" s="11">
        <f>'Newania Literature'!M6/$B$7</f>
        <v>704.00253124505616</v>
      </c>
      <c r="Q7" s="11">
        <f>'Newania Literature'!N6/$B$7</f>
        <v>230.97611137478248</v>
      </c>
      <c r="R7" s="11">
        <f>'Newania Literature'!O6/$B$7</f>
        <v>3580.1297263091283</v>
      </c>
    </row>
    <row r="8" spans="1:18" x14ac:dyDescent="0.25">
      <c r="A8" t="s">
        <v>7</v>
      </c>
      <c r="B8">
        <v>9.5899999999999999E-2</v>
      </c>
      <c r="D8" t="s">
        <v>7</v>
      </c>
      <c r="E8" s="11">
        <f>'Newania Literature'!B7/$B$8</f>
        <v>3107.4035453597498</v>
      </c>
      <c r="F8" s="11">
        <f>'Newania Literature'!C7/$B$8</f>
        <v>198.12304483837332</v>
      </c>
      <c r="G8" s="11">
        <f>'Newania Literature'!D7/$B$8</f>
        <v>352.45046923879039</v>
      </c>
      <c r="H8" s="11">
        <f>'Newania Literature'!E7/$B$8</f>
        <v>188.73826903023985</v>
      </c>
      <c r="I8" s="11">
        <f>'Newania Literature'!F7/$B$8</f>
        <v>3399.374348279458</v>
      </c>
      <c r="J8" s="11">
        <f>'Newania Literature'!G7/$B$8</f>
        <v>5130.3441084462984</v>
      </c>
      <c r="K8" s="11">
        <f>'Newania Literature'!H7/$B$8</f>
        <v>62.565172054223147</v>
      </c>
      <c r="L8" s="11">
        <f>'Newania Literature'!I7/$B$8</f>
        <v>125.13034410844629</v>
      </c>
      <c r="M8" s="11">
        <f>'Newania Literature'!J7/$B$8</f>
        <v>53.180396246089671</v>
      </c>
      <c r="N8" s="11">
        <f>'Newania Literature'!K7/$B$8</f>
        <v>918.66527632950988</v>
      </c>
      <c r="O8" s="11">
        <f>'Newania Literature'!L7/$B$8</f>
        <v>141.81438998957248</v>
      </c>
      <c r="P8" s="11">
        <f>'Newania Literature'!M7/$B$8</f>
        <v>565.17205422314919</v>
      </c>
      <c r="Q8" s="11">
        <f>'Newania Literature'!N7/$B$8</f>
        <v>168.9259645464025</v>
      </c>
      <c r="R8" s="11">
        <f>'Newania Literature'!O7/$B$8</f>
        <v>2742.4400417101147</v>
      </c>
    </row>
    <row r="9" spans="1:18" x14ac:dyDescent="0.25">
      <c r="A9" t="s">
        <v>8</v>
      </c>
      <c r="B9">
        <v>0.4854</v>
      </c>
      <c r="D9" t="s">
        <v>8</v>
      </c>
      <c r="E9" s="11">
        <f>'Newania Literature'!B8/$B$9</f>
        <v>2264.1120725175115</v>
      </c>
      <c r="F9" s="11">
        <f>'Newania Literature'!C8/$B$9</f>
        <v>139.26658426040379</v>
      </c>
      <c r="G9" s="11">
        <f>'Newania Literature'!D8/$B$9</f>
        <v>265.76019777503092</v>
      </c>
      <c r="H9" s="11">
        <f>'Newania Literature'!E8/$B$9</f>
        <v>137.00041203131437</v>
      </c>
      <c r="I9" s="11">
        <f>'Newania Literature'!F8/$B$9</f>
        <v>2313.5558302430986</v>
      </c>
      <c r="J9" s="11">
        <f>'Newania Literature'!G8/$B$9</f>
        <v>2721.4668314791925</v>
      </c>
      <c r="K9" s="11">
        <f>'Newania Literature'!H8/$B$9</f>
        <v>49.031726411207252</v>
      </c>
      <c r="L9" s="11">
        <f>'Newania Literature'!I8/$B$9</f>
        <v>106.51009476720232</v>
      </c>
      <c r="M9" s="11">
        <f>'Newania Literature'!J8/$B$9</f>
        <v>45.941491553358055</v>
      </c>
      <c r="N9" s="11">
        <f>'Newania Literature'!K8/$B$9</f>
        <v>735.47589616810876</v>
      </c>
      <c r="O9" s="11">
        <f>'Newania Literature'!L8/$B$9</f>
        <v>112.89658014009065</v>
      </c>
      <c r="P9" s="11">
        <f>'Newania Literature'!M8/$B$9</f>
        <v>463.53522867737951</v>
      </c>
      <c r="Q9" s="11">
        <f>'Newania Literature'!N8/$B$9</f>
        <v>126.49361351462711</v>
      </c>
      <c r="R9" s="11">
        <f>'Newania Literature'!O8/$B$9</f>
        <v>2132.2620519159454</v>
      </c>
    </row>
    <row r="10" spans="1:18" s="3" customFormat="1" x14ac:dyDescent="0.25">
      <c r="A10" s="3" t="s">
        <v>10</v>
      </c>
      <c r="D10" s="3" t="s">
        <v>10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x14ac:dyDescent="0.25">
      <c r="A11" t="s">
        <v>9</v>
      </c>
      <c r="B11">
        <v>0.15559999999999999</v>
      </c>
      <c r="D11" t="s">
        <v>9</v>
      </c>
      <c r="E11" s="11">
        <f>'Newania Literature'!B10/$B$11</f>
        <v>1185.73264781491</v>
      </c>
      <c r="F11" s="11">
        <f>'Newania Literature'!C10/$B$11</f>
        <v>56.555269922879184</v>
      </c>
      <c r="G11" s="11">
        <f>'Newania Literature'!D10/$B$11</f>
        <v>120.82262210796917</v>
      </c>
      <c r="H11" s="11">
        <f>'Newania Literature'!E10/$B$11</f>
        <v>59.125964010282779</v>
      </c>
      <c r="I11" s="11">
        <f>'Newania Literature'!F10/$B$11</f>
        <v>1831.6195372750644</v>
      </c>
      <c r="J11" s="11">
        <f>'Newania Literature'!G10/$B$11</f>
        <v>1940.8740359897174</v>
      </c>
      <c r="K11" s="11">
        <f>'Newania Literature'!H10/$B$11</f>
        <v>22.493573264781492</v>
      </c>
      <c r="L11" s="11">
        <f>'Newania Literature'!I10/$B$11</f>
        <v>68.766066838046271</v>
      </c>
      <c r="M11" s="11">
        <f>'Newania Literature'!J10/$B$11</f>
        <v>29.562982005141389</v>
      </c>
      <c r="N11" s="11">
        <f>'Newania Literature'!K10/$B$11</f>
        <v>354.11311053984582</v>
      </c>
      <c r="O11" s="11">
        <f>'Newania Literature'!L10/$B$11</f>
        <v>57.197943444730086</v>
      </c>
      <c r="P11" s="11">
        <f>'Newania Literature'!M10/$B$11</f>
        <v>235.21850899742932</v>
      </c>
      <c r="Q11" s="11">
        <f>'Newania Literature'!N10/$B$11</f>
        <v>61.053984575835479</v>
      </c>
      <c r="R11" s="11">
        <f>'Newania Literature'!O10/$B$11</f>
        <v>1002.5706940874037</v>
      </c>
    </row>
    <row r="12" spans="1:18" x14ac:dyDescent="0.25">
      <c r="A12" t="s">
        <v>11</v>
      </c>
      <c r="B12">
        <v>5.9900000000000002E-2</v>
      </c>
      <c r="D12" t="s">
        <v>11</v>
      </c>
      <c r="E12" s="11">
        <f>'Newania Literature'!B11/$B$12</f>
        <v>809.68280467445743</v>
      </c>
      <c r="F12" s="11">
        <f>'Newania Literature'!C11/$B$12</f>
        <v>41.736227045075125</v>
      </c>
      <c r="G12" s="11">
        <f>'Newania Literature'!D11/$B$12</f>
        <v>90.150250417362273</v>
      </c>
      <c r="H12" s="11">
        <f>'Newania Literature'!E11/$B$12</f>
        <v>40.066777963272116</v>
      </c>
      <c r="I12" s="11">
        <f>'Newania Literature'!F11/$B$12</f>
        <v>1452.4207011686144</v>
      </c>
      <c r="J12" s="11">
        <f>'Newania Literature'!G11/$B$12</f>
        <v>1358.9315525876461</v>
      </c>
      <c r="K12" s="11">
        <f>'Newania Literature'!H11/$B$12</f>
        <v>16.694490818030051</v>
      </c>
      <c r="L12" s="11">
        <f>'Newania Literature'!I11/$B$12</f>
        <v>48.41402337228714</v>
      </c>
      <c r="M12" s="11">
        <f>'Newania Literature'!J11/$B$12</f>
        <v>26.71118530884808</v>
      </c>
      <c r="N12" s="11">
        <f>'Newania Literature'!K11/$B$12</f>
        <v>248.74791318864774</v>
      </c>
      <c r="O12" s="11">
        <f>'Newania Literature'!L11/$B$12</f>
        <v>43.405676126878127</v>
      </c>
      <c r="P12" s="11">
        <f>'Newania Literature'!M11/$B$12</f>
        <v>170.28380634390649</v>
      </c>
      <c r="Q12" s="11">
        <f>'Newania Literature'!N11/$B$12</f>
        <v>41.736227045075125</v>
      </c>
      <c r="R12" s="11">
        <f>'Newania Literature'!O11/$B$12</f>
        <v>562.60434056761267</v>
      </c>
    </row>
    <row r="13" spans="1:18" x14ac:dyDescent="0.25">
      <c r="A13" t="s">
        <v>12</v>
      </c>
      <c r="B13">
        <v>0.20930000000000001</v>
      </c>
      <c r="D13" t="s">
        <v>12</v>
      </c>
      <c r="E13" s="11">
        <f>'Newania Literature'!B12/$B$13</f>
        <v>668.89632107023408</v>
      </c>
      <c r="F13" s="11">
        <f>'Newania Literature'!C12/$B$13</f>
        <v>34.878165312947921</v>
      </c>
      <c r="G13" s="11">
        <f>'Newania Literature'!D12/$B$13</f>
        <v>68.322981366459629</v>
      </c>
      <c r="H13" s="11">
        <f>'Newania Literature'!E12/$B$13</f>
        <v>34.878165312947921</v>
      </c>
      <c r="I13" s="11">
        <f>'Newania Literature'!F12/$B$13</f>
        <v>1161.0129001433349</v>
      </c>
      <c r="J13" s="11">
        <f>'Newania Literature'!G12/$B$13</f>
        <v>1165.7907310081223</v>
      </c>
      <c r="K13" s="11">
        <f>'Newania Literature'!H12/$B$13</f>
        <v>12.422360248447205</v>
      </c>
      <c r="L13" s="11">
        <f>'Newania Literature'!I12/$B$13</f>
        <v>52.078356426182509</v>
      </c>
      <c r="M13" s="11">
        <f>'Newania Literature'!J12/$B$13</f>
        <v>19.111323459149546</v>
      </c>
      <c r="N13" s="11">
        <f>'Newania Literature'!K12/$B$13</f>
        <v>200.66889632107021</v>
      </c>
      <c r="O13" s="11">
        <f>'Newania Literature'!L12/$B$13</f>
        <v>33.444816053511701</v>
      </c>
      <c r="P13" s="11">
        <f>'Newania Literature'!M12/$B$13</f>
        <v>135.21261347348303</v>
      </c>
      <c r="Q13" s="11">
        <f>'Newania Literature'!N12/$B$13</f>
        <v>36.789297658862871</v>
      </c>
      <c r="R13" s="11">
        <f>'Newania Literature'!O12/$B$13</f>
        <v>520.78356426182506</v>
      </c>
    </row>
    <row r="14" spans="1:18" x14ac:dyDescent="0.25">
      <c r="A14" t="s">
        <v>13</v>
      </c>
      <c r="B14">
        <v>3.78E-2</v>
      </c>
      <c r="D14" t="s">
        <v>13</v>
      </c>
      <c r="E14" s="11">
        <f>'Newania Literature'!B13/$B$14</f>
        <v>483.59788359788365</v>
      </c>
      <c r="F14" s="11">
        <f>'Newania Literature'!C13/$B$14</f>
        <v>19.31216931216931</v>
      </c>
      <c r="G14" s="11">
        <f>'Newania Literature'!D13/$B$14</f>
        <v>43.386243386243386</v>
      </c>
      <c r="H14" s="11">
        <f>'Newania Literature'!E13/$B$14</f>
        <v>20.105820105820104</v>
      </c>
      <c r="I14" s="11">
        <f>'Newania Literature'!F13/$B$14</f>
        <v>656.0846560846561</v>
      </c>
      <c r="J14" s="11">
        <f>'Newania Literature'!G13/$B$14</f>
        <v>514.81481481481478</v>
      </c>
      <c r="K14" s="11">
        <f>'Newania Literature'!H13/$B$14</f>
        <v>6.3492063492063489</v>
      </c>
      <c r="L14" s="11">
        <f>'Newania Literature'!I13/$B$14</f>
        <v>32.539682539682538</v>
      </c>
      <c r="M14" s="11">
        <f>'Newania Literature'!J13/$B$14</f>
        <v>11.904761904761905</v>
      </c>
      <c r="N14" s="11">
        <f>'Newania Literature'!K13/$B$14</f>
        <v>102.91005291005291</v>
      </c>
      <c r="O14" s="11">
        <f>'Newania Literature'!L13/$B$14</f>
        <v>17.460317460317462</v>
      </c>
      <c r="P14" s="11">
        <f>'Newania Literature'!M13/$B$14</f>
        <v>85.449735449735442</v>
      </c>
      <c r="Q14" s="11">
        <f>'Newania Literature'!N13/$B$14</f>
        <v>21.164021164021165</v>
      </c>
      <c r="R14" s="11">
        <f>'Newania Literature'!O13/$B$14</f>
        <v>274.07407407407408</v>
      </c>
    </row>
    <row r="15" spans="1:18" x14ac:dyDescent="0.25">
      <c r="A15" t="s">
        <v>14</v>
      </c>
      <c r="B15">
        <v>0.25769999999999998</v>
      </c>
      <c r="D15" t="s">
        <v>14</v>
      </c>
      <c r="E15" s="11">
        <f>'Newania Literature'!B14/$B$15</f>
        <v>180.83042297244859</v>
      </c>
      <c r="F15" s="11">
        <f>'Newania Literature'!C14/$B$15</f>
        <v>9.3519596429957321</v>
      </c>
      <c r="G15" s="11">
        <f>'Newania Literature'!D14/$B$15</f>
        <v>18.121847109041521</v>
      </c>
      <c r="H15" s="11">
        <f>'Newania Literature'!E14/$B$15</f>
        <v>10.166860690725651</v>
      </c>
      <c r="I15" s="11">
        <f>'Newania Literature'!F14/$B$15</f>
        <v>411.33100504462556</v>
      </c>
      <c r="J15" s="11">
        <f>'Newania Literature'!G14/$B$15</f>
        <v>382.22739619712848</v>
      </c>
      <c r="K15" s="11">
        <f>'Newania Literature'!H14/$B$15</f>
        <v>4.6953822273961974</v>
      </c>
      <c r="L15" s="11">
        <f>'Newania Literature'!I14/$B$15</f>
        <v>26.658905704307337</v>
      </c>
      <c r="M15" s="11">
        <f>'Newania Literature'!J14/$B$15</f>
        <v>9.3131548311990695</v>
      </c>
      <c r="N15" s="11">
        <f>'Newania Literature'!K14/$B$15</f>
        <v>54.326736515327902</v>
      </c>
      <c r="O15" s="11">
        <f>'Newania Literature'!L14/$B$15</f>
        <v>11.447419480015522</v>
      </c>
      <c r="P15" s="11">
        <f>'Newania Literature'!M14/$B$15</f>
        <v>41.909196740395814</v>
      </c>
      <c r="Q15" s="11">
        <f>'Newania Literature'!N14/$B$15</f>
        <v>13.310050446255337</v>
      </c>
      <c r="R15" s="11">
        <f>'Newania Literature'!O14/$B$15</f>
        <v>115.63833915405512</v>
      </c>
    </row>
    <row r="16" spans="1:18" x14ac:dyDescent="0.25">
      <c r="A16" t="s">
        <v>15</v>
      </c>
      <c r="B16">
        <v>5.5399999999999998E-2</v>
      </c>
      <c r="D16" t="s">
        <v>15</v>
      </c>
      <c r="E16" s="11">
        <f>'Newania Literature'!B15/$B$16</f>
        <v>146.20938628158845</v>
      </c>
      <c r="F16" s="11">
        <f>'Newania Literature'!C15/$B$16</f>
        <v>7.0397111913357406</v>
      </c>
      <c r="G16" s="11">
        <f>'Newania Literature'!D15/$B$16</f>
        <v>14.079422382671481</v>
      </c>
      <c r="H16" s="11">
        <f>'Newania Literature'!E15/$B$16</f>
        <v>7.581227436823105</v>
      </c>
      <c r="I16" s="11">
        <f>'Newania Literature'!F15/$B$16</f>
        <v>222.92418772563178</v>
      </c>
      <c r="J16" s="11">
        <f>'Newania Literature'!G15/$B$16</f>
        <v>166.78700361010831</v>
      </c>
      <c r="K16" s="11">
        <f>'Newania Literature'!H15/$B$16</f>
        <v>3.0685920577617334</v>
      </c>
      <c r="L16" s="11">
        <f>'Newania Literature'!I15/$B$16</f>
        <v>15.523465703971119</v>
      </c>
      <c r="M16" s="11">
        <f>'Newania Literature'!J15/$B$16</f>
        <v>5.9566787003610111</v>
      </c>
      <c r="N16" s="11">
        <f>'Newania Literature'!K15/$B$16</f>
        <v>31.588447653429604</v>
      </c>
      <c r="O16" s="11">
        <f>'Newania Literature'!L15/$B$16</f>
        <v>7.0397111913357406</v>
      </c>
      <c r="P16" s="11">
        <f>'Newania Literature'!M15/$B$16</f>
        <v>30.32490974729242</v>
      </c>
      <c r="Q16" s="11">
        <f>'Newania Literature'!N15/$B$16</f>
        <v>9.2057761732851997</v>
      </c>
      <c r="R16" s="11">
        <f>'Newania Literature'!O15/$B$16</f>
        <v>74.548736462093871</v>
      </c>
    </row>
    <row r="17" spans="1:18" x14ac:dyDescent="0.25">
      <c r="A17" t="s">
        <v>16</v>
      </c>
      <c r="B17">
        <v>0.16669999999999999</v>
      </c>
      <c r="D17" t="s">
        <v>16</v>
      </c>
      <c r="E17" s="11">
        <f>'Newania Literature'!B16/$B$17</f>
        <v>89.022195560887823</v>
      </c>
      <c r="F17" s="11">
        <f>'Newania Literature'!C16/$B$17</f>
        <v>4.9790041991601681</v>
      </c>
      <c r="G17" s="11">
        <f>'Newania Literature'!D16/$B$17</f>
        <v>9.2381523695260963</v>
      </c>
      <c r="H17" s="11">
        <f>'Newania Literature'!E16/$B$17</f>
        <v>5.338932213557289</v>
      </c>
      <c r="I17" s="11">
        <f>'Newania Literature'!F16/$B$17</f>
        <v>126.33473305338933</v>
      </c>
      <c r="J17" s="11">
        <f>'Newania Literature'!G16/$B$17</f>
        <v>96.520695860827843</v>
      </c>
      <c r="K17" s="11">
        <f>'Newania Literature'!H16/$B$17</f>
        <v>2.2195560887822436</v>
      </c>
      <c r="L17" s="11">
        <f>'Newania Literature'!I16/$B$17</f>
        <v>10.377924415116977</v>
      </c>
      <c r="M17" s="11">
        <f>'Newania Literature'!J16/$B$17</f>
        <v>4.199160167966407</v>
      </c>
      <c r="N17" s="11">
        <f>'Newania Literature'!K16/$B$17</f>
        <v>20.455908818236356</v>
      </c>
      <c r="O17" s="11">
        <f>'Newania Literature'!L16/$B$17</f>
        <v>4.8590281943611284</v>
      </c>
      <c r="P17" s="11">
        <f>'Newania Literature'!M16/$B$17</f>
        <v>19.916016796640672</v>
      </c>
      <c r="Q17" s="11">
        <f>'Newania Literature'!N16/$B$17</f>
        <v>6.6586682663467318</v>
      </c>
      <c r="R17" s="11">
        <f>'Newania Literature'!O16/$B$17</f>
        <v>49.010197960407922</v>
      </c>
    </row>
    <row r="18" spans="1:18" x14ac:dyDescent="0.25">
      <c r="A18" t="s">
        <v>60</v>
      </c>
      <c r="B18">
        <v>2.6100000000000002E-2</v>
      </c>
      <c r="D18" t="s">
        <v>60</v>
      </c>
      <c r="E18" s="11">
        <f>'Newania Literature'!B17/$B$18</f>
        <v>39.846743295019159</v>
      </c>
      <c r="F18" s="11">
        <f>'Newania Literature'!C17/$B$18</f>
        <v>3.0651340996168579</v>
      </c>
      <c r="G18" s="11">
        <f>'Newania Literature'!D17/$B$18</f>
        <v>4.5977011494252871</v>
      </c>
      <c r="H18" s="11">
        <f>'Newania Literature'!E17/$B$18</f>
        <v>3.0651340996168579</v>
      </c>
      <c r="I18" s="11">
        <f>'Newania Literature'!F17/$B$18</f>
        <v>60.919540229885058</v>
      </c>
      <c r="J18" s="11">
        <f>'Newania Literature'!G17/$B$18</f>
        <v>45.593869731800758</v>
      </c>
      <c r="K18" s="11">
        <f>'Newania Literature'!H17/$B$18</f>
        <v>1.5325670498084289</v>
      </c>
      <c r="L18" s="11">
        <f>'Newania Literature'!I17/$B$18</f>
        <v>6.5134099616858236</v>
      </c>
      <c r="M18" s="11">
        <f>'Newania Literature'!J17/$B$18</f>
        <v>2.6819923371647509</v>
      </c>
      <c r="N18" s="11">
        <f>'Newania Literature'!K17/$B$18</f>
        <v>9.5785440613026811</v>
      </c>
      <c r="O18" s="11">
        <f>'Newania Literature'!L17/$B$18</f>
        <v>3.0651340996168579</v>
      </c>
      <c r="P18" s="11">
        <f>'Newania Literature'!M17/$B$18</f>
        <v>10.344827586206897</v>
      </c>
      <c r="Q18" s="11">
        <f>'Newania Literature'!N17/$B$18</f>
        <v>4.2145593869731801</v>
      </c>
      <c r="R18" s="11">
        <f>'Newania Literature'!O17/$B$18</f>
        <v>19.92337164750958</v>
      </c>
    </row>
    <row r="19" spans="1:18" x14ac:dyDescent="0.25">
      <c r="A19" t="s">
        <v>17</v>
      </c>
      <c r="B19">
        <v>0.1694</v>
      </c>
      <c r="D19" t="s">
        <v>17</v>
      </c>
      <c r="E19" s="11">
        <f>'Newania Literature'!B18/$B$19</f>
        <v>30.224321133412044</v>
      </c>
      <c r="F19" s="11">
        <f>'Newania Literature'!C18/$B$19</f>
        <v>2.5383707201889019</v>
      </c>
      <c r="G19" s="11">
        <f>'Newania Literature'!D18/$B$19</f>
        <v>3.7780401416765055</v>
      </c>
      <c r="H19" s="11">
        <f>'Newania Literature'!E18/$B$19</f>
        <v>2.833530106257379</v>
      </c>
      <c r="I19" s="11">
        <f>'Newania Literature'!F18/$B$19</f>
        <v>44.391971664698936</v>
      </c>
      <c r="J19" s="11">
        <f>'Newania Literature'!G18/$B$19</f>
        <v>33.58913813459268</v>
      </c>
      <c r="K19" s="11">
        <f>'Newania Literature'!H18/$B$19</f>
        <v>1.475796930342385</v>
      </c>
      <c r="L19" s="11">
        <f>'Newania Literature'!I18/$B$19</f>
        <v>5.6080283353010625</v>
      </c>
      <c r="M19" s="11">
        <f>'Newania Literature'!J18/$B$19</f>
        <v>2.4793388429752068</v>
      </c>
      <c r="N19" s="11">
        <f>'Newania Literature'!K18/$B$19</f>
        <v>7.6151121605667065</v>
      </c>
      <c r="O19" s="11">
        <f>'Newania Literature'!L18/$B$19</f>
        <v>2.7154663518299884</v>
      </c>
      <c r="P19" s="11">
        <f>'Newania Literature'!M18/$B$19</f>
        <v>6.8476977567886657</v>
      </c>
      <c r="Q19" s="11">
        <f>'Newania Literature'!N18/$B$19</f>
        <v>3.955135773317592</v>
      </c>
      <c r="R19" s="11">
        <f>'Newania Literature'!O18/$B$19</f>
        <v>16.115702479338843</v>
      </c>
    </row>
    <row r="20" spans="1:18" x14ac:dyDescent="0.25">
      <c r="A20" t="s">
        <v>18</v>
      </c>
      <c r="B20">
        <v>2.5600000000000001E-2</v>
      </c>
      <c r="D20" t="s">
        <v>18</v>
      </c>
      <c r="E20" s="11">
        <f>'Newania Literature'!B19/$B$20</f>
        <v>18.359374999999996</v>
      </c>
      <c r="F20" s="11">
        <f>'Newania Literature'!C19/$B$20</f>
        <v>1.953125</v>
      </c>
      <c r="G20" s="11">
        <f>'Newania Literature'!D19/$B$20</f>
        <v>2.34375</v>
      </c>
      <c r="H20" s="11">
        <f>'Newania Literature'!E19/$B$20</f>
        <v>1.953125</v>
      </c>
      <c r="I20" s="11">
        <f>'Newania Literature'!F19/$B$20</f>
        <v>27.343749999999996</v>
      </c>
      <c r="J20" s="11">
        <f>'Newania Literature'!G19/$B$20</f>
        <v>20.3125</v>
      </c>
      <c r="K20" s="11">
        <f>'Newania Literature'!H19/$B$20</f>
        <v>1.171875</v>
      </c>
      <c r="L20" s="11">
        <f>'Newania Literature'!I19/$B$20</f>
        <v>3.90625</v>
      </c>
      <c r="M20" s="11">
        <f>'Newania Literature'!J19/$B$20</f>
        <v>1.953125</v>
      </c>
      <c r="N20" s="11">
        <f>'Newania Literature'!K19/$B$20</f>
        <v>5.078125</v>
      </c>
      <c r="O20" s="11">
        <f>'Newania Literature'!L19/$B$20</f>
        <v>1.953125</v>
      </c>
      <c r="P20" s="11">
        <f>'Newania Literature'!M19/$B$20</f>
        <v>5.8593749999999991</v>
      </c>
      <c r="Q20" s="11">
        <f>'Newania Literature'!N19/$B$20</f>
        <v>3.125</v>
      </c>
      <c r="R20" s="11">
        <f>'Newania Literature'!O19/$B$20</f>
        <v>10.15625</v>
      </c>
    </row>
    <row r="22" spans="1:18" s="13" customFormat="1" x14ac:dyDescent="0.25">
      <c r="D22" s="13" t="s">
        <v>65</v>
      </c>
      <c r="E22" s="14">
        <f>E12/SQRT(E11*E13)</f>
        <v>0.90916377581059071</v>
      </c>
      <c r="F22" s="14">
        <f t="shared" ref="F22:R22" si="0">F12/SQRT(F11*F13)</f>
        <v>0.939722944112519</v>
      </c>
      <c r="G22" s="14">
        <f t="shared" si="0"/>
        <v>0.99222326201596922</v>
      </c>
      <c r="H22" s="14">
        <f t="shared" si="0"/>
        <v>0.88230448340121881</v>
      </c>
      <c r="I22" s="14">
        <f t="shared" si="0"/>
        <v>0.99599297197414094</v>
      </c>
      <c r="J22" s="14">
        <f t="shared" si="0"/>
        <v>0.90341772751336569</v>
      </c>
      <c r="K22" s="14">
        <f t="shared" si="0"/>
        <v>0.99871573409152281</v>
      </c>
      <c r="L22" s="14">
        <f t="shared" si="0"/>
        <v>0.80901290287731653</v>
      </c>
      <c r="M22" s="14">
        <f t="shared" si="0"/>
        <v>1.1237602324772753</v>
      </c>
      <c r="N22" s="14">
        <f t="shared" si="0"/>
        <v>0.93314344983256492</v>
      </c>
      <c r="O22" s="14">
        <f t="shared" si="0"/>
        <v>0.99241178459364543</v>
      </c>
      <c r="P22" s="14">
        <f t="shared" si="0"/>
        <v>0.95483647191414023</v>
      </c>
      <c r="Q22" s="14">
        <f t="shared" si="0"/>
        <v>0.88063396476145706</v>
      </c>
      <c r="R22" s="14">
        <f t="shared" si="0"/>
        <v>0.77860455630382086</v>
      </c>
    </row>
    <row r="23" spans="1:18" s="1" customFormat="1" x14ac:dyDescent="0.25">
      <c r="D23" s="1" t="s">
        <v>66</v>
      </c>
      <c r="E23" s="16">
        <f>E6/E11</f>
        <v>3.6070822919650825</v>
      </c>
      <c r="F23" s="16">
        <f t="shared" ref="F23:R23" si="1">F6/F11</f>
        <v>8.3933134504215907</v>
      </c>
      <c r="G23" s="16">
        <f t="shared" si="1"/>
        <v>4.7601320200270578</v>
      </c>
      <c r="H23" s="16">
        <f t="shared" si="1"/>
        <v>6.2404951837568454</v>
      </c>
      <c r="I23" s="16">
        <f t="shared" si="1"/>
        <v>2.7574655553423857</v>
      </c>
      <c r="J23" s="16">
        <f t="shared" si="1"/>
        <v>3.2345454496686057</v>
      </c>
      <c r="K23" s="16">
        <f t="shared" si="1"/>
        <v>3.7092634380605216</v>
      </c>
      <c r="L23" s="16">
        <f t="shared" si="1"/>
        <v>2.2558150978677656</v>
      </c>
      <c r="M23" s="16">
        <f t="shared" si="1"/>
        <v>2.4797576910208323</v>
      </c>
      <c r="N23" s="16">
        <f t="shared" si="1"/>
        <v>3.545672325952518</v>
      </c>
      <c r="O23" s="16">
        <f t="shared" si="1"/>
        <v>3.4413969172798882</v>
      </c>
      <c r="P23" s="16">
        <f t="shared" si="1"/>
        <v>3.1682922888627725</v>
      </c>
      <c r="Q23" s="16">
        <f t="shared" si="1"/>
        <v>4.4380379868261173</v>
      </c>
      <c r="R23" s="16">
        <f t="shared" si="1"/>
        <v>4.0963953017415955</v>
      </c>
    </row>
    <row r="24" spans="1:18" s="1" customFormat="1" x14ac:dyDescent="0.25">
      <c r="D24" s="1" t="s">
        <v>67</v>
      </c>
      <c r="E24" s="16">
        <f>E6/E19</f>
        <v>141.50972053462939</v>
      </c>
      <c r="F24" s="16">
        <f t="shared" ref="F24:R24" si="2">F6/F19</f>
        <v>187.00424802433903</v>
      </c>
      <c r="G24" s="16">
        <f t="shared" si="2"/>
        <v>152.23015390846496</v>
      </c>
      <c r="H24" s="16">
        <f t="shared" si="2"/>
        <v>130.21753071418928</v>
      </c>
      <c r="I24" s="16">
        <f t="shared" si="2"/>
        <v>113.77345035891868</v>
      </c>
      <c r="J24" s="16">
        <f t="shared" si="2"/>
        <v>186.90105284437394</v>
      </c>
      <c r="K24" s="16">
        <f t="shared" si="2"/>
        <v>56.535277440259215</v>
      </c>
      <c r="L24" s="16">
        <f t="shared" si="2"/>
        <v>27.660975037837606</v>
      </c>
      <c r="M24" s="16">
        <f t="shared" si="2"/>
        <v>29.567976238693127</v>
      </c>
      <c r="N24" s="16">
        <f t="shared" si="2"/>
        <v>164.87860320689728</v>
      </c>
      <c r="O24" s="16">
        <f t="shared" si="2"/>
        <v>72.488773839082882</v>
      </c>
      <c r="P24" s="16">
        <f t="shared" si="2"/>
        <v>108.8308822502479</v>
      </c>
      <c r="Q24" s="16">
        <f t="shared" si="2"/>
        <v>68.50836945285721</v>
      </c>
      <c r="R24" s="16">
        <f t="shared" si="2"/>
        <v>254.84001620089103</v>
      </c>
    </row>
    <row r="25" spans="1:18" x14ac:dyDescent="0.25"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30" spans="1:18" s="7" customFormat="1" x14ac:dyDescent="0.25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44" spans="5:15" x14ac:dyDescent="0.25"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9" spans="1:15" s="7" customFormat="1" x14ac:dyDescent="0.25">
      <c r="A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Normalizations</vt:lpstr>
      <vt:lpstr>Newania, this study</vt:lpstr>
      <vt:lpstr>SIMS Spots</vt:lpstr>
      <vt:lpstr>Newania-normalized</vt:lpstr>
      <vt:lpstr>Newania Literature</vt:lpstr>
      <vt:lpstr>Newania-norm. Literature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Hopp</dc:creator>
  <cp:lastModifiedBy>Jens Hopp</cp:lastModifiedBy>
  <dcterms:created xsi:type="dcterms:W3CDTF">2020-02-04T13:51:49Z</dcterms:created>
  <dcterms:modified xsi:type="dcterms:W3CDTF">2025-10-10T10:43:25Z</dcterms:modified>
</cp:coreProperties>
</file>