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croix/Documents/Coastal_eco_paper/CoastalECOSubmission_12112025/"/>
    </mc:Choice>
  </mc:AlternateContent>
  <xr:revisionPtr revIDLastSave="0" documentId="8_{8AAEF8D6-C255-1B45-A69A-1BF0C531E5ED}" xr6:coauthVersionLast="47" xr6:coauthVersionMax="47" xr10:uidLastSave="{00000000-0000-0000-0000-000000000000}"/>
  <bookViews>
    <workbookView xWindow="0" yWindow="740" windowWidth="29400" windowHeight="18380" xr2:uid="{42EA68A6-40D4-4976-A5B2-F9DCE25B3529}"/>
  </bookViews>
  <sheets>
    <sheet name="lacroix_ncc_SupplementTablesS1-" sheetId="1" r:id="rId1"/>
    <sheet name="Supplement Table 2" sheetId="2" r:id="rId2"/>
    <sheet name="Supplement Table 3" sheetId="3" r:id="rId3"/>
    <sheet name="Supplement Table 4" sheetId="4" r:id="rId4"/>
    <sheet name="Supplement Table5" sheetId="7" r:id="rId5"/>
    <sheet name="Supplement Table S6" sheetId="6" r:id="rId6"/>
    <sheet name="Supplement Table 7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B17" i="2"/>
  <c r="B9" i="4"/>
  <c r="L7" i="3"/>
  <c r="F18" i="1"/>
  <c r="F17" i="1"/>
  <c r="C40" i="7"/>
  <c r="B40" i="7"/>
  <c r="B13" i="7"/>
  <c r="C46" i="7"/>
  <c r="C47" i="7"/>
  <c r="B47" i="7"/>
  <c r="B49" i="7"/>
  <c r="B48" i="7"/>
  <c r="B41" i="7"/>
  <c r="B42" i="7"/>
  <c r="B37" i="7"/>
  <c r="B44" i="7"/>
  <c r="B46" i="7" l="1"/>
  <c r="C43" i="7"/>
  <c r="B43" i="7"/>
  <c r="C42" i="7"/>
  <c r="C39" i="7"/>
  <c r="C51" i="7" s="1"/>
  <c r="B39" i="7"/>
  <c r="B38" i="7"/>
  <c r="B45" i="7"/>
  <c r="B51" i="7" l="1"/>
  <c r="B52" i="7"/>
  <c r="C29" i="7"/>
  <c r="B29" i="7"/>
  <c r="C28" i="7"/>
  <c r="B28" i="7"/>
  <c r="C27" i="7"/>
  <c r="B27" i="7"/>
  <c r="C26" i="7"/>
  <c r="B26" i="7"/>
  <c r="C23" i="7"/>
  <c r="B23" i="7"/>
  <c r="B25" i="7"/>
  <c r="C25" i="7"/>
  <c r="B24" i="7"/>
  <c r="C24" i="7"/>
  <c r="C22" i="7"/>
  <c r="B22" i="7"/>
  <c r="C21" i="7"/>
  <c r="B21" i="7"/>
  <c r="C20" i="7"/>
  <c r="B20" i="7"/>
  <c r="C19" i="7"/>
  <c r="B19" i="7"/>
  <c r="C18" i="7"/>
  <c r="B18" i="7"/>
  <c r="C17" i="7"/>
  <c r="B17" i="7"/>
  <c r="C15" i="7"/>
  <c r="B15" i="7"/>
  <c r="B14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B31" i="7"/>
  <c r="B30" i="7"/>
  <c r="Q15" i="4"/>
  <c r="L15" i="4"/>
  <c r="G15" i="4"/>
  <c r="B16" i="4"/>
  <c r="Q14" i="4"/>
  <c r="Q13" i="4"/>
  <c r="L13" i="4"/>
  <c r="G13" i="4"/>
  <c r="B14" i="4"/>
  <c r="Q12" i="4"/>
  <c r="L12" i="4"/>
  <c r="L14" i="4" s="1"/>
  <c r="G12" i="4"/>
  <c r="G14" i="4" s="1"/>
  <c r="B13" i="4"/>
  <c r="Q8" i="4"/>
  <c r="L8" i="4"/>
  <c r="G8" i="4"/>
  <c r="B33" i="7" l="1"/>
  <c r="C32" i="7"/>
  <c r="B15" i="4"/>
  <c r="B32" i="7"/>
  <c r="S5" i="3"/>
  <c r="R7" i="3"/>
  <c r="S7" i="3" s="1"/>
  <c r="Q9" i="3"/>
  <c r="H5" i="1" s="1"/>
  <c r="B6" i="1"/>
  <c r="D5" i="1"/>
  <c r="N5" i="3"/>
  <c r="C6" i="3"/>
  <c r="B6" i="3"/>
  <c r="D7" i="3"/>
  <c r="D9" i="3"/>
  <c r="C8" i="3"/>
  <c r="B5" i="1"/>
  <c r="H9" i="3"/>
  <c r="D6" i="1" s="1"/>
  <c r="H7" i="3"/>
  <c r="I7" i="3" s="1"/>
  <c r="I18" i="1"/>
  <c r="I17" i="1"/>
  <c r="B18" i="1" l="1"/>
  <c r="B17" i="1"/>
  <c r="D6" i="3"/>
  <c r="I9" i="3"/>
  <c r="S9" i="3"/>
  <c r="B11" i="3"/>
  <c r="R8" i="3"/>
  <c r="Q8" i="3"/>
  <c r="Q6" i="3"/>
  <c r="M8" i="3"/>
  <c r="M6" i="3"/>
  <c r="L9" i="3"/>
  <c r="C11" i="3"/>
  <c r="H8" i="3"/>
  <c r="G8" i="3"/>
  <c r="G6" i="3"/>
  <c r="B8" i="3"/>
  <c r="D8" i="3" s="1"/>
  <c r="H16" i="2"/>
  <c r="G16" i="2"/>
  <c r="F16" i="2"/>
  <c r="E16" i="2"/>
  <c r="D16" i="2"/>
  <c r="B16" i="2"/>
  <c r="E17" i="1"/>
  <c r="E18" i="1"/>
  <c r="D18" i="1"/>
  <c r="D17" i="1"/>
  <c r="C18" i="1"/>
  <c r="C17" i="1"/>
  <c r="I8" i="3" l="1"/>
  <c r="S8" i="3"/>
  <c r="M11" i="3"/>
  <c r="L8" i="3"/>
  <c r="N8" i="3" s="1"/>
  <c r="N9" i="3"/>
  <c r="L6" i="3"/>
  <c r="N6" i="3" s="1"/>
  <c r="N7" i="3"/>
  <c r="H5" i="3"/>
  <c r="I5" i="3" s="1"/>
  <c r="G11" i="3"/>
  <c r="Q11" i="3"/>
  <c r="D11" i="3"/>
  <c r="R6" i="3"/>
  <c r="S6" i="3" s="1"/>
  <c r="E11" i="3" l="1"/>
  <c r="F11" i="3" s="1"/>
  <c r="E10" i="3"/>
  <c r="F10" i="3" s="1"/>
  <c r="E6" i="3"/>
  <c r="F6" i="3" s="1"/>
  <c r="E8" i="3"/>
  <c r="F8" i="3"/>
  <c r="L11" i="3"/>
  <c r="N11" i="3" s="1"/>
  <c r="R11" i="3"/>
  <c r="S11" i="3" s="1"/>
  <c r="T8" i="3" s="1"/>
  <c r="U8" i="3" s="1"/>
  <c r="H6" i="1"/>
  <c r="H6" i="3"/>
  <c r="T6" i="3" l="1"/>
  <c r="U6" i="3" s="1"/>
  <c r="O10" i="3"/>
  <c r="P10" i="3" s="1"/>
  <c r="O11" i="3"/>
  <c r="P11" i="3" s="1"/>
  <c r="O5" i="3"/>
  <c r="P5" i="3" s="1"/>
  <c r="O6" i="3"/>
  <c r="P6" i="3" s="1"/>
  <c r="T11" i="3"/>
  <c r="U11" i="3" s="1"/>
  <c r="T5" i="3"/>
  <c r="U5" i="3" s="1"/>
  <c r="O8" i="3"/>
  <c r="P8" i="3" s="1"/>
  <c r="H11" i="3"/>
  <c r="I11" i="3" s="1"/>
  <c r="J5" i="3" s="1"/>
  <c r="K5" i="3" s="1"/>
  <c r="I6" i="3"/>
  <c r="H17" i="1"/>
  <c r="H18" i="1"/>
  <c r="J6" i="3" l="1"/>
  <c r="K6" i="3" s="1"/>
  <c r="J11" i="3"/>
  <c r="K11" i="3" s="1"/>
  <c r="J8" i="3"/>
  <c r="K8" i="3" s="1"/>
</calcChain>
</file>

<file path=xl/sharedStrings.xml><?xml version="1.0" encoding="utf-8"?>
<sst xmlns="http://schemas.openxmlformats.org/spreadsheetml/2006/main" count="466" uniqueCount="238">
  <si>
    <t>Coastal</t>
  </si>
  <si>
    <t>Open Ocean</t>
  </si>
  <si>
    <t>HAMOC-RIVER ALL</t>
  </si>
  <si>
    <t>ICON-COAST ALL</t>
  </si>
  <si>
    <t>NOAA SST</t>
  </si>
  <si>
    <t>HadISST</t>
  </si>
  <si>
    <t>COBEsst</t>
  </si>
  <si>
    <t>CMEMS-LSCE</t>
  </si>
  <si>
    <t>OceanSODA-ETHZ</t>
  </si>
  <si>
    <t>VGPM-Standard</t>
  </si>
  <si>
    <t>0.03762 **</t>
  </si>
  <si>
    <t>Ito et al. 2019</t>
  </si>
  <si>
    <t>SST Average 1975-1985[°C ]</t>
  </si>
  <si>
    <t>H+ Average 1975-1985 10^9 [M]</t>
  </si>
  <si>
    <t>NPP Average 1975-1985 [Pg C yr-1 ]</t>
  </si>
  <si>
    <t>ICON-COAST</t>
  </si>
  <si>
    <t>RivClimCO2</t>
  </si>
  <si>
    <t>ClimCO2</t>
  </si>
  <si>
    <t>HAMOCC-RIVER</t>
  </si>
  <si>
    <t>CO2-only simulation</t>
  </si>
  <si>
    <t>SST trend 1980-2020 [°C]</t>
  </si>
  <si>
    <t>H+ trend 1980-2020[10^9 M]</t>
  </si>
  <si>
    <t>NPP trend 1980-2020 [Pg C yr-1]</t>
  </si>
  <si>
    <t>River-induced</t>
  </si>
  <si>
    <t>Climate-induced</t>
  </si>
  <si>
    <t>Observation and Model Mean</t>
  </si>
  <si>
    <t>Standard Deviation</t>
  </si>
  <si>
    <t>ALL (Total) CHANGE</t>
  </si>
  <si>
    <t>Simulations</t>
  </si>
  <si>
    <t>SST</t>
  </si>
  <si>
    <t>pH</t>
  </si>
  <si>
    <t>NPP</t>
  </si>
  <si>
    <t>O2</t>
  </si>
  <si>
    <t>Name</t>
  </si>
  <si>
    <t>MARCATS Classification</t>
  </si>
  <si>
    <t>River/Ocean Dominated</t>
  </si>
  <si>
    <t>North-eastern Pacific</t>
  </si>
  <si>
    <t>Subpolar</t>
  </si>
  <si>
    <t>Ocean</t>
  </si>
  <si>
    <t>California Current</t>
  </si>
  <si>
    <t>Eastern Boundary Current</t>
  </si>
  <si>
    <t>Tropical Eastern Pacific</t>
  </si>
  <si>
    <t>Tropical</t>
  </si>
  <si>
    <t>Peruvian Upwelling Current</t>
  </si>
  <si>
    <t>South America</t>
  </si>
  <si>
    <t>Brazilian Current</t>
  </si>
  <si>
    <t>Western Boundary Current</t>
  </si>
  <si>
    <t>Tropical Western Atlantic</t>
  </si>
  <si>
    <t>River</t>
  </si>
  <si>
    <t>Caribbean Sea</t>
  </si>
  <si>
    <t>Gulf of Mexico</t>
  </si>
  <si>
    <t>Marginal</t>
  </si>
  <si>
    <t>Florida Upwelling</t>
  </si>
  <si>
    <t>Sea of Labrador</t>
  </si>
  <si>
    <t>Hudson Bay</t>
  </si>
  <si>
    <t>Canadian Archipelagos</t>
  </si>
  <si>
    <t>Polar</t>
  </si>
  <si>
    <t>Northern Greenland</t>
  </si>
  <si>
    <t>Southern Greenland</t>
  </si>
  <si>
    <t>Norwegian Basin</t>
  </si>
  <si>
    <t>North-eastern Atlantic</t>
  </si>
  <si>
    <t>Baltic Sea</t>
  </si>
  <si>
    <t>Iberian Upwelling</t>
  </si>
  <si>
    <t>Mediterranean Sea</t>
  </si>
  <si>
    <t>Black Sea</t>
  </si>
  <si>
    <t>Moroccan Upwelling</t>
  </si>
  <si>
    <t>Tropical Eastern Atlantic</t>
  </si>
  <si>
    <t>South-western Africa</t>
  </si>
  <si>
    <t>Agulhas Current</t>
  </si>
  <si>
    <t>Tropical Western Indian</t>
  </si>
  <si>
    <t>Western Arabian Sea</t>
  </si>
  <si>
    <t>Monsunal</t>
  </si>
  <si>
    <t>Red Sea</t>
  </si>
  <si>
    <t>Persian Gulf</t>
  </si>
  <si>
    <t>Eastern Arabian Sea</t>
  </si>
  <si>
    <t>Northern Bay of Bengal</t>
  </si>
  <si>
    <t>Tropical Eastern Indian</t>
  </si>
  <si>
    <t>Leeuwin Current</t>
  </si>
  <si>
    <t>Southern Australia</t>
  </si>
  <si>
    <t>Eastern Australia Current</t>
  </si>
  <si>
    <t>New Zealand</t>
  </si>
  <si>
    <t>Northern Australia</t>
  </si>
  <si>
    <t>South East Asia</t>
  </si>
  <si>
    <t>China Sea and Kuroshio</t>
  </si>
  <si>
    <t>Sea of Japan</t>
  </si>
  <si>
    <t>Marginal Sea</t>
  </si>
  <si>
    <t>Sea Okhotsk</t>
  </si>
  <si>
    <t xml:space="preserve">Marginal Sea </t>
  </si>
  <si>
    <t>North-western Pacific</t>
  </si>
  <si>
    <t>Siberian Shelves</t>
  </si>
  <si>
    <t>Barents and Karra Seas</t>
  </si>
  <si>
    <t>Antarctic Shelves</t>
  </si>
  <si>
    <t>Models/Observational Products</t>
  </si>
  <si>
    <t>Ito et al., 2024</t>
  </si>
  <si>
    <t>** means a non significant trend</t>
  </si>
  <si>
    <t>O2 Change 1980-2022[°C ]</t>
  </si>
  <si>
    <t>Model Average</t>
  </si>
  <si>
    <t>NPP Change 1980-2022[Pg C yr-1 ]</t>
  </si>
  <si>
    <t>Percent of absolute change</t>
  </si>
  <si>
    <t>Total Change from observation/model mean</t>
  </si>
  <si>
    <t>Relative Model Absolute Change</t>
  </si>
  <si>
    <t>Trend [°C ppm-1 CO2]</t>
  </si>
  <si>
    <t>Trend [ 10-9M ppm-1CO2 ]</t>
  </si>
  <si>
    <t>Trend [ mg O2 L-1 ppm-1 CO2 ]</t>
  </si>
  <si>
    <t>Observational Mean</t>
  </si>
  <si>
    <t>Total Median</t>
  </si>
  <si>
    <t>Total Mean</t>
  </si>
  <si>
    <t>Total Standard Deviation</t>
  </si>
  <si>
    <t>SSP scenario</t>
  </si>
  <si>
    <t>Atmospheric CO2 [ppm]</t>
  </si>
  <si>
    <t>Global River N [Tg N yr-1]</t>
  </si>
  <si>
    <t>SSP1</t>
  </si>
  <si>
    <t>SSP2</t>
  </si>
  <si>
    <t>SSP3</t>
  </si>
  <si>
    <t>SSP4</t>
  </si>
  <si>
    <t>SSP5</t>
  </si>
  <si>
    <t>Min</t>
  </si>
  <si>
    <t>Max</t>
  </si>
  <si>
    <t>Median</t>
  </si>
  <si>
    <t>Projections</t>
  </si>
  <si>
    <t>Driver Increases</t>
  </si>
  <si>
    <t>Gulf of Alaska</t>
  </si>
  <si>
    <t>Barents Sea</t>
  </si>
  <si>
    <t>https://www.nature.com/articles/s41598-022-13568-5</t>
  </si>
  <si>
    <t>https://www.sciencedirect.com/science/article/pii/S0078323423000817</t>
  </si>
  <si>
    <t>North Sea</t>
  </si>
  <si>
    <t>https://journals.ametsoc.org/view/journals/clim/29/7/jcli-d-15-0663.1.xml</t>
  </si>
  <si>
    <t>NewFoundland</t>
  </si>
  <si>
    <t>Kessler et al., 2022</t>
  </si>
  <si>
    <t>Scotian Shelf</t>
  </si>
  <si>
    <t>Northeastern US</t>
  </si>
  <si>
    <t>South Eastern US</t>
  </si>
  <si>
    <t>California Current System</t>
  </si>
  <si>
    <t>East China Sea</t>
  </si>
  <si>
    <t>Chesapeake Bay</t>
  </si>
  <si>
    <t>https://onlinelibrary.wiley.com/doi/10.1111/1752-1688.12916</t>
  </si>
  <si>
    <t>Louisiana Shelf</t>
  </si>
  <si>
    <t>North Brazil Shelf</t>
  </si>
  <si>
    <t>East Brazil Shelf</t>
  </si>
  <si>
    <t>South Brazil Shelf</t>
  </si>
  <si>
    <t>Guinea Current</t>
  </si>
  <si>
    <t>Canary Current</t>
  </si>
  <si>
    <t>Iberian Coast</t>
  </si>
  <si>
    <t>Bay of Biscay</t>
  </si>
  <si>
    <t>Norwegian Sea</t>
  </si>
  <si>
    <t>Okhotsk Sea</t>
  </si>
  <si>
    <t>https://www.sciencedirect.com/science/article/pii/S0924796325000156</t>
  </si>
  <si>
    <t xml:space="preserve">Red Sea </t>
  </si>
  <si>
    <t>https://www.sciencedirect.com/science/article/pii/S0078323419300442</t>
  </si>
  <si>
    <t>Average</t>
  </si>
  <si>
    <t>Regional STD</t>
  </si>
  <si>
    <t>Mean</t>
  </si>
  <si>
    <t>Standard Error</t>
  </si>
  <si>
    <t>Reference Authors</t>
  </si>
  <si>
    <t>https://doi.org/10.1016/j.dsr2.2022.105155</t>
  </si>
  <si>
    <t>Danielson et al., 2022</t>
  </si>
  <si>
    <t>Isaksen et al., 2022</t>
  </si>
  <si>
    <t>Hoyer et al., 2016</t>
  </si>
  <si>
    <t>Zalewska et al., 2024</t>
  </si>
  <si>
    <t>https://www.sciencedirect.com/science/article/pii/S0079661122001616</t>
  </si>
  <si>
    <t>Reference DOI / Link</t>
  </si>
  <si>
    <t>Di Lorenzo et al., 2005</t>
  </si>
  <si>
    <t>https://doi.org/10.1175/JPO-2690.1</t>
  </si>
  <si>
    <t>None provided</t>
  </si>
  <si>
    <t>Ding et al., 2024</t>
  </si>
  <si>
    <t>None prodived</t>
  </si>
  <si>
    <t>https://doi.org/10.3389/fmars.2024.1452125</t>
  </si>
  <si>
    <t>Hinson et al., 2021</t>
  </si>
  <si>
    <t>https://doi.org/10.1117/1.JRS.16.018502</t>
  </si>
  <si>
    <t>Massud-UI-Allam et al., 2022</t>
  </si>
  <si>
    <t>Carribean Seas</t>
  </si>
  <si>
    <t>Benguela</t>
  </si>
  <si>
    <t>Celtian Coast</t>
  </si>
  <si>
    <t>None Given</t>
  </si>
  <si>
    <t>Shiomoto et al., 2025</t>
  </si>
  <si>
    <t>Shaltout 2019</t>
  </si>
  <si>
    <t>https://bg.copernicus.org/articles/19/979/2022/bg-19-979-2022.pdf</t>
  </si>
  <si>
    <t>https://agupubs.onlinelibrary.wiley.com/doi/full/10.1029/2018JG004992</t>
  </si>
  <si>
    <t>https://www.nature.com/articles/s43247-023-01065-0</t>
  </si>
  <si>
    <t>https://www.sciencedirect.com/science/article/pii/S0025326X22011535</t>
  </si>
  <si>
    <t>https://link.springer.com/article/10.1007/s12237-010-9307-0</t>
  </si>
  <si>
    <t>https://agupubs.onlinelibrary.wiley.com/doi/full/10.1029/2023GL106300</t>
  </si>
  <si>
    <t>Fransner et al., 2022</t>
  </si>
  <si>
    <t>Omar et al., 2019</t>
  </si>
  <si>
    <t>https://agupubs.onlinelibrary.wiley.com/doi/full/10.1029/2021GL095159</t>
  </si>
  <si>
    <t>Wolfe et al., 2023</t>
  </si>
  <si>
    <t>Tsao et al., 2023</t>
  </si>
  <si>
    <t>Waldbusser et al., 2010</t>
  </si>
  <si>
    <t>Sarma et al., 2021</t>
  </si>
  <si>
    <t>Jiang et al., 2024</t>
  </si>
  <si>
    <t>Beaufort Sea</t>
  </si>
  <si>
    <t>https://agupubs.onlinelibrary.wiley.com/doi/full/10.1029/2024GB008249</t>
  </si>
  <si>
    <t>Caero et al., 2025</t>
  </si>
  <si>
    <t>Gulf of Maine</t>
  </si>
  <si>
    <t>https://www.nature.com/articles/s41598-024-84537-3</t>
  </si>
  <si>
    <t>Stewart et al., 2025</t>
  </si>
  <si>
    <t>Non Provided</t>
  </si>
  <si>
    <t>Patagonian Shelf</t>
  </si>
  <si>
    <t>Non provided</t>
  </si>
  <si>
    <t>https://doi.org/10.1029/2018GB006154</t>
  </si>
  <si>
    <t>Orselli et al., 2018</t>
  </si>
  <si>
    <t>https://doi.org/10.1016/j.jmarsys.2018.06.008</t>
  </si>
  <si>
    <t>Carvalho-Borges et al. (2018)</t>
  </si>
  <si>
    <t>Great Barrier Reef</t>
  </si>
  <si>
    <t>Bohei Sea</t>
  </si>
  <si>
    <t>ESA CCI L4</t>
  </si>
  <si>
    <t>MARCAT Number</t>
  </si>
  <si>
    <t>H+ Change 1980-2022 10^-9 [M]</t>
  </si>
  <si>
    <t>R2</t>
  </si>
  <si>
    <t>P-Value</t>
  </si>
  <si>
    <t>COBESST</t>
  </si>
  <si>
    <t>ETH SODA</t>
  </si>
  <si>
    <t>LSCE</t>
  </si>
  <si>
    <t>Itoetal.2024</t>
  </si>
  <si>
    <t>SST [°C] increase 1980-2022</t>
  </si>
  <si>
    <t xml:space="preserve"> HAMOCC</t>
  </si>
  <si>
    <t xml:space="preserve"> ICON</t>
  </si>
  <si>
    <t>O2 trend 1980-2020 [mg O2 l-1]</t>
  </si>
  <si>
    <t>SST Change 1980-2022 [°C ]</t>
  </si>
  <si>
    <t>Ito 2022</t>
  </si>
  <si>
    <t>O2 Average 1975-1985 [mg O2 l-1]</t>
  </si>
  <si>
    <t>Supplement Table S1. Computed global changes from model and observational Products</t>
  </si>
  <si>
    <t>Supplement Table S2. Computed global averages from model and observational products</t>
  </si>
  <si>
    <t>Supplement Table S3. Attribution of global trends based on sequential simulations</t>
  </si>
  <si>
    <t>Observational Products</t>
  </si>
  <si>
    <t>Models</t>
  </si>
  <si>
    <t>Model Mean</t>
  </si>
  <si>
    <t>Ito2022</t>
  </si>
  <si>
    <t>Supplement Table S5. Ecosystem Stressor Trends from regional estimates</t>
  </si>
  <si>
    <t>Supplement Table S7. MARCATs regions and classes.</t>
  </si>
  <si>
    <t xml:space="preserve">Supplement Table S4. Trend, correlations and significance of ecosystem stressors with major driver variables </t>
  </si>
  <si>
    <t>Supplement Table S6. Calculations for future estimation</t>
  </si>
  <si>
    <t>Trend [ g C m-2 yr-1 (Tg N)-1 ]</t>
  </si>
  <si>
    <r>
      <t>H</t>
    </r>
    <r>
      <rPr>
        <b/>
        <vertAlign val="superscript"/>
        <sz val="11"/>
        <color rgb="FF000000"/>
        <rFont val="Calibri"/>
        <family val="2"/>
        <scheme val="minor"/>
      </rPr>
      <t>+</t>
    </r>
    <r>
      <rPr>
        <b/>
        <sz val="11"/>
        <color rgb="FF000000"/>
        <rFont val="Calibri"/>
        <family val="2"/>
        <scheme val="minor"/>
      </rPr>
      <t xml:space="preserve"> [10</t>
    </r>
    <r>
      <rPr>
        <b/>
        <vertAlign val="superscript"/>
        <sz val="11"/>
        <color rgb="FF000000"/>
        <rFont val="Calibri"/>
        <family val="2"/>
        <scheme val="minor"/>
      </rPr>
      <t>-9</t>
    </r>
    <r>
      <rPr>
        <b/>
        <sz val="11"/>
        <color rgb="FF000000"/>
        <rFont val="Calibri"/>
        <family val="2"/>
        <scheme val="minor"/>
      </rPr>
      <t xml:space="preserve"> M yr</t>
    </r>
    <r>
      <rPr>
        <b/>
        <vertAlign val="superscript"/>
        <sz val="11"/>
        <color rgb="FF000000"/>
        <rFont val="Calibri"/>
        <family val="2"/>
        <scheme val="minor"/>
      </rPr>
      <t>-2</t>
    </r>
    <r>
      <rPr>
        <b/>
        <sz val="11"/>
        <color rgb="FF000000"/>
        <rFont val="Calibri"/>
        <family val="2"/>
        <scheme val="minor"/>
      </rPr>
      <t>] increase 1980-2022</t>
    </r>
  </si>
  <si>
    <t>Shelf Area [10^3 km^2]</t>
  </si>
  <si>
    <t>Mediterranean</t>
  </si>
  <si>
    <t>Estimated Shelf Area [10^3 km^2]</t>
  </si>
  <si>
    <t>Relative Change 1980-2022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</si>
</sst>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(Body)"/>
    </font>
    <font>
      <b/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 (Body)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3"/>
      <color theme="1"/>
      <name val="Calibri (Body)"/>
    </font>
    <font>
      <b/>
      <sz val="12"/>
      <color theme="1"/>
      <name val="Calibri (Body)"/>
    </font>
    <font>
      <b/>
      <sz val="14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2" tint="-0.89999084444715716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4" tint="-0.249977111117893"/>
      <name val="Calibri (Body)"/>
    </font>
    <font>
      <sz val="12"/>
      <color theme="4" tint="-0.249977111117893"/>
      <name val="Calibri"/>
      <family val="2"/>
      <scheme val="minor"/>
    </font>
    <font>
      <b/>
      <sz val="14"/>
      <color rgb="FFC00000"/>
      <name val="Calibri (Body)"/>
    </font>
    <font>
      <sz val="12"/>
      <color rgb="FFC00000"/>
      <name val="Calibri"/>
      <family val="2"/>
      <scheme val="minor"/>
    </font>
    <font>
      <b/>
      <sz val="14"/>
      <color theme="0" tint="-0.499984740745262"/>
      <name val="Calibri (Body)"/>
    </font>
    <font>
      <sz val="12"/>
      <color theme="0" tint="-0.499984740745262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0"/>
      <color theme="4" tint="-0.249977111117893"/>
      <name val="Arial Unicode MS"/>
      <family val="2"/>
    </font>
    <font>
      <sz val="14"/>
      <color rgb="FFC00000"/>
      <name val="Calibri"/>
      <family val="2"/>
      <scheme val="minor"/>
    </font>
    <font>
      <sz val="10"/>
      <color rgb="FFC00000"/>
      <name val="Arial Unicode MS"/>
      <family val="2"/>
    </font>
    <font>
      <sz val="14"/>
      <color theme="0" tint="-0.499984740745262"/>
      <name val="Calibri"/>
      <family val="2"/>
      <scheme val="minor"/>
    </font>
    <font>
      <sz val="10"/>
      <color theme="0" tint="-0.499984740745262"/>
      <name val="Arial Unicode MS"/>
      <family val="2"/>
    </font>
    <font>
      <b/>
      <sz val="12"/>
      <color rgb="FF000000"/>
      <name val="Times New Roman"/>
      <family val="1"/>
    </font>
    <font>
      <b/>
      <sz val="13"/>
      <color rgb="FFC00000"/>
      <name val="Calibri (Body)"/>
    </font>
    <font>
      <b/>
      <sz val="13"/>
      <color theme="0" tint="-0.499984740745262"/>
      <name val="Calibri (Body)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11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7" fillId="0" borderId="0" xfId="0" applyFont="1"/>
    <xf numFmtId="0" fontId="6" fillId="0" borderId="0" xfId="1"/>
    <xf numFmtId="0" fontId="8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righ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1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11" fontId="10" fillId="0" borderId="0" xfId="0" applyNumberFormat="1" applyFont="1"/>
    <xf numFmtId="0" fontId="39" fillId="0" borderId="0" xfId="0" applyFont="1"/>
    <xf numFmtId="0" fontId="40" fillId="0" borderId="0" xfId="0" applyFont="1"/>
    <xf numFmtId="11" fontId="30" fillId="0" borderId="0" xfId="0" applyNumberFormat="1" applyFont="1"/>
    <xf numFmtId="0" fontId="41" fillId="0" borderId="0" xfId="0" applyFont="1"/>
    <xf numFmtId="0" fontId="42" fillId="0" borderId="0" xfId="0" applyFont="1"/>
    <xf numFmtId="11" fontId="16" fillId="0" borderId="0" xfId="0" applyNumberFormat="1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11" fontId="38" fillId="0" borderId="0" xfId="0" applyNumberFormat="1" applyFont="1"/>
    <xf numFmtId="0" fontId="46" fillId="0" borderId="0" xfId="0" applyFont="1"/>
    <xf numFmtId="0" fontId="4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117/1.JRS.16.018502" TargetMode="External"/><Relationship Id="rId13" Type="http://schemas.openxmlformats.org/officeDocument/2006/relationships/hyperlink" Target="https://www.nature.com/articles/s43247-023-01065-0" TargetMode="External"/><Relationship Id="rId18" Type="http://schemas.openxmlformats.org/officeDocument/2006/relationships/hyperlink" Target="https://doi.org/10.1016/j.jmarsys.2018.06.008" TargetMode="External"/><Relationship Id="rId3" Type="http://schemas.openxmlformats.org/officeDocument/2006/relationships/hyperlink" Target="https://journals.ametsoc.org/view/journals/clim/29/7/jcli-d-15-0663.1.xml" TargetMode="External"/><Relationship Id="rId7" Type="http://schemas.openxmlformats.org/officeDocument/2006/relationships/hyperlink" Target="https://onlinelibrary.wiley.com/doi/10.1111/1752-1688.12916" TargetMode="External"/><Relationship Id="rId12" Type="http://schemas.openxmlformats.org/officeDocument/2006/relationships/hyperlink" Target="https://link.springer.com/article/10.1007/s12237-010-9307-0" TargetMode="External"/><Relationship Id="rId17" Type="http://schemas.openxmlformats.org/officeDocument/2006/relationships/hyperlink" Target="https://doi.org/10.1029/2018GB006154" TargetMode="External"/><Relationship Id="rId2" Type="http://schemas.openxmlformats.org/officeDocument/2006/relationships/hyperlink" Target="https://www.nature.com/articles/s41598-022-13568-5" TargetMode="External"/><Relationship Id="rId16" Type="http://schemas.openxmlformats.org/officeDocument/2006/relationships/hyperlink" Target="https://agupubs.onlinelibrary.wiley.com/doi/full/10.1029/2021GL095159" TargetMode="External"/><Relationship Id="rId1" Type="http://schemas.openxmlformats.org/officeDocument/2006/relationships/hyperlink" Target="https://doi.org/10.1016/j.dsr2.2022.105155" TargetMode="External"/><Relationship Id="rId6" Type="http://schemas.openxmlformats.org/officeDocument/2006/relationships/hyperlink" Target="https://doi.org/10.3389/fmars.2024.1452125" TargetMode="External"/><Relationship Id="rId11" Type="http://schemas.openxmlformats.org/officeDocument/2006/relationships/hyperlink" Target="https://agupubs.onlinelibrary.wiley.com/doi/full/10.1029/2018JG004992" TargetMode="External"/><Relationship Id="rId5" Type="http://schemas.openxmlformats.org/officeDocument/2006/relationships/hyperlink" Target="https://doi.org/10.1175/JPO-2690.1" TargetMode="External"/><Relationship Id="rId15" Type="http://schemas.openxmlformats.org/officeDocument/2006/relationships/hyperlink" Target="https://www.sciencedirect.com/science/article/pii/S0025326X22011535" TargetMode="External"/><Relationship Id="rId10" Type="http://schemas.openxmlformats.org/officeDocument/2006/relationships/hyperlink" Target="https://agupubs.onlinelibrary.wiley.com/doi/full/10.1029/2023GL106300" TargetMode="External"/><Relationship Id="rId19" Type="http://schemas.openxmlformats.org/officeDocument/2006/relationships/hyperlink" Target="https://agupubs.onlinelibrary.wiley.com/doi/full/10.1029/2021GB007196" TargetMode="External"/><Relationship Id="rId4" Type="http://schemas.openxmlformats.org/officeDocument/2006/relationships/hyperlink" Target="https://www.sciencedirect.com/science/article/pii/S0078323423000817" TargetMode="External"/><Relationship Id="rId9" Type="http://schemas.openxmlformats.org/officeDocument/2006/relationships/hyperlink" Target="https://www.sciencedirect.com/science/article/pii/S0924796325000156" TargetMode="External"/><Relationship Id="rId14" Type="http://schemas.openxmlformats.org/officeDocument/2006/relationships/hyperlink" Target="https://bg.copernicus.org/articles/19/979/2022/bg-19-979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EC34-8742-4F48-9C1A-62BFC56AFDFE}">
  <dimension ref="A1:K20"/>
  <sheetViews>
    <sheetView tabSelected="1" workbookViewId="0">
      <selection activeCell="C18" sqref="C18"/>
    </sheetView>
  </sheetViews>
  <sheetFormatPr baseColWidth="10" defaultColWidth="8.83203125" defaultRowHeight="15" x14ac:dyDescent="0.2"/>
  <cols>
    <col min="1" max="1" width="32.5" customWidth="1"/>
    <col min="3" max="3" width="17.1640625" customWidth="1"/>
    <col min="4" max="4" width="25.5" customWidth="1"/>
    <col min="5" max="5" width="26.6640625" customWidth="1"/>
    <col min="6" max="6" width="36.6640625" customWidth="1"/>
    <col min="7" max="7" width="17" customWidth="1"/>
  </cols>
  <sheetData>
    <row r="1" spans="1:11" ht="19" x14ac:dyDescent="0.25">
      <c r="A1" s="3" t="s">
        <v>221</v>
      </c>
      <c r="J1" s="21"/>
      <c r="K1" s="21"/>
    </row>
    <row r="3" spans="1:11" ht="19" x14ac:dyDescent="0.25">
      <c r="B3" s="22" t="s">
        <v>218</v>
      </c>
      <c r="C3" s="20"/>
      <c r="D3" s="23" t="s">
        <v>207</v>
      </c>
      <c r="E3" s="23"/>
      <c r="F3" s="24" t="s">
        <v>97</v>
      </c>
      <c r="G3" s="24"/>
      <c r="H3" s="25" t="s">
        <v>95</v>
      </c>
      <c r="I3" s="25"/>
    </row>
    <row r="4" spans="1:11" ht="17" x14ac:dyDescent="0.2">
      <c r="A4" s="18" t="s">
        <v>92</v>
      </c>
      <c r="B4" s="10" t="s">
        <v>0</v>
      </c>
      <c r="C4" s="10" t="s">
        <v>1</v>
      </c>
      <c r="D4" s="12" t="s">
        <v>0</v>
      </c>
      <c r="E4" s="12" t="s">
        <v>1</v>
      </c>
      <c r="F4" s="14" t="s">
        <v>0</v>
      </c>
      <c r="G4" s="14" t="s">
        <v>1</v>
      </c>
      <c r="H4" s="16" t="s">
        <v>0</v>
      </c>
      <c r="I4" s="16" t="s">
        <v>1</v>
      </c>
    </row>
    <row r="5" spans="1:11" x14ac:dyDescent="0.2">
      <c r="A5" t="s">
        <v>2</v>
      </c>
      <c r="B5" s="11">
        <f>'Supplement Table 3'!B9</f>
        <v>0.68130000000000002</v>
      </c>
      <c r="C5" s="11">
        <v>0.35220000000000001</v>
      </c>
      <c r="D5" s="13">
        <f>'Supplement Table 3'!G9</f>
        <v>1.3212999999999999</v>
      </c>
      <c r="E5" s="13">
        <v>0.70418999999999998</v>
      </c>
      <c r="F5" s="15">
        <v>0.35171000000000002</v>
      </c>
      <c r="G5" s="15">
        <v>1.3694</v>
      </c>
      <c r="H5" s="17">
        <f>'Supplement Table 3'!Q9</f>
        <v>-3.8800000000000001E-2</v>
      </c>
      <c r="I5" s="17">
        <v>-2.4570000000000002E-2</v>
      </c>
    </row>
    <row r="6" spans="1:11" x14ac:dyDescent="0.2">
      <c r="A6" t="s">
        <v>3</v>
      </c>
      <c r="B6" s="11">
        <f>'Supplement Table 3'!C9</f>
        <v>0.7752</v>
      </c>
      <c r="C6" s="11">
        <v>0.34855999999999998</v>
      </c>
      <c r="D6" s="13">
        <f>'Supplement Table 3'!H9</f>
        <v>1.341</v>
      </c>
      <c r="E6" s="13">
        <v>1.0642</v>
      </c>
      <c r="F6" s="15">
        <v>0.46555999999999997</v>
      </c>
      <c r="G6" s="15">
        <v>4.8</v>
      </c>
      <c r="H6" s="17">
        <f>'Supplement Table 3'!R6</f>
        <v>-7.5600000000000001E-2</v>
      </c>
      <c r="I6" s="17">
        <v>-4.351E-2</v>
      </c>
    </row>
    <row r="7" spans="1:11" x14ac:dyDescent="0.2">
      <c r="A7" t="s">
        <v>205</v>
      </c>
      <c r="B7" s="11">
        <v>0.71799999999999997</v>
      </c>
      <c r="C7" s="11">
        <v>0.47</v>
      </c>
      <c r="D7" s="13"/>
      <c r="E7" s="13"/>
      <c r="F7" s="15"/>
      <c r="G7" s="15"/>
      <c r="H7" s="17"/>
      <c r="I7" s="17"/>
    </row>
    <row r="8" spans="1:11" x14ac:dyDescent="0.2">
      <c r="A8" t="s">
        <v>4</v>
      </c>
      <c r="B8" s="11">
        <v>0.59219999999999995</v>
      </c>
      <c r="C8" s="11">
        <v>0.53608999999999996</v>
      </c>
      <c r="D8" s="13"/>
      <c r="E8" s="13"/>
      <c r="F8" s="15"/>
      <c r="G8" s="15"/>
      <c r="H8" s="17"/>
      <c r="I8" s="17"/>
    </row>
    <row r="9" spans="1:11" x14ac:dyDescent="0.2">
      <c r="A9" t="s">
        <v>5</v>
      </c>
      <c r="B9" s="11">
        <v>0.65190000000000003</v>
      </c>
      <c r="C9" s="11">
        <v>0.31135000000000002</v>
      </c>
      <c r="D9" s="13"/>
      <c r="E9" s="13"/>
      <c r="F9" s="15"/>
      <c r="G9" s="15"/>
      <c r="H9" s="17"/>
      <c r="I9" s="17"/>
    </row>
    <row r="10" spans="1:11" x14ac:dyDescent="0.2">
      <c r="A10" t="s">
        <v>6</v>
      </c>
      <c r="B10" s="11">
        <v>0.58260000000000001</v>
      </c>
      <c r="C10" s="11">
        <v>0.42309999999999998</v>
      </c>
      <c r="D10" s="13"/>
      <c r="E10" s="13"/>
      <c r="F10" s="15"/>
      <c r="G10" s="15"/>
      <c r="H10" s="17"/>
      <c r="I10" s="17"/>
    </row>
    <row r="11" spans="1:11" x14ac:dyDescent="0.2">
      <c r="A11" t="s">
        <v>7</v>
      </c>
      <c r="B11" s="11"/>
      <c r="C11" s="11"/>
      <c r="D11" s="13">
        <v>1.1576</v>
      </c>
      <c r="E11" s="13">
        <v>0.61209999999999998</v>
      </c>
      <c r="F11" s="15"/>
      <c r="G11" s="15"/>
      <c r="H11" s="17"/>
      <c r="I11" s="17"/>
    </row>
    <row r="12" spans="1:11" x14ac:dyDescent="0.2">
      <c r="A12" t="s">
        <v>8</v>
      </c>
      <c r="B12" s="11"/>
      <c r="C12" s="11"/>
      <c r="D12" s="13">
        <v>1.2753000000000001</v>
      </c>
      <c r="E12" s="13">
        <v>0.59119999999999995</v>
      </c>
      <c r="F12" s="15"/>
      <c r="G12" s="15"/>
      <c r="H12" s="17"/>
      <c r="I12" s="17"/>
    </row>
    <row r="13" spans="1:11" x14ac:dyDescent="0.2">
      <c r="A13" t="s">
        <v>9</v>
      </c>
      <c r="B13" s="11"/>
      <c r="C13" s="11"/>
      <c r="D13" s="13"/>
      <c r="E13" s="13"/>
      <c r="F13" s="15">
        <v>0.61733000000000005</v>
      </c>
      <c r="G13" s="15" t="s">
        <v>10</v>
      </c>
      <c r="H13" s="17"/>
      <c r="I13" s="17"/>
    </row>
    <row r="14" spans="1:11" x14ac:dyDescent="0.2">
      <c r="A14" t="s">
        <v>219</v>
      </c>
      <c r="B14" s="11"/>
      <c r="C14" s="11"/>
      <c r="D14" s="13"/>
      <c r="E14" s="13"/>
      <c r="F14" s="15"/>
      <c r="G14" s="15"/>
      <c r="H14" s="17">
        <v>-8.2710000000000006E-2</v>
      </c>
      <c r="I14" s="17">
        <v>-5.7619999999999998E-2</v>
      </c>
    </row>
    <row r="15" spans="1:11" x14ac:dyDescent="0.2">
      <c r="A15" t="s">
        <v>93</v>
      </c>
      <c r="B15" s="11"/>
      <c r="C15" s="11"/>
      <c r="D15" s="13"/>
      <c r="E15" s="13"/>
      <c r="F15" s="15"/>
      <c r="G15" s="15"/>
      <c r="H15" s="17">
        <v>-0.185</v>
      </c>
      <c r="I15" s="17">
        <v>-7.5700000000000003E-2</v>
      </c>
    </row>
    <row r="17" spans="1:9" ht="16" x14ac:dyDescent="0.2">
      <c r="A17" s="19" t="s">
        <v>25</v>
      </c>
      <c r="B17" s="22">
        <f>AVERAGE(B5:B10)</f>
        <v>0.66686666666666661</v>
      </c>
      <c r="C17" s="22">
        <f>AVERAGE(C5:C10)</f>
        <v>0.40688333333333332</v>
      </c>
      <c r="D17" s="23">
        <f>AVERAGE(D5:D6,D11:D12)</f>
        <v>1.2738</v>
      </c>
      <c r="E17" s="23">
        <f>AVERAGE(E5:E6,E11:E12)</f>
        <v>0.74292249999999993</v>
      </c>
      <c r="F17" s="24">
        <f>AVERAGE(F5:F6,F13)</f>
        <v>0.47820000000000001</v>
      </c>
      <c r="G17" s="24"/>
      <c r="H17" s="25">
        <f>AVERAGE(H5:H6,H14:H15)</f>
        <v>-9.5527500000000001E-2</v>
      </c>
      <c r="I17" s="25">
        <f>AVERAGE(I5:I6,I14:I15)</f>
        <v>-5.0350000000000006E-2</v>
      </c>
    </row>
    <row r="18" spans="1:9" ht="16" x14ac:dyDescent="0.2">
      <c r="A18" s="19" t="s">
        <v>26</v>
      </c>
      <c r="B18" s="22">
        <f>_xlfn.STDEV.P(B5:B10)</f>
        <v>6.7649874763784132E-2</v>
      </c>
      <c r="C18" s="22">
        <f>_xlfn.STDEV.P(C5:C10)</f>
        <v>7.7952498926518385E-2</v>
      </c>
      <c r="D18" s="23">
        <f>_xlfn.STDEV.P(D5:D6,D11:D12)</f>
        <v>7.1198279473594014E-2</v>
      </c>
      <c r="E18" s="23">
        <f>_xlfn.STDEV.P(E5:E6,E11:E12)</f>
        <v>0.19029824097650008</v>
      </c>
      <c r="F18" s="24">
        <f>_xlfn.STDEV.P(F5:F6,F13)</f>
        <v>0.10880662755549397</v>
      </c>
      <c r="G18" s="24"/>
      <c r="H18" s="25">
        <f>_xlfn.STDEV.P(H5:H6,H14:H15)</f>
        <v>5.4278750618911631E-2</v>
      </c>
      <c r="I18" s="25">
        <f>_xlfn.STDEV.P(I5:I6,I14:I15)</f>
        <v>1.8754128878729601E-2</v>
      </c>
    </row>
    <row r="20" spans="1:9" x14ac:dyDescent="0.2">
      <c r="G20" t="s">
        <v>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3948-60BA-4DCE-87F6-8062D2D4C1EB}">
  <dimension ref="A1:I17"/>
  <sheetViews>
    <sheetView workbookViewId="0">
      <selection activeCell="C17" sqref="C17"/>
    </sheetView>
  </sheetViews>
  <sheetFormatPr baseColWidth="10" defaultColWidth="8.83203125" defaultRowHeight="15" x14ac:dyDescent="0.2"/>
  <cols>
    <col min="1" max="1" width="28.83203125" customWidth="1"/>
    <col min="2" max="2" width="15.83203125" customWidth="1"/>
    <col min="3" max="3" width="18.1640625" customWidth="1"/>
    <col min="4" max="4" width="16" customWidth="1"/>
    <col min="5" max="5" width="22.6640625" customWidth="1"/>
    <col min="6" max="6" width="18.5" customWidth="1"/>
    <col min="7" max="7" width="15.1640625" customWidth="1"/>
    <col min="8" max="8" width="20.5" customWidth="1"/>
  </cols>
  <sheetData>
    <row r="1" spans="1:9" ht="19" x14ac:dyDescent="0.25">
      <c r="A1" s="3" t="s">
        <v>222</v>
      </c>
    </row>
    <row r="3" spans="1:9" ht="16" x14ac:dyDescent="0.2">
      <c r="B3" s="26" t="s">
        <v>12</v>
      </c>
      <c r="C3" s="26"/>
      <c r="D3" s="5" t="s">
        <v>13</v>
      </c>
      <c r="E3" s="5"/>
      <c r="F3" s="30" t="s">
        <v>14</v>
      </c>
      <c r="G3" s="30"/>
      <c r="H3" s="25" t="s">
        <v>220</v>
      </c>
      <c r="I3" s="17"/>
    </row>
    <row r="4" spans="1:9" ht="16" x14ac:dyDescent="0.2">
      <c r="A4" s="5" t="s">
        <v>92</v>
      </c>
      <c r="B4" s="27" t="s">
        <v>0</v>
      </c>
      <c r="C4" s="27" t="s">
        <v>1</v>
      </c>
      <c r="D4" s="1" t="s">
        <v>0</v>
      </c>
      <c r="E4" s="1" t="s">
        <v>1</v>
      </c>
      <c r="F4" s="31" t="s">
        <v>0</v>
      </c>
      <c r="G4" s="31" t="s">
        <v>1</v>
      </c>
      <c r="H4" s="16" t="s">
        <v>0</v>
      </c>
      <c r="I4" s="16" t="s">
        <v>1</v>
      </c>
    </row>
    <row r="5" spans="1:9" x14ac:dyDescent="0.2">
      <c r="B5" s="28"/>
      <c r="C5" s="28"/>
      <c r="F5" s="32"/>
      <c r="G5" s="32"/>
      <c r="H5" s="17"/>
      <c r="I5" s="17"/>
    </row>
    <row r="6" spans="1:9" x14ac:dyDescent="0.2">
      <c r="A6" t="s">
        <v>2</v>
      </c>
      <c r="B6" s="28">
        <v>12.562279999999999</v>
      </c>
      <c r="C6" s="29">
        <v>17.973849999999999</v>
      </c>
      <c r="D6">
        <v>8.2178000000000004</v>
      </c>
      <c r="E6">
        <v>8.5381</v>
      </c>
      <c r="F6" s="32">
        <v>3.7180300000000002</v>
      </c>
      <c r="G6" s="32">
        <v>43.94</v>
      </c>
      <c r="H6" s="17">
        <v>0.19749</v>
      </c>
      <c r="I6" s="17"/>
    </row>
    <row r="7" spans="1:9" x14ac:dyDescent="0.2">
      <c r="A7" t="s">
        <v>3</v>
      </c>
      <c r="B7" s="28">
        <v>12.88782</v>
      </c>
      <c r="C7" s="28">
        <v>12.88782</v>
      </c>
      <c r="D7">
        <v>8.0045000000000002</v>
      </c>
      <c r="E7">
        <v>7.7638999999999996</v>
      </c>
      <c r="F7" s="32">
        <v>4.5042299999999997</v>
      </c>
      <c r="G7" s="32">
        <v>42.81</v>
      </c>
      <c r="H7" s="17">
        <v>0.17052</v>
      </c>
      <c r="I7" s="17"/>
    </row>
    <row r="8" spans="1:9" x14ac:dyDescent="0.2">
      <c r="A8" t="s">
        <v>4</v>
      </c>
      <c r="B8" s="28">
        <v>16.938690000000001</v>
      </c>
      <c r="C8" s="28">
        <v>16.94276</v>
      </c>
      <c r="F8" s="32"/>
      <c r="G8" s="32"/>
      <c r="H8" s="17"/>
      <c r="I8" s="17"/>
    </row>
    <row r="9" spans="1:9" x14ac:dyDescent="0.2">
      <c r="A9" t="s">
        <v>5</v>
      </c>
      <c r="B9" s="28">
        <v>14.83067</v>
      </c>
      <c r="C9" s="28">
        <v>17.484909999999999</v>
      </c>
      <c r="F9" s="32"/>
      <c r="G9" s="32"/>
      <c r="H9" s="17"/>
      <c r="I9" s="17"/>
    </row>
    <row r="10" spans="1:9" x14ac:dyDescent="0.2">
      <c r="A10" t="s">
        <v>6</v>
      </c>
      <c r="B10" s="28">
        <v>13.652799999999999</v>
      </c>
      <c r="C10" s="28">
        <v>16.424669999999999</v>
      </c>
      <c r="F10" s="32"/>
      <c r="G10" s="32"/>
      <c r="H10" s="17"/>
      <c r="I10" s="17"/>
    </row>
    <row r="11" spans="1:9" x14ac:dyDescent="0.2">
      <c r="A11" t="s">
        <v>7</v>
      </c>
      <c r="B11" s="28"/>
      <c r="C11" s="28"/>
      <c r="D11">
        <v>7.5677199999999996</v>
      </c>
      <c r="E11">
        <v>9.9312000000000005</v>
      </c>
      <c r="F11" s="32"/>
      <c r="G11" s="32"/>
      <c r="H11" s="17"/>
      <c r="I11" s="17"/>
    </row>
    <row r="12" spans="1:9" x14ac:dyDescent="0.2">
      <c r="A12" t="s">
        <v>8</v>
      </c>
      <c r="B12" s="28"/>
      <c r="C12" s="28"/>
      <c r="D12">
        <v>7.6339399999999999</v>
      </c>
      <c r="E12">
        <v>7.7611999999999997</v>
      </c>
      <c r="F12" s="32"/>
      <c r="G12" s="32"/>
      <c r="H12" s="17"/>
      <c r="I12" s="17"/>
    </row>
    <row r="13" spans="1:9" x14ac:dyDescent="0.2">
      <c r="A13" t="s">
        <v>9</v>
      </c>
      <c r="B13" s="28"/>
      <c r="C13" s="28"/>
      <c r="F13" s="32">
        <v>4.6822999999999997</v>
      </c>
      <c r="G13" s="32">
        <v>43.82</v>
      </c>
      <c r="H13" s="17"/>
      <c r="I13" s="17"/>
    </row>
    <row r="14" spans="1:9" x14ac:dyDescent="0.2">
      <c r="A14" t="s">
        <v>11</v>
      </c>
      <c r="B14" s="28"/>
      <c r="C14" s="28"/>
      <c r="F14" s="32"/>
      <c r="G14" s="32"/>
      <c r="H14" s="17">
        <v>0.25681999999999999</v>
      </c>
      <c r="I14" s="17"/>
    </row>
    <row r="15" spans="1:9" x14ac:dyDescent="0.2">
      <c r="B15" s="28"/>
      <c r="C15" s="28"/>
      <c r="F15" s="32"/>
      <c r="G15" s="32"/>
      <c r="H15" s="17"/>
      <c r="I15" s="17"/>
    </row>
    <row r="16" spans="1:9" ht="16" x14ac:dyDescent="0.2">
      <c r="A16" s="5" t="s">
        <v>25</v>
      </c>
      <c r="B16" s="26">
        <f>AVERAGE(B6:B10)</f>
        <v>14.174451999999999</v>
      </c>
      <c r="C16" s="26">
        <f>AVERAGE(C6:C10)</f>
        <v>16.342801999999999</v>
      </c>
      <c r="D16" s="5">
        <f>AVERAGE(D6:D7,D11:D12)</f>
        <v>7.8559899999999994</v>
      </c>
      <c r="E16" s="5">
        <f>AVERAGE(E6:E7,E11:E12)</f>
        <v>8.4985999999999997</v>
      </c>
      <c r="F16" s="30">
        <f>AVERAGE(F6:F7,F13)</f>
        <v>4.30152</v>
      </c>
      <c r="G16" s="30">
        <f>AVERAGE(G6:G7,G13)</f>
        <v>43.523333333333333</v>
      </c>
      <c r="H16" s="25">
        <f>AVERAGE(H6:H7,H14)</f>
        <v>0.20827666666666667</v>
      </c>
      <c r="I16" s="17"/>
    </row>
    <row r="17" spans="1:2" ht="16" x14ac:dyDescent="0.2">
      <c r="A17" s="19" t="s">
        <v>237</v>
      </c>
      <c r="B17">
        <f>'lacroix_ncc_SupplementTablesS1-'!B17/'Supplement Table 2'!B16</f>
        <v>4.7047086311814146E-2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EE67-E723-448E-9F59-10F03A36C5E4}">
  <dimension ref="A1:Z11"/>
  <sheetViews>
    <sheetView workbookViewId="0">
      <selection activeCell="O8" sqref="O8"/>
    </sheetView>
  </sheetViews>
  <sheetFormatPr baseColWidth="10" defaultColWidth="8.83203125" defaultRowHeight="15" x14ac:dyDescent="0.2"/>
  <cols>
    <col min="1" max="1" width="23.6640625" customWidth="1"/>
    <col min="2" max="2" width="14.6640625" customWidth="1"/>
    <col min="3" max="3" width="17.6640625" customWidth="1"/>
    <col min="4" max="4" width="11.83203125" customWidth="1"/>
    <col min="5" max="5" width="26.83203125" customWidth="1"/>
    <col min="6" max="6" width="34.83203125" customWidth="1"/>
    <col min="7" max="7" width="17.1640625" customWidth="1"/>
    <col min="8" max="8" width="14.1640625" customWidth="1"/>
    <col min="9" max="9" width="25.5" customWidth="1"/>
    <col min="10" max="10" width="19.1640625" customWidth="1"/>
    <col min="11" max="11" width="25.6640625" customWidth="1"/>
    <col min="12" max="12" width="20" customWidth="1"/>
    <col min="13" max="13" width="14.1640625" customWidth="1"/>
    <col min="14" max="14" width="18.6640625" customWidth="1"/>
    <col min="15" max="15" width="25.83203125" customWidth="1"/>
    <col min="16" max="16" width="36.83203125" customWidth="1"/>
    <col min="17" max="17" width="17.5" customWidth="1"/>
    <col min="18" max="18" width="12.83203125" customWidth="1"/>
    <col min="19" max="19" width="14.83203125" customWidth="1"/>
    <col min="20" max="20" width="26.5" customWidth="1"/>
    <col min="21" max="21" width="12.33203125" bestFit="1" customWidth="1"/>
  </cols>
  <sheetData>
    <row r="1" spans="1:26" ht="19" x14ac:dyDescent="0.25">
      <c r="A1" s="3" t="s">
        <v>223</v>
      </c>
    </row>
    <row r="3" spans="1:26" ht="19" x14ac:dyDescent="0.25">
      <c r="B3" s="11"/>
      <c r="C3" s="11"/>
      <c r="D3" s="34" t="s">
        <v>20</v>
      </c>
      <c r="E3" s="11"/>
      <c r="F3" s="11"/>
      <c r="I3" s="3" t="s">
        <v>21</v>
      </c>
      <c r="L3" s="32"/>
      <c r="M3" s="32"/>
      <c r="N3" s="36" t="s">
        <v>22</v>
      </c>
      <c r="O3" s="32"/>
      <c r="P3" s="32"/>
      <c r="Q3" s="17"/>
      <c r="R3" s="17"/>
      <c r="S3" s="38" t="s">
        <v>217</v>
      </c>
      <c r="T3" s="17"/>
      <c r="U3" s="17"/>
    </row>
    <row r="4" spans="1:26" ht="16" x14ac:dyDescent="0.2">
      <c r="A4" s="19" t="s">
        <v>28</v>
      </c>
      <c r="B4" s="10" t="s">
        <v>18</v>
      </c>
      <c r="C4" s="10" t="s">
        <v>15</v>
      </c>
      <c r="D4" s="10" t="s">
        <v>96</v>
      </c>
      <c r="E4" s="10" t="s">
        <v>100</v>
      </c>
      <c r="F4" s="10" t="s">
        <v>99</v>
      </c>
      <c r="G4" s="1" t="s">
        <v>18</v>
      </c>
      <c r="H4" s="1" t="s">
        <v>15</v>
      </c>
      <c r="I4" s="1" t="s">
        <v>96</v>
      </c>
      <c r="J4" s="1" t="s">
        <v>98</v>
      </c>
      <c r="K4" s="1" t="s">
        <v>99</v>
      </c>
      <c r="L4" s="31" t="s">
        <v>18</v>
      </c>
      <c r="M4" s="31" t="s">
        <v>15</v>
      </c>
      <c r="N4" s="31" t="s">
        <v>96</v>
      </c>
      <c r="O4" s="31" t="s">
        <v>98</v>
      </c>
      <c r="P4" s="31" t="s">
        <v>99</v>
      </c>
      <c r="Q4" s="16" t="s">
        <v>18</v>
      </c>
      <c r="R4" s="16" t="s">
        <v>15</v>
      </c>
      <c r="S4" s="16" t="s">
        <v>96</v>
      </c>
      <c r="T4" s="16" t="s">
        <v>98</v>
      </c>
      <c r="U4" s="16" t="s">
        <v>99</v>
      </c>
    </row>
    <row r="5" spans="1:26" x14ac:dyDescent="0.2">
      <c r="A5" t="s">
        <v>19</v>
      </c>
      <c r="B5" s="11">
        <v>0</v>
      </c>
      <c r="C5" s="11">
        <v>0</v>
      </c>
      <c r="D5" s="11">
        <v>0</v>
      </c>
      <c r="E5" s="11">
        <v>0</v>
      </c>
      <c r="F5" s="11"/>
      <c r="G5">
        <v>1.4689000000000001</v>
      </c>
      <c r="H5">
        <f>-G6/G5*H7+H7</f>
        <v>1.4875577166587242</v>
      </c>
      <c r="I5">
        <f>AVERAGE(G5,H5)</f>
        <v>1.4782288583293621</v>
      </c>
      <c r="J5">
        <f>ABS(I5)/$I$11</f>
        <v>0.90259312674476344</v>
      </c>
      <c r="K5">
        <f>1.2748*J5</f>
        <v>1.1506257179742243</v>
      </c>
      <c r="L5" s="32">
        <v>0</v>
      </c>
      <c r="M5" s="32">
        <v>0</v>
      </c>
      <c r="N5" s="32">
        <f>AVERAGE(L5,M5)</f>
        <v>0</v>
      </c>
      <c r="O5" s="32">
        <f>ABS(N5)/$N$11</f>
        <v>0</v>
      </c>
      <c r="P5" s="32">
        <f>O5*0.4782</f>
        <v>0</v>
      </c>
      <c r="Q5" s="17">
        <v>5.9999999999999995E-4</v>
      </c>
      <c r="R5" s="17">
        <v>0</v>
      </c>
      <c r="S5" s="17">
        <f>AVERAGE(Q5,R5)</f>
        <v>2.9999999999999997E-4</v>
      </c>
      <c r="T5" s="17">
        <f>ABS(S5)/$S$11</f>
        <v>4.6805523051720093E-3</v>
      </c>
      <c r="U5" s="17">
        <f>T5*-0.0953</f>
        <v>-4.4605663468289246E-4</v>
      </c>
    </row>
    <row r="6" spans="1:26" x14ac:dyDescent="0.2">
      <c r="A6" t="s">
        <v>24</v>
      </c>
      <c r="B6" s="11">
        <f>B7-B5</f>
        <v>0.68130000000000002</v>
      </c>
      <c r="C6" s="11">
        <f>C7-C5</f>
        <v>0.7752</v>
      </c>
      <c r="D6" s="11">
        <f t="shared" ref="D6:D11" si="0">AVERAGE(B6,C6)</f>
        <v>0.72825000000000006</v>
      </c>
      <c r="E6" s="11">
        <f>D6/$D$11</f>
        <v>1</v>
      </c>
      <c r="F6" s="11">
        <f>E6*0.65664</f>
        <v>0.65664</v>
      </c>
      <c r="G6">
        <f>G7-G5</f>
        <v>-0.16005000000000003</v>
      </c>
      <c r="H6">
        <f>H7-H5</f>
        <v>-0.14615771665872423</v>
      </c>
      <c r="I6">
        <f t="shared" ref="I6:I11" si="1">AVERAGE(G6,H6)</f>
        <v>-0.15310385832936213</v>
      </c>
      <c r="J6">
        <f>ABS(I6)/$I$11</f>
        <v>9.3483826558739949E-2</v>
      </c>
      <c r="K6">
        <f t="shared" ref="K6:K11" si="2">1.2748*J6</f>
        <v>0.11917318209708168</v>
      </c>
      <c r="L6" s="32">
        <f>L7-L5</f>
        <v>0.13159999999999999</v>
      </c>
      <c r="M6" s="32">
        <f>M7-M5</f>
        <v>0.22559999999999999</v>
      </c>
      <c r="N6" s="32">
        <f t="shared" ref="N6:N11" si="3">AVERAGE(L6,M6)</f>
        <v>0.17859999999999998</v>
      </c>
      <c r="O6" s="32">
        <f>ABS(N6)/$N$11</f>
        <v>0.43707555827470168</v>
      </c>
      <c r="P6" s="32">
        <f>O6*0.4782</f>
        <v>0.20900953196696234</v>
      </c>
      <c r="Q6" s="17">
        <f>Q7-Q5</f>
        <v>-4.4660000000000005E-2</v>
      </c>
      <c r="R6" s="17">
        <f>R7-R5</f>
        <v>-7.5600000000000001E-2</v>
      </c>
      <c r="S6" s="17">
        <f t="shared" ref="S6:S11" si="4">AVERAGE(Q6,R6)</f>
        <v>-6.0130000000000003E-2</v>
      </c>
      <c r="T6" s="17">
        <f>ABS(S6)/$S$11</f>
        <v>0.93813870036664315</v>
      </c>
      <c r="U6" s="17">
        <f t="shared" ref="U6:U11" si="5">T6*-0.0953</f>
        <v>-8.9404618144941092E-2</v>
      </c>
    </row>
    <row r="7" spans="1:26" x14ac:dyDescent="0.2">
      <c r="A7" t="s">
        <v>17</v>
      </c>
      <c r="B7" s="11">
        <v>0.68130000000000002</v>
      </c>
      <c r="C7" s="11">
        <v>0.7752</v>
      </c>
      <c r="D7" s="11">
        <f t="shared" si="0"/>
        <v>0.72825000000000006</v>
      </c>
      <c r="E7" s="11"/>
      <c r="F7" s="11"/>
      <c r="G7">
        <v>1.3088500000000001</v>
      </c>
      <c r="H7">
        <f>1.3414</f>
        <v>1.3413999999999999</v>
      </c>
      <c r="I7">
        <f t="shared" si="1"/>
        <v>1.3251249999999999</v>
      </c>
      <c r="L7" s="32">
        <f>0.1316</f>
        <v>0.13159999999999999</v>
      </c>
      <c r="M7" s="32">
        <v>0.22559999999999999</v>
      </c>
      <c r="N7" s="32">
        <f t="shared" si="3"/>
        <v>0.17859999999999998</v>
      </c>
      <c r="O7" s="32"/>
      <c r="P7" s="32"/>
      <c r="Q7" s="17">
        <v>-4.4060000000000002E-2</v>
      </c>
      <c r="R7" s="17">
        <f>-0.0756</f>
        <v>-7.5600000000000001E-2</v>
      </c>
      <c r="S7" s="17">
        <f t="shared" si="4"/>
        <v>-5.9830000000000001E-2</v>
      </c>
      <c r="T7" s="17"/>
      <c r="U7" s="17"/>
    </row>
    <row r="8" spans="1:26" x14ac:dyDescent="0.2">
      <c r="A8" t="s">
        <v>23</v>
      </c>
      <c r="B8" s="11">
        <f t="shared" ref="B8:C8" si="6">B9-B7</f>
        <v>0</v>
      </c>
      <c r="C8" s="11">
        <f t="shared" si="6"/>
        <v>0</v>
      </c>
      <c r="D8" s="11">
        <f t="shared" si="0"/>
        <v>0</v>
      </c>
      <c r="E8" s="11">
        <f>D8/$D$11</f>
        <v>0</v>
      </c>
      <c r="F8" s="11">
        <f>E8*0.65664</f>
        <v>0</v>
      </c>
      <c r="G8">
        <f>G9-G7</f>
        <v>1.244999999999985E-2</v>
      </c>
      <c r="H8">
        <f>H9-H7</f>
        <v>-3.9999999999995595E-4</v>
      </c>
      <c r="I8">
        <f t="shared" si="1"/>
        <v>6.0249999999999471E-3</v>
      </c>
      <c r="J8">
        <f>ABS(I8)/$I$11</f>
        <v>3.6788103262867643E-3</v>
      </c>
      <c r="K8">
        <f t="shared" si="2"/>
        <v>4.6897474039503673E-3</v>
      </c>
      <c r="L8" s="32">
        <f>L9-L7</f>
        <v>0.22010000000000002</v>
      </c>
      <c r="M8" s="32">
        <f>M9-M7</f>
        <v>0.23995000000000002</v>
      </c>
      <c r="N8" s="32">
        <f t="shared" si="3"/>
        <v>0.23002500000000003</v>
      </c>
      <c r="O8" s="32">
        <f>ABS(N8)/$N$11</f>
        <v>0.56292444172529832</v>
      </c>
      <c r="P8" s="32">
        <f>O8*0.4782</f>
        <v>0.26919046803303764</v>
      </c>
      <c r="Q8" s="17">
        <f>Q9-Q7</f>
        <v>5.2600000000000008E-3</v>
      </c>
      <c r="R8" s="17">
        <f>R9-R7</f>
        <v>-2.0700000000000024E-3</v>
      </c>
      <c r="S8" s="17">
        <f t="shared" si="4"/>
        <v>1.5949999999999992E-3</v>
      </c>
      <c r="T8" s="17">
        <f>ABS(S8)/$S$11</f>
        <v>2.4884936422497839E-2</v>
      </c>
      <c r="U8" s="17">
        <f t="shared" si="5"/>
        <v>-2.371534441064044E-3</v>
      </c>
    </row>
    <row r="9" spans="1:26" x14ac:dyDescent="0.2">
      <c r="A9" t="s">
        <v>16</v>
      </c>
      <c r="B9" s="11">
        <v>0.68130000000000002</v>
      </c>
      <c r="C9" s="11">
        <v>0.7752</v>
      </c>
      <c r="D9" s="11">
        <f t="shared" si="0"/>
        <v>0.72825000000000006</v>
      </c>
      <c r="E9" s="11"/>
      <c r="F9" s="11"/>
      <c r="G9">
        <v>1.3212999999999999</v>
      </c>
      <c r="H9">
        <f>1.341</f>
        <v>1.341</v>
      </c>
      <c r="I9">
        <f t="shared" si="1"/>
        <v>1.3311500000000001</v>
      </c>
      <c r="L9" s="32">
        <f>0.3517</f>
        <v>0.35170000000000001</v>
      </c>
      <c r="M9" s="32">
        <v>0.46555000000000002</v>
      </c>
      <c r="N9" s="32">
        <f t="shared" si="3"/>
        <v>0.40862500000000002</v>
      </c>
      <c r="O9" s="32"/>
      <c r="P9" s="32"/>
      <c r="Q9" s="17">
        <f>-0.0388</f>
        <v>-3.8800000000000001E-2</v>
      </c>
      <c r="R9" s="17">
        <v>-7.7670000000000003E-2</v>
      </c>
      <c r="S9" s="17">
        <f t="shared" si="4"/>
        <v>-5.8235000000000002E-2</v>
      </c>
      <c r="T9" s="17"/>
      <c r="U9" s="17"/>
    </row>
    <row r="10" spans="1:26" ht="16" x14ac:dyDescent="0.2">
      <c r="B10" s="11"/>
      <c r="C10" s="11"/>
      <c r="D10" s="11"/>
      <c r="E10" s="11">
        <f>D10/$D$11</f>
        <v>0</v>
      </c>
      <c r="F10" s="11">
        <f>E10*0.65664</f>
        <v>0</v>
      </c>
      <c r="L10" s="32"/>
      <c r="M10" s="32"/>
      <c r="N10" s="32"/>
      <c r="O10" s="32">
        <f>ABS(N10)/$N$11</f>
        <v>0</v>
      </c>
      <c r="P10" s="32">
        <f>O10*0.65664</f>
        <v>0</v>
      </c>
      <c r="Q10" s="17"/>
      <c r="R10" s="17"/>
      <c r="S10" s="17"/>
      <c r="T10" s="17"/>
      <c r="U10" s="17"/>
      <c r="W10" s="33"/>
      <c r="X10" s="33"/>
      <c r="Y10" s="33"/>
      <c r="Z10" s="33"/>
    </row>
    <row r="11" spans="1:26" ht="16" x14ac:dyDescent="0.2">
      <c r="A11" s="33" t="s">
        <v>27</v>
      </c>
      <c r="B11" s="35">
        <f>B9</f>
        <v>0.68130000000000002</v>
      </c>
      <c r="C11" s="35">
        <f>C9</f>
        <v>0.7752</v>
      </c>
      <c r="D11" s="35">
        <f t="shared" si="0"/>
        <v>0.72825000000000006</v>
      </c>
      <c r="E11" s="35">
        <f>D11/$D$11</f>
        <v>1</v>
      </c>
      <c r="F11" s="35">
        <f>0.65664*E11</f>
        <v>0.65664</v>
      </c>
      <c r="G11" s="33">
        <f>ABS(G5)+ABS(G6)+ABS(G8)</f>
        <v>1.6414</v>
      </c>
      <c r="H11" s="33">
        <f t="shared" ref="H11" si="7">ABS(H5)+ABS(H6)+ABS(H8)</f>
        <v>1.6341154333174484</v>
      </c>
      <c r="I11" s="33">
        <f t="shared" si="1"/>
        <v>1.637757716658724</v>
      </c>
      <c r="J11" s="33">
        <f>ABS(I11)/$I$11</f>
        <v>1</v>
      </c>
      <c r="K11" s="33">
        <f t="shared" si="2"/>
        <v>1.2747999999999999</v>
      </c>
      <c r="L11" s="37">
        <f>ABS(L5)+ABS(L6)+ABS(L8)</f>
        <v>0.35170000000000001</v>
      </c>
      <c r="M11" s="37">
        <f>ABS(M5)+ABS(M6)+ABS(M8)</f>
        <v>0.46555000000000002</v>
      </c>
      <c r="N11" s="37">
        <f t="shared" si="3"/>
        <v>0.40862500000000002</v>
      </c>
      <c r="O11" s="37">
        <f>ABS(N11)/$N$11</f>
        <v>1</v>
      </c>
      <c r="P11" s="37">
        <f>0.4782*O11</f>
        <v>0.47820000000000001</v>
      </c>
      <c r="Q11" s="39">
        <f>ABS(Q5)+ABS(Q6)+ABS(Q8)</f>
        <v>5.0520000000000009E-2</v>
      </c>
      <c r="R11" s="39">
        <f>ABS(R5)+ABS(R6)+ABS(R8)</f>
        <v>7.7670000000000003E-2</v>
      </c>
      <c r="S11" s="39">
        <f t="shared" si="4"/>
        <v>6.4095000000000013E-2</v>
      </c>
      <c r="T11" s="39">
        <f>ABS(S11)/$S$11</f>
        <v>1</v>
      </c>
      <c r="U11" s="39">
        <f t="shared" si="5"/>
        <v>-9.5299999999999996E-2</v>
      </c>
      <c r="V11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1A5D-6937-4E37-B3A5-BB2F5D613C2F}">
  <dimension ref="A1:S16"/>
  <sheetViews>
    <sheetView workbookViewId="0">
      <selection activeCell="F29" sqref="F29"/>
    </sheetView>
  </sheetViews>
  <sheetFormatPr baseColWidth="10" defaultColWidth="8.83203125" defaultRowHeight="15" x14ac:dyDescent="0.2"/>
  <cols>
    <col min="1" max="1" width="25.33203125" customWidth="1"/>
    <col min="2" max="2" width="18.6640625" customWidth="1"/>
    <col min="3" max="3" width="18.1640625" customWidth="1"/>
    <col min="4" max="4" width="14.1640625" customWidth="1"/>
    <col min="5" max="5" width="22.6640625" customWidth="1"/>
    <col min="6" max="6" width="18.1640625" customWidth="1"/>
    <col min="7" max="7" width="20.5" customWidth="1"/>
    <col min="8" max="8" width="21.83203125" customWidth="1"/>
    <col min="9" max="9" width="26.33203125" customWidth="1"/>
    <col min="10" max="10" width="26.6640625" customWidth="1"/>
    <col min="11" max="11" width="12.33203125" customWidth="1"/>
    <col min="13" max="13" width="26.33203125" customWidth="1"/>
    <col min="14" max="14" width="26.83203125" customWidth="1"/>
  </cols>
  <sheetData>
    <row r="1" spans="1:19" ht="19" x14ac:dyDescent="0.25">
      <c r="A1" s="3" t="s">
        <v>230</v>
      </c>
    </row>
    <row r="3" spans="1:19" ht="19" x14ac:dyDescent="0.25">
      <c r="B3" s="40" t="s">
        <v>29</v>
      </c>
      <c r="C3" s="40"/>
      <c r="D3" s="40"/>
      <c r="F3" s="21" t="s">
        <v>30</v>
      </c>
      <c r="G3" s="21"/>
      <c r="H3" s="21"/>
      <c r="I3" s="21"/>
      <c r="K3" s="43" t="s">
        <v>31</v>
      </c>
      <c r="L3" s="43"/>
      <c r="M3" s="43"/>
      <c r="N3" s="43"/>
      <c r="P3" s="46" t="s">
        <v>32</v>
      </c>
      <c r="Q3" s="46"/>
      <c r="R3" s="17"/>
      <c r="S3" s="17"/>
    </row>
    <row r="4" spans="1:19" ht="17" x14ac:dyDescent="0.2">
      <c r="A4" s="18" t="s">
        <v>224</v>
      </c>
      <c r="B4" s="10" t="s">
        <v>101</v>
      </c>
      <c r="C4" s="10" t="s">
        <v>208</v>
      </c>
      <c r="D4" s="10" t="s">
        <v>209</v>
      </c>
      <c r="F4" s="18" t="s">
        <v>224</v>
      </c>
      <c r="G4" s="1" t="s">
        <v>102</v>
      </c>
      <c r="H4" s="1" t="s">
        <v>208</v>
      </c>
      <c r="I4" s="1" t="s">
        <v>209</v>
      </c>
      <c r="K4" s="50" t="s">
        <v>224</v>
      </c>
      <c r="L4" s="31" t="s">
        <v>232</v>
      </c>
      <c r="M4" s="31" t="s">
        <v>208</v>
      </c>
      <c r="N4" s="31" t="s">
        <v>209</v>
      </c>
      <c r="P4" s="51" t="s">
        <v>224</v>
      </c>
      <c r="Q4" s="16" t="s">
        <v>103</v>
      </c>
      <c r="R4" s="16" t="s">
        <v>208</v>
      </c>
      <c r="S4" s="16" t="s">
        <v>209</v>
      </c>
    </row>
    <row r="5" spans="1:19" ht="16" x14ac:dyDescent="0.25">
      <c r="A5" t="s">
        <v>205</v>
      </c>
      <c r="B5" s="41">
        <v>8.5199999999999998E-3</v>
      </c>
      <c r="C5" s="41">
        <v>0.98899999999999999</v>
      </c>
      <c r="D5" s="52">
        <v>1.1E-45</v>
      </c>
      <c r="F5" t="s">
        <v>211</v>
      </c>
      <c r="G5" s="4">
        <v>1.6847999999999998E-2</v>
      </c>
      <c r="H5">
        <v>0.995</v>
      </c>
      <c r="I5" s="2">
        <v>3.8800000000000001E-97</v>
      </c>
      <c r="K5" s="32" t="s">
        <v>9</v>
      </c>
      <c r="L5" s="44">
        <v>2.2519999999999998</v>
      </c>
      <c r="M5" s="32">
        <v>0.97699999999999998</v>
      </c>
      <c r="N5" s="32"/>
      <c r="P5" s="17" t="s">
        <v>227</v>
      </c>
      <c r="Q5" s="47">
        <v>-1.41E-3</v>
      </c>
      <c r="R5" s="17">
        <v>0.94</v>
      </c>
      <c r="S5" s="48">
        <v>5.3799999999999997E-26</v>
      </c>
    </row>
    <row r="6" spans="1:19" ht="17" x14ac:dyDescent="0.25">
      <c r="A6" s="9" t="s">
        <v>4</v>
      </c>
      <c r="B6" s="41">
        <v>7.0110704121094797E-3</v>
      </c>
      <c r="C6" s="11">
        <v>0.98299999999999998</v>
      </c>
      <c r="D6" s="42">
        <v>1.1E-40</v>
      </c>
      <c r="F6" t="s">
        <v>212</v>
      </c>
      <c r="G6" s="4">
        <v>1.4433700000000001E-2</v>
      </c>
      <c r="H6">
        <v>0.99</v>
      </c>
      <c r="I6" s="2">
        <v>2.3300000000000001E-86</v>
      </c>
      <c r="K6" s="32"/>
      <c r="L6" s="44"/>
      <c r="M6" s="32"/>
      <c r="N6" s="32"/>
      <c r="P6" s="17" t="s">
        <v>213</v>
      </c>
      <c r="Q6" s="47">
        <v>-3.2100000000000002E-3</v>
      </c>
      <c r="R6" s="17">
        <v>0.98799999999999999</v>
      </c>
      <c r="S6" s="48">
        <v>1.85E-40</v>
      </c>
    </row>
    <row r="7" spans="1:19" ht="16" x14ac:dyDescent="0.25">
      <c r="A7" t="s">
        <v>5</v>
      </c>
      <c r="B7" s="41">
        <v>8.1167907605367608E-3</v>
      </c>
      <c r="C7" s="11">
        <v>0.995</v>
      </c>
      <c r="D7" s="42">
        <v>7.9800000000000005E-52</v>
      </c>
      <c r="K7" s="32"/>
      <c r="L7" s="32"/>
      <c r="M7" s="32"/>
      <c r="N7" s="32"/>
      <c r="P7" s="17"/>
      <c r="Q7" s="17"/>
      <c r="R7" s="17"/>
      <c r="S7" s="17"/>
    </row>
    <row r="8" spans="1:19" ht="16" x14ac:dyDescent="0.2">
      <c r="A8" t="s">
        <v>210</v>
      </c>
      <c r="B8" s="11">
        <v>7.0977843562294498E-3</v>
      </c>
      <c r="C8" s="11">
        <v>0.99199999999999999</v>
      </c>
      <c r="D8" s="42">
        <v>2.5699999999999998E-47</v>
      </c>
      <c r="G8" s="5">
        <f>AVERAGE(G5:G6)</f>
        <v>1.5640849999999998E-2</v>
      </c>
      <c r="K8" s="32"/>
      <c r="L8" s="30">
        <f>AVERAGE(L5)</f>
        <v>2.2519999999999998</v>
      </c>
      <c r="M8" s="32"/>
      <c r="N8" s="32"/>
      <c r="P8" s="17"/>
      <c r="Q8" s="25">
        <f>AVERAGE(Q5:Q6)</f>
        <v>-2.31E-3</v>
      </c>
      <c r="R8" s="17"/>
      <c r="S8" s="17"/>
    </row>
    <row r="9" spans="1:19" ht="16" x14ac:dyDescent="0.2">
      <c r="A9" s="5" t="s">
        <v>104</v>
      </c>
      <c r="B9" s="22">
        <f>AVERAGE(B5:B8)</f>
        <v>7.6864113822189221E-3</v>
      </c>
      <c r="C9" s="11"/>
      <c r="D9" s="11"/>
      <c r="K9" s="32"/>
      <c r="L9" s="32"/>
      <c r="M9" s="32"/>
      <c r="N9" s="32"/>
      <c r="P9" s="17"/>
      <c r="Q9" s="17"/>
      <c r="R9" s="17"/>
      <c r="S9" s="17"/>
    </row>
    <row r="10" spans="1:19" ht="17" x14ac:dyDescent="0.2">
      <c r="A10" s="18" t="s">
        <v>225</v>
      </c>
      <c r="B10" s="11"/>
      <c r="C10" s="11"/>
      <c r="D10" s="11"/>
      <c r="F10" s="18" t="s">
        <v>225</v>
      </c>
      <c r="G10">
        <v>1.6369214372476199E-2</v>
      </c>
      <c r="H10">
        <v>0.99299999999999999</v>
      </c>
      <c r="I10" s="2">
        <v>3.0500000000000002E-75</v>
      </c>
      <c r="K10" s="50" t="s">
        <v>225</v>
      </c>
      <c r="L10" s="32">
        <v>1.66</v>
      </c>
      <c r="M10" s="32">
        <v>0.99199999999999999</v>
      </c>
      <c r="N10" s="45">
        <v>3.0400000000000001E-75</v>
      </c>
      <c r="P10" s="51" t="s">
        <v>225</v>
      </c>
      <c r="Q10" s="17">
        <v>-3.8999999999999999E-4</v>
      </c>
      <c r="R10" s="17">
        <v>0.755</v>
      </c>
      <c r="S10" s="48">
        <v>6.4699999999999997E-12</v>
      </c>
    </row>
    <row r="11" spans="1:19" x14ac:dyDescent="0.2">
      <c r="A11" t="s">
        <v>215</v>
      </c>
      <c r="B11" s="11">
        <v>8.1601535454905502E-3</v>
      </c>
      <c r="C11" s="11">
        <v>0.98</v>
      </c>
      <c r="D11" s="42">
        <v>9.9E-8</v>
      </c>
      <c r="F11" t="s">
        <v>215</v>
      </c>
      <c r="G11">
        <v>1.7044010169573499E-2</v>
      </c>
      <c r="H11">
        <v>0.995</v>
      </c>
      <c r="I11" s="2">
        <v>1.95E-79</v>
      </c>
      <c r="K11" s="32" t="s">
        <v>215</v>
      </c>
      <c r="L11" s="32">
        <v>2.06</v>
      </c>
      <c r="M11" s="32">
        <v>0.98499999999999999</v>
      </c>
      <c r="N11" s="45">
        <v>1.95E-79</v>
      </c>
      <c r="P11" s="17" t="s">
        <v>215</v>
      </c>
      <c r="Q11" s="17">
        <v>-1.021E-3</v>
      </c>
      <c r="R11" s="17">
        <v>0.89200000000000002</v>
      </c>
      <c r="S11" s="48">
        <v>5.6189999999999999E-18</v>
      </c>
    </row>
    <row r="12" spans="1:19" ht="16" x14ac:dyDescent="0.2">
      <c r="A12" t="s">
        <v>216</v>
      </c>
      <c r="B12" s="11">
        <v>9.4868827812556403E-3</v>
      </c>
      <c r="C12" s="11">
        <v>0.98299999999999998</v>
      </c>
      <c r="D12" s="42">
        <v>1.59E-31</v>
      </c>
      <c r="F12" t="s">
        <v>216</v>
      </c>
      <c r="G12" s="5">
        <f>AVERAGE(G10:G11)</f>
        <v>1.6706612271024851E-2</v>
      </c>
      <c r="K12" s="32" t="s">
        <v>216</v>
      </c>
      <c r="L12" s="30">
        <f>AVERAGE(L10:L11)</f>
        <v>1.8599999999999999</v>
      </c>
      <c r="M12" s="32"/>
      <c r="N12" s="32"/>
      <c r="P12" s="17" t="s">
        <v>216</v>
      </c>
      <c r="Q12" s="25">
        <f>AVERAGE(Q10:Q11)</f>
        <v>-7.0549999999999996E-4</v>
      </c>
      <c r="R12" s="17"/>
      <c r="S12" s="17"/>
    </row>
    <row r="13" spans="1:19" ht="16" x14ac:dyDescent="0.2">
      <c r="A13" s="5" t="s">
        <v>226</v>
      </c>
      <c r="B13" s="22">
        <f>AVERAGE(B11:B12)</f>
        <v>8.8235181633730952E-3</v>
      </c>
      <c r="C13" s="11"/>
      <c r="D13" s="11"/>
      <c r="F13" s="5" t="s">
        <v>226</v>
      </c>
      <c r="G13" s="5">
        <f>MEDIAN(G5:G6,G10:G11)</f>
        <v>1.6608607186238099E-2</v>
      </c>
      <c r="K13" s="30" t="s">
        <v>226</v>
      </c>
      <c r="L13" s="30">
        <f>MEDIAN(L5:L6,L10:L11)</f>
        <v>2.06</v>
      </c>
      <c r="M13" s="32"/>
      <c r="N13" s="32"/>
      <c r="P13" s="25" t="s">
        <v>226</v>
      </c>
      <c r="Q13" s="25">
        <f>MEDIAN(Q5:Q6,Q10:Q11)</f>
        <v>-1.2155E-3</v>
      </c>
      <c r="R13" s="17"/>
      <c r="S13" s="17"/>
    </row>
    <row r="14" spans="1:19" ht="16" x14ac:dyDescent="0.2">
      <c r="A14" s="5" t="s">
        <v>105</v>
      </c>
      <c r="B14" s="22">
        <f>MEDIAN(B6:B8,B11:B12)</f>
        <v>8.1167907605367608E-3</v>
      </c>
      <c r="C14" s="11"/>
      <c r="D14" s="11"/>
      <c r="F14" s="5" t="s">
        <v>105</v>
      </c>
      <c r="G14" s="5">
        <f>AVERAGE(G6:G7,G11:G12)</f>
        <v>1.6061440813532783E-2</v>
      </c>
      <c r="K14" s="30" t="s">
        <v>105</v>
      </c>
      <c r="L14" s="30">
        <f>AVERAGE(L6:L7,L11:L12)</f>
        <v>1.96</v>
      </c>
      <c r="M14" s="32"/>
      <c r="N14" s="32"/>
      <c r="P14" s="25" t="s">
        <v>105</v>
      </c>
      <c r="Q14" s="25">
        <f>AVERAGE(Q5:Q6,Q10:Q11)</f>
        <v>-1.50775E-3</v>
      </c>
      <c r="R14" s="17"/>
      <c r="S14" s="17"/>
    </row>
    <row r="15" spans="1:19" ht="16" x14ac:dyDescent="0.2">
      <c r="A15" s="5" t="s">
        <v>106</v>
      </c>
      <c r="B15" s="22">
        <f>AVERAGE(B7:B9,B12:B13)</f>
        <v>8.2422774887227733E-3</v>
      </c>
      <c r="C15" s="11"/>
      <c r="D15" s="11"/>
      <c r="F15" s="5" t="s">
        <v>106</v>
      </c>
      <c r="G15" s="5">
        <f>STDEV(G5:G6,G10:G11)</f>
        <v>1.1941449028810155E-3</v>
      </c>
      <c r="K15" s="30" t="s">
        <v>106</v>
      </c>
      <c r="L15" s="30">
        <f>STDEV(L5:L6,L10:L11)</f>
        <v>0.30202869620837913</v>
      </c>
      <c r="M15" s="32"/>
      <c r="N15" s="32"/>
      <c r="P15" s="25" t="s">
        <v>106</v>
      </c>
      <c r="Q15" s="25">
        <f>STDEV(Q5:Q6,Q10:Q11)</f>
        <v>1.2101653812599336E-3</v>
      </c>
      <c r="R15" s="17"/>
      <c r="S15" s="17"/>
    </row>
    <row r="16" spans="1:19" ht="16" x14ac:dyDescent="0.2">
      <c r="A16" s="5" t="s">
        <v>107</v>
      </c>
      <c r="B16" s="22">
        <f>STDEV(B6:B8,B11:B12)</f>
        <v>1.0048435774744372E-3</v>
      </c>
      <c r="C16" s="11"/>
      <c r="D16" s="11"/>
      <c r="F16" s="5" t="s">
        <v>107</v>
      </c>
      <c r="K16" s="30" t="s">
        <v>107</v>
      </c>
      <c r="L16" s="32"/>
      <c r="M16" s="32"/>
      <c r="N16" s="32"/>
      <c r="P16" s="25" t="s">
        <v>107</v>
      </c>
      <c r="Q16" s="17"/>
      <c r="R16" s="17"/>
      <c r="S16" s="17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9663-E4B6-CF45-A3AB-79BBD1CBFBE3}">
  <dimension ref="A1:F59"/>
  <sheetViews>
    <sheetView workbookViewId="0">
      <selection activeCell="C25" sqref="C25"/>
    </sheetView>
  </sheetViews>
  <sheetFormatPr baseColWidth="10" defaultRowHeight="15" x14ac:dyDescent="0.2"/>
  <cols>
    <col min="1" max="1" width="47.33203125" customWidth="1"/>
    <col min="2" max="2" width="22.5" customWidth="1"/>
    <col min="3" max="3" width="41.5" customWidth="1"/>
    <col min="4" max="4" width="37.6640625" customWidth="1"/>
    <col min="5" max="5" width="23" customWidth="1"/>
  </cols>
  <sheetData>
    <row r="1" spans="1:6" ht="16" x14ac:dyDescent="0.2">
      <c r="A1" s="49" t="s">
        <v>228</v>
      </c>
      <c r="C1" s="1"/>
      <c r="D1" s="1"/>
      <c r="E1" s="1"/>
    </row>
    <row r="3" spans="1:6" x14ac:dyDescent="0.2">
      <c r="A3" s="1"/>
      <c r="B3" s="53" t="s">
        <v>214</v>
      </c>
      <c r="C3" s="1" t="s">
        <v>152</v>
      </c>
      <c r="D3" s="1" t="s">
        <v>236</v>
      </c>
      <c r="E3" s="1" t="s">
        <v>153</v>
      </c>
      <c r="F3" s="1" t="s">
        <v>160</v>
      </c>
    </row>
    <row r="4" spans="1:6" x14ac:dyDescent="0.2">
      <c r="A4" t="s">
        <v>121</v>
      </c>
      <c r="B4">
        <f>0.22*4.2</f>
        <v>0.92400000000000004</v>
      </c>
      <c r="C4">
        <f>0.03*4.2</f>
        <v>0.126</v>
      </c>
      <c r="D4">
        <v>461</v>
      </c>
      <c r="E4" t="s">
        <v>155</v>
      </c>
      <c r="F4" s="7" t="s">
        <v>154</v>
      </c>
    </row>
    <row r="5" spans="1:6" x14ac:dyDescent="0.2">
      <c r="A5" s="54" t="s">
        <v>122</v>
      </c>
      <c r="B5" s="54">
        <f>AVERAGE(0.09,0.19,0.19,0.18,0.29,0.44,0.35)*4.2</f>
        <v>1.038</v>
      </c>
      <c r="C5">
        <f>_xlfn.STDEV.P(0.09,0.19,0.19,0.18,0.29,0.44,0.35)</f>
        <v>0.11041665062251191</v>
      </c>
      <c r="D5">
        <v>1727</v>
      </c>
      <c r="E5" t="s">
        <v>156</v>
      </c>
      <c r="F5" s="7" t="s">
        <v>123</v>
      </c>
    </row>
    <row r="6" spans="1:6" x14ac:dyDescent="0.2">
      <c r="A6" s="54" t="s">
        <v>61</v>
      </c>
      <c r="B6" s="54">
        <f>0.6*4.2</f>
        <v>2.52</v>
      </c>
      <c r="C6">
        <f>STDEV(0.77,0.64,0.84,0.58,0.6,0.64)</f>
        <v>0.10323113225508369</v>
      </c>
      <c r="D6">
        <v>383</v>
      </c>
      <c r="E6" t="s">
        <v>158</v>
      </c>
      <c r="F6" s="7" t="s">
        <v>124</v>
      </c>
    </row>
    <row r="7" spans="1:6" x14ac:dyDescent="0.2">
      <c r="A7" s="54" t="s">
        <v>125</v>
      </c>
      <c r="B7" s="54">
        <f>0.037*42</f>
        <v>1.5539999999999998</v>
      </c>
      <c r="C7">
        <f>0.008*41</f>
        <v>0.32800000000000001</v>
      </c>
      <c r="D7">
        <v>1112</v>
      </c>
      <c r="E7" t="s">
        <v>157</v>
      </c>
      <c r="F7" s="7" t="s">
        <v>126</v>
      </c>
    </row>
    <row r="8" spans="1:6" x14ac:dyDescent="0.2">
      <c r="A8" s="54" t="s">
        <v>127</v>
      </c>
      <c r="B8">
        <f>0.23*4.2</f>
        <v>0.96600000000000008</v>
      </c>
      <c r="C8">
        <f>0.1*4.2</f>
        <v>0.42000000000000004</v>
      </c>
      <c r="D8">
        <v>395</v>
      </c>
      <c r="E8" s="8" t="s">
        <v>128</v>
      </c>
      <c r="F8" t="s">
        <v>159</v>
      </c>
    </row>
    <row r="9" spans="1:6" x14ac:dyDescent="0.2">
      <c r="A9" s="54" t="s">
        <v>129</v>
      </c>
      <c r="B9">
        <f>0.27*4.2</f>
        <v>1.1340000000000001</v>
      </c>
      <c r="C9">
        <f>0.11*4.2</f>
        <v>0.46200000000000002</v>
      </c>
      <c r="D9">
        <v>395</v>
      </c>
      <c r="E9" s="8" t="s">
        <v>128</v>
      </c>
      <c r="F9" t="s">
        <v>159</v>
      </c>
    </row>
    <row r="10" spans="1:6" x14ac:dyDescent="0.2">
      <c r="A10" s="54" t="s">
        <v>130</v>
      </c>
      <c r="B10" s="54">
        <f>0.33*4.2</f>
        <v>1.3860000000000001</v>
      </c>
      <c r="C10">
        <f>0.08*4.2</f>
        <v>0.33600000000000002</v>
      </c>
      <c r="D10">
        <v>395</v>
      </c>
      <c r="E10" s="8" t="s">
        <v>128</v>
      </c>
      <c r="F10" t="s">
        <v>159</v>
      </c>
    </row>
    <row r="11" spans="1:6" x14ac:dyDescent="0.2">
      <c r="A11" s="54" t="s">
        <v>131</v>
      </c>
      <c r="B11" s="54">
        <f>0.21*4.2</f>
        <v>0.88200000000000001</v>
      </c>
      <c r="C11">
        <f>0.06*4.2</f>
        <v>0.252</v>
      </c>
      <c r="D11">
        <v>858</v>
      </c>
      <c r="E11" s="8" t="s">
        <v>128</v>
      </c>
      <c r="F11" t="s">
        <v>159</v>
      </c>
    </row>
    <row r="12" spans="1:6" x14ac:dyDescent="0.2">
      <c r="A12" s="54" t="s">
        <v>132</v>
      </c>
      <c r="B12">
        <f>1.3*42/52</f>
        <v>1.05</v>
      </c>
      <c r="C12" t="s">
        <v>163</v>
      </c>
      <c r="D12">
        <v>214</v>
      </c>
      <c r="E12" s="8" t="s">
        <v>161</v>
      </c>
      <c r="F12" s="7" t="s">
        <v>162</v>
      </c>
    </row>
    <row r="13" spans="1:6" x14ac:dyDescent="0.2">
      <c r="A13" s="54" t="s">
        <v>204</v>
      </c>
      <c r="B13">
        <f>0.11*42/38</f>
        <v>0.12157894736842105</v>
      </c>
      <c r="C13" t="s">
        <v>163</v>
      </c>
      <c r="D13">
        <v>1299</v>
      </c>
    </row>
    <row r="14" spans="1:6" x14ac:dyDescent="0.2">
      <c r="A14" s="54" t="s">
        <v>133</v>
      </c>
      <c r="B14" s="54">
        <f>0.3*4.2</f>
        <v>1.26</v>
      </c>
      <c r="C14" t="s">
        <v>165</v>
      </c>
      <c r="D14">
        <v>1299</v>
      </c>
      <c r="E14" s="8" t="s">
        <v>164</v>
      </c>
      <c r="F14" s="7" t="s">
        <v>166</v>
      </c>
    </row>
    <row r="15" spans="1:6" x14ac:dyDescent="0.2">
      <c r="A15" s="54" t="s">
        <v>134</v>
      </c>
      <c r="B15" s="54">
        <f>0.02*42</f>
        <v>0.84</v>
      </c>
      <c r="C15">
        <f>0.02*42</f>
        <v>0.84</v>
      </c>
      <c r="D15">
        <v>395</v>
      </c>
      <c r="E15" s="8" t="s">
        <v>167</v>
      </c>
      <c r="F15" s="7" t="s">
        <v>135</v>
      </c>
    </row>
    <row r="16" spans="1:6" x14ac:dyDescent="0.2">
      <c r="A16" s="54" t="s">
        <v>75</v>
      </c>
      <c r="B16" s="54">
        <v>0.5</v>
      </c>
      <c r="C16" t="s">
        <v>163</v>
      </c>
      <c r="D16">
        <v>230</v>
      </c>
      <c r="E16" s="8" t="s">
        <v>169</v>
      </c>
      <c r="F16" s="7" t="s">
        <v>168</v>
      </c>
    </row>
    <row r="17" spans="1:6" x14ac:dyDescent="0.2">
      <c r="A17" s="54" t="s">
        <v>136</v>
      </c>
      <c r="B17" s="54">
        <f>0.27*4.2</f>
        <v>1.1340000000000001</v>
      </c>
      <c r="C17">
        <f>0.05*4.2</f>
        <v>0.21000000000000002</v>
      </c>
      <c r="D17">
        <v>544</v>
      </c>
      <c r="E17" s="8" t="s">
        <v>128</v>
      </c>
      <c r="F17" t="s">
        <v>159</v>
      </c>
    </row>
    <row r="18" spans="1:6" x14ac:dyDescent="0.2">
      <c r="A18" s="54" t="s">
        <v>170</v>
      </c>
      <c r="B18">
        <f>0.22*4.2</f>
        <v>0.92400000000000004</v>
      </c>
      <c r="C18">
        <f>0.03*4.2</f>
        <v>0.126</v>
      </c>
      <c r="D18">
        <v>344</v>
      </c>
      <c r="E18" s="8" t="s">
        <v>128</v>
      </c>
      <c r="F18" t="s">
        <v>159</v>
      </c>
    </row>
    <row r="19" spans="1:6" x14ac:dyDescent="0.2">
      <c r="A19" s="54" t="s">
        <v>137</v>
      </c>
      <c r="B19">
        <f>0.17*4.2</f>
        <v>0.71400000000000008</v>
      </c>
      <c r="C19">
        <f>0.03*4.2</f>
        <v>0.126</v>
      </c>
      <c r="D19">
        <v>517</v>
      </c>
      <c r="E19" s="8" t="s">
        <v>128</v>
      </c>
      <c r="F19" t="s">
        <v>159</v>
      </c>
    </row>
    <row r="20" spans="1:6" x14ac:dyDescent="0.2">
      <c r="A20" s="54" t="s">
        <v>138</v>
      </c>
      <c r="B20" s="54">
        <f>0.04*4.2</f>
        <v>0.16800000000000001</v>
      </c>
      <c r="C20">
        <f>0.03*4.2</f>
        <v>0.126</v>
      </c>
      <c r="D20">
        <v>517</v>
      </c>
      <c r="E20" s="8" t="s">
        <v>128</v>
      </c>
      <c r="F20" t="s">
        <v>159</v>
      </c>
    </row>
    <row r="21" spans="1:6" x14ac:dyDescent="0.2">
      <c r="A21" s="54" t="s">
        <v>139</v>
      </c>
      <c r="B21" s="54">
        <f>0.13*4.2</f>
        <v>0.54600000000000004</v>
      </c>
      <c r="C21">
        <f>0.07*4.2</f>
        <v>0.29400000000000004</v>
      </c>
      <c r="D21">
        <v>521</v>
      </c>
      <c r="E21" s="8" t="s">
        <v>128</v>
      </c>
      <c r="F21" t="s">
        <v>159</v>
      </c>
    </row>
    <row r="22" spans="1:6" x14ac:dyDescent="0.2">
      <c r="A22" s="54" t="s">
        <v>197</v>
      </c>
      <c r="B22" s="54">
        <f>-0.01*4.2</f>
        <v>-4.2000000000000003E-2</v>
      </c>
      <c r="C22">
        <f>0.06*4.2</f>
        <v>0.252</v>
      </c>
      <c r="D22">
        <v>1230</v>
      </c>
      <c r="E22" s="8" t="s">
        <v>128</v>
      </c>
      <c r="F22" t="s">
        <v>159</v>
      </c>
    </row>
    <row r="23" spans="1:6" x14ac:dyDescent="0.2">
      <c r="A23" s="54" t="s">
        <v>171</v>
      </c>
      <c r="B23">
        <f>0.06*4.2</f>
        <v>0.252</v>
      </c>
      <c r="C23">
        <f>0.05*4.2</f>
        <v>0.21000000000000002</v>
      </c>
      <c r="D23">
        <v>143</v>
      </c>
      <c r="E23" s="8" t="s">
        <v>128</v>
      </c>
      <c r="F23" t="s">
        <v>159</v>
      </c>
    </row>
    <row r="24" spans="1:6" x14ac:dyDescent="0.2">
      <c r="A24" s="54" t="s">
        <v>140</v>
      </c>
      <c r="B24" s="54">
        <f>0.19*4.2</f>
        <v>0.79800000000000004</v>
      </c>
      <c r="C24">
        <f>0.05*4.2</f>
        <v>0.21000000000000002</v>
      </c>
      <c r="D24">
        <v>308</v>
      </c>
      <c r="E24" s="8" t="s">
        <v>128</v>
      </c>
      <c r="F24" t="s">
        <v>159</v>
      </c>
    </row>
    <row r="25" spans="1:6" x14ac:dyDescent="0.2">
      <c r="A25" s="54" t="s">
        <v>141</v>
      </c>
      <c r="B25" s="54">
        <f>0.02*4.2</f>
        <v>8.4000000000000005E-2</v>
      </c>
      <c r="C25">
        <f>0.05*4.2</f>
        <v>0.21000000000000002</v>
      </c>
      <c r="D25">
        <v>225</v>
      </c>
      <c r="E25" s="8" t="s">
        <v>128</v>
      </c>
      <c r="F25" t="s">
        <v>159</v>
      </c>
    </row>
    <row r="26" spans="1:6" x14ac:dyDescent="0.2">
      <c r="A26" s="54" t="s">
        <v>142</v>
      </c>
      <c r="B26">
        <f>0.19*4.2</f>
        <v>0.79800000000000004</v>
      </c>
      <c r="C26">
        <f>0.06*4.2</f>
        <v>0.252</v>
      </c>
      <c r="D26">
        <v>283</v>
      </c>
      <c r="E26" s="8" t="s">
        <v>128</v>
      </c>
      <c r="F26" t="s">
        <v>159</v>
      </c>
    </row>
    <row r="27" spans="1:6" x14ac:dyDescent="0.2">
      <c r="A27" s="54" t="s">
        <v>143</v>
      </c>
      <c r="B27" s="54">
        <f>0.26*4.2</f>
        <v>1.0920000000000001</v>
      </c>
      <c r="C27">
        <f>0.05*4.2</f>
        <v>0.21000000000000002</v>
      </c>
      <c r="D27">
        <v>283</v>
      </c>
      <c r="E27" s="8" t="s">
        <v>128</v>
      </c>
      <c r="F27" t="s">
        <v>159</v>
      </c>
    </row>
    <row r="28" spans="1:6" x14ac:dyDescent="0.2">
      <c r="A28" s="54" t="s">
        <v>172</v>
      </c>
      <c r="B28">
        <f>0.25*4.2</f>
        <v>1.05</v>
      </c>
      <c r="C28">
        <f>0.05*4.2</f>
        <v>0.21000000000000002</v>
      </c>
      <c r="D28">
        <v>112</v>
      </c>
      <c r="E28" s="8" t="s">
        <v>128</v>
      </c>
      <c r="F28" t="s">
        <v>159</v>
      </c>
    </row>
    <row r="29" spans="1:6" x14ac:dyDescent="0.2">
      <c r="A29" s="54" t="s">
        <v>144</v>
      </c>
      <c r="B29" s="54">
        <f>1.02*4.2</f>
        <v>4.2840000000000007</v>
      </c>
      <c r="C29">
        <f>0.23*4.2</f>
        <v>0.96600000000000008</v>
      </c>
      <c r="D29">
        <v>171</v>
      </c>
      <c r="E29" s="8" t="s">
        <v>128</v>
      </c>
      <c r="F29" t="s">
        <v>159</v>
      </c>
    </row>
    <row r="30" spans="1:6" x14ac:dyDescent="0.2">
      <c r="A30" s="54" t="s">
        <v>145</v>
      </c>
      <c r="B30">
        <f>1.5</f>
        <v>1.5</v>
      </c>
      <c r="C30" t="s">
        <v>173</v>
      </c>
      <c r="D30">
        <v>992</v>
      </c>
      <c r="E30" s="8" t="s">
        <v>174</v>
      </c>
      <c r="F30" s="7" t="s">
        <v>146</v>
      </c>
    </row>
    <row r="31" spans="1:6" x14ac:dyDescent="0.2">
      <c r="A31" s="54" t="s">
        <v>147</v>
      </c>
      <c r="B31">
        <f>0.029*40</f>
        <v>1.1600000000000001</v>
      </c>
      <c r="C31" t="s">
        <v>173</v>
      </c>
      <c r="D31">
        <v>190</v>
      </c>
      <c r="E31" s="8" t="s">
        <v>175</v>
      </c>
      <c r="F31" t="s">
        <v>148</v>
      </c>
    </row>
    <row r="32" spans="1:6" x14ac:dyDescent="0.2">
      <c r="A32" s="53" t="s">
        <v>149</v>
      </c>
      <c r="B32" s="53">
        <f>AVERAGE(B4:B31)</f>
        <v>1.0227706766917291</v>
      </c>
      <c r="C32" s="1">
        <f>AVERAGE(C4:C11,C15,C17:C29)</f>
        <v>0.28998399013079978</v>
      </c>
    </row>
    <row r="33" spans="1:6" x14ac:dyDescent="0.2">
      <c r="A33" s="53" t="s">
        <v>150</v>
      </c>
      <c r="B33" s="1">
        <f>STDEV(B4:B31)</f>
        <v>0.82888576350983045</v>
      </c>
    </row>
    <row r="35" spans="1:6" ht="17" x14ac:dyDescent="0.2">
      <c r="A35" s="1"/>
      <c r="B35" s="53" t="s">
        <v>233</v>
      </c>
    </row>
    <row r="36" spans="1:6" x14ac:dyDescent="0.2">
      <c r="B36" s="1" t="s">
        <v>151</v>
      </c>
      <c r="C36" s="1" t="s">
        <v>152</v>
      </c>
      <c r="D36" s="1" t="s">
        <v>234</v>
      </c>
      <c r="E36" s="1" t="s">
        <v>153</v>
      </c>
      <c r="F36" s="1" t="s">
        <v>160</v>
      </c>
    </row>
    <row r="37" spans="1:6" x14ac:dyDescent="0.2">
      <c r="A37" t="s">
        <v>190</v>
      </c>
      <c r="B37">
        <f>1.16*4.2*0.000000001</f>
        <v>4.8720000000000005E-9</v>
      </c>
      <c r="C37" t="s">
        <v>163</v>
      </c>
      <c r="D37">
        <v>1082</v>
      </c>
      <c r="E37" t="s">
        <v>192</v>
      </c>
      <c r="F37" t="s">
        <v>191</v>
      </c>
    </row>
    <row r="38" spans="1:6" x14ac:dyDescent="0.2">
      <c r="A38" s="54" t="s">
        <v>61</v>
      </c>
      <c r="B38" s="54">
        <f>-(10^-(8.21))+10^-(8.21-2.64*0.001*42)</f>
        <v>1.7934439198712771E-9</v>
      </c>
      <c r="C38" t="s">
        <v>163</v>
      </c>
      <c r="D38">
        <v>383</v>
      </c>
      <c r="E38" t="s">
        <v>182</v>
      </c>
      <c r="F38" s="7" t="s">
        <v>176</v>
      </c>
    </row>
    <row r="39" spans="1:6" x14ac:dyDescent="0.2">
      <c r="A39" s="54" t="s">
        <v>125</v>
      </c>
      <c r="B39" s="54">
        <f>-(10^-(8.09))+10^-(8.09-0.0024*42)</f>
        <v>2.1234918866145748E-9</v>
      </c>
      <c r="C39" s="54">
        <f>-(10^-(8.09))+10^-(8.09-0.001*42)</f>
        <v>8.2534249385492231E-10</v>
      </c>
      <c r="D39">
        <v>1112</v>
      </c>
      <c r="E39" t="s">
        <v>183</v>
      </c>
      <c r="F39" s="7" t="s">
        <v>177</v>
      </c>
    </row>
    <row r="40" spans="1:6" x14ac:dyDescent="0.2">
      <c r="A40" t="s">
        <v>235</v>
      </c>
      <c r="B40" s="54">
        <f>-(10^-(8.07))+10^-(8.07-0.0028*42)</f>
        <v>2.64697014086292E-9</v>
      </c>
      <c r="C40" s="2">
        <f>0.00000000027</f>
        <v>2.7E-10</v>
      </c>
      <c r="D40">
        <v>580</v>
      </c>
    </row>
    <row r="41" spans="1:6" x14ac:dyDescent="0.2">
      <c r="A41" t="s">
        <v>193</v>
      </c>
      <c r="B41" s="54">
        <f>-(10^-(7.9))+10^-(7.9+0.2)</f>
        <v>-4.6459717706988291E-9</v>
      </c>
      <c r="C41" t="s">
        <v>196</v>
      </c>
      <c r="D41">
        <v>395</v>
      </c>
      <c r="E41" t="s">
        <v>195</v>
      </c>
      <c r="F41" t="s">
        <v>194</v>
      </c>
    </row>
    <row r="42" spans="1:6" x14ac:dyDescent="0.2">
      <c r="A42" s="54" t="s">
        <v>132</v>
      </c>
      <c r="B42">
        <f>-(10^-(8.09))+10^-(8.09-0.0015*42)</f>
        <v>1.268927944005398E-9</v>
      </c>
      <c r="C42">
        <f>-(10^-(8.09))+10^-(8.09-0.0001*40)</f>
        <v>7.5210281657182116E-11</v>
      </c>
      <c r="D42">
        <v>214</v>
      </c>
      <c r="E42" t="s">
        <v>185</v>
      </c>
      <c r="F42" s="7" t="s">
        <v>178</v>
      </c>
    </row>
    <row r="43" spans="1:6" x14ac:dyDescent="0.2">
      <c r="A43" s="54" t="s">
        <v>133</v>
      </c>
      <c r="B43" s="54">
        <f>-(10^-(8.06))+10^-(8.06-0.0033*42)</f>
        <v>3.2743144212118451E-9</v>
      </c>
      <c r="C43" s="54">
        <f>-(10^-(8.06))+10^-(8.06-0.0009*42)</f>
        <v>7.920353479948549E-10</v>
      </c>
      <c r="D43">
        <v>1299</v>
      </c>
      <c r="E43" t="s">
        <v>186</v>
      </c>
      <c r="F43" s="7" t="s">
        <v>179</v>
      </c>
    </row>
    <row r="44" spans="1:6" x14ac:dyDescent="0.2">
      <c r="A44" s="54" t="s">
        <v>134</v>
      </c>
      <c r="B44" s="54">
        <f>-(10^-(7.91))+10^-(7.91-(0.006+0.012-0.005)*4.2)</f>
        <v>1.648140795449856E-9</v>
      </c>
      <c r="C44" t="s">
        <v>163</v>
      </c>
      <c r="D44">
        <v>11</v>
      </c>
      <c r="E44" t="s">
        <v>187</v>
      </c>
      <c r="F44" s="7" t="s">
        <v>180</v>
      </c>
    </row>
    <row r="45" spans="1:6" x14ac:dyDescent="0.2">
      <c r="A45" s="54" t="s">
        <v>75</v>
      </c>
      <c r="B45" s="54">
        <f>-(10^-(8.21))+10^-(8.21-0.004*40)</f>
        <v>2.7465593627226118E-9</v>
      </c>
      <c r="C45" t="s">
        <v>163</v>
      </c>
      <c r="D45">
        <v>230</v>
      </c>
      <c r="E45" t="s">
        <v>188</v>
      </c>
      <c r="F45" s="7" t="s">
        <v>184</v>
      </c>
    </row>
    <row r="46" spans="1:6" x14ac:dyDescent="0.2">
      <c r="A46" s="54" t="s">
        <v>136</v>
      </c>
      <c r="B46" s="54">
        <f>-(10^-(7.97))+10^-(7.97-0.0014*40)</f>
        <v>1.4747029368725994E-9</v>
      </c>
      <c r="C46" s="54">
        <f>-(10^-(7.97))+10^-(7.97-0.00014*40)</f>
        <v>1.390614406922008E-10</v>
      </c>
      <c r="D46">
        <v>544</v>
      </c>
      <c r="E46" t="s">
        <v>189</v>
      </c>
      <c r="F46" s="7" t="s">
        <v>181</v>
      </c>
    </row>
    <row r="47" spans="1:6" x14ac:dyDescent="0.2">
      <c r="A47" s="54" t="s">
        <v>203</v>
      </c>
      <c r="B47" s="54">
        <f>-(10^-(8.07))+10^-(8.07-0.00156*42)</f>
        <v>1.3859940371083576E-9</v>
      </c>
      <c r="C47" s="54">
        <f>-(10^-(8.07))+10^-(8.07-0.0009*42)</f>
        <v>7.7400642237326149E-10</v>
      </c>
      <c r="D47">
        <v>34</v>
      </c>
    </row>
    <row r="48" spans="1:6" x14ac:dyDescent="0.2">
      <c r="A48" s="54" t="s">
        <v>139</v>
      </c>
      <c r="B48">
        <f>-(10^-(8.09))+10^-(8.09-0.0018*42)</f>
        <v>1.5455593380485144E-9</v>
      </c>
      <c r="C48" t="s">
        <v>163</v>
      </c>
      <c r="D48">
        <v>521</v>
      </c>
      <c r="E48" s="7" t="s">
        <v>202</v>
      </c>
      <c r="F48" s="7" t="s">
        <v>201</v>
      </c>
    </row>
    <row r="49" spans="1:6" x14ac:dyDescent="0.2">
      <c r="A49" s="54" t="s">
        <v>197</v>
      </c>
      <c r="B49">
        <f>-(10^-(8.09))+10^-(8.09-0.0017*42)</f>
        <v>1.4524556957092074E-9</v>
      </c>
      <c r="C49" t="s">
        <v>198</v>
      </c>
      <c r="D49">
        <v>1230</v>
      </c>
      <c r="E49" t="s">
        <v>200</v>
      </c>
      <c r="F49" s="7" t="s">
        <v>199</v>
      </c>
    </row>
    <row r="51" spans="1:6" x14ac:dyDescent="0.2">
      <c r="A51" s="53" t="s">
        <v>149</v>
      </c>
      <c r="B51" s="53">
        <f>SUM(B37:B49)/11</f>
        <v>1.9624171552525761E-9</v>
      </c>
      <c r="C51" s="1">
        <f>AVERAGE(C39,C42:C43,C46,C47)</f>
        <v>5.2113119731448432E-10</v>
      </c>
    </row>
    <row r="52" spans="1:6" x14ac:dyDescent="0.2">
      <c r="A52" s="53" t="s">
        <v>150</v>
      </c>
      <c r="B52" s="1">
        <f>STDEV(B37:B42,B43:B49)</f>
        <v>2.1485314474236606E-9</v>
      </c>
      <c r="C52" s="1"/>
    </row>
    <row r="54" spans="1:6" ht="16" x14ac:dyDescent="0.2">
      <c r="A54" s="5"/>
      <c r="B54" s="5"/>
    </row>
    <row r="55" spans="1:6" x14ac:dyDescent="0.2">
      <c r="A55" s="6"/>
    </row>
    <row r="56" spans="1:6" x14ac:dyDescent="0.2">
      <c r="A56" s="6"/>
    </row>
    <row r="57" spans="1:6" x14ac:dyDescent="0.2">
      <c r="A57" s="6"/>
    </row>
    <row r="58" spans="1:6" x14ac:dyDescent="0.2">
      <c r="A58" s="6"/>
    </row>
    <row r="59" spans="1:6" x14ac:dyDescent="0.2">
      <c r="A59" s="6"/>
    </row>
  </sheetData>
  <hyperlinks>
    <hyperlink ref="F4" r:id="rId1" xr:uid="{906FDFFF-0FA9-6F43-88B9-B39490119054}"/>
    <hyperlink ref="F5" r:id="rId2" xr:uid="{F7B3CDDD-619F-EE4D-B7A2-C11757304BAA}"/>
    <hyperlink ref="F7" r:id="rId3" xr:uid="{0F7F768F-E7FA-3D4E-84AE-5F38F14BD0F3}"/>
    <hyperlink ref="F6" r:id="rId4" xr:uid="{1F0076BB-5197-3842-9692-A1E3F7BB4096}"/>
    <hyperlink ref="F12" r:id="rId5" xr:uid="{75F44B4B-E0A9-C145-85BF-35D436A5D895}"/>
    <hyperlink ref="F14" r:id="rId6" xr:uid="{B6190EA2-31CF-5F4B-BA6F-7B8DDB0F1926}"/>
    <hyperlink ref="F15" r:id="rId7" xr:uid="{0B028434-4756-9D4F-94D1-EB2DDA1413C6}"/>
    <hyperlink ref="F16" r:id="rId8" xr:uid="{E9A2A556-495C-2345-A626-2F72C5FB8C36}"/>
    <hyperlink ref="F30" r:id="rId9" xr:uid="{0A082D56-1C35-2B44-A78A-FC7B6FDA9620}"/>
    <hyperlink ref="F46" r:id="rId10" xr:uid="{A8C70B57-A3F2-A649-AB42-C3EE0F4A8925}"/>
    <hyperlink ref="F39" r:id="rId11" xr:uid="{6B5D85F2-EE00-4243-8BAF-060FC91416C0}"/>
    <hyperlink ref="F44" r:id="rId12" xr:uid="{E57653A5-637E-D449-ABE2-ED37708ABB20}"/>
    <hyperlink ref="F42" r:id="rId13" xr:uid="{A956EEC9-9573-0C46-95C5-C29AC233C0CB}"/>
    <hyperlink ref="F38" r:id="rId14" xr:uid="{3EEB77DE-374B-6943-9CD0-EC10359D8A8D}"/>
    <hyperlink ref="F43" r:id="rId15" xr:uid="{FA1EFAD4-FF0A-3F4F-A155-D10F52EDF3DC}"/>
    <hyperlink ref="F45" r:id="rId16" xr:uid="{1A547DC0-2E39-B645-AECA-F0645FD404E7}"/>
    <hyperlink ref="F49" r:id="rId17" xr:uid="{202314D3-347D-B24E-AA2A-C0B33043672F}"/>
    <hyperlink ref="F48" r:id="rId18" xr:uid="{B2587C82-6008-7F4C-8327-BF7345910B14}"/>
    <hyperlink ref="E48" r:id="rId19" location="gbc21331-bib-0014" display="https://agupubs.onlinelibrary.wiley.com/doi/full/10.1029/2021GB007196 - gbc21331-bib-0014" xr:uid="{CAA1D1D6-938E-1442-BBAE-EFF6B7FE253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8911-DA59-484C-81D3-FE7B4CAFCAF6}">
  <dimension ref="A1:F31"/>
  <sheetViews>
    <sheetView workbookViewId="0">
      <selection activeCell="I13" sqref="I13"/>
    </sheetView>
  </sheetViews>
  <sheetFormatPr baseColWidth="10" defaultRowHeight="15" x14ac:dyDescent="0.2"/>
  <sheetData>
    <row r="1" spans="1:6" ht="16" x14ac:dyDescent="0.2">
      <c r="A1" s="49" t="s">
        <v>231</v>
      </c>
    </row>
    <row r="3" spans="1:6" ht="19" x14ac:dyDescent="0.25">
      <c r="A3" s="3" t="s">
        <v>120</v>
      </c>
      <c r="D3" s="1"/>
    </row>
    <row r="4" spans="1:6" x14ac:dyDescent="0.2">
      <c r="A4" s="1" t="s">
        <v>108</v>
      </c>
      <c r="B4" s="1" t="s">
        <v>109</v>
      </c>
      <c r="C4" s="1" t="s">
        <v>110</v>
      </c>
    </row>
    <row r="5" spans="1:6" x14ac:dyDescent="0.2">
      <c r="A5" t="s">
        <v>111</v>
      </c>
      <c r="B5">
        <v>26.519999999999982</v>
      </c>
      <c r="C5">
        <v>2</v>
      </c>
    </row>
    <row r="6" spans="1:6" x14ac:dyDescent="0.2">
      <c r="A6" t="s">
        <v>112</v>
      </c>
      <c r="B6">
        <v>173.8</v>
      </c>
      <c r="C6">
        <v>13</v>
      </c>
    </row>
    <row r="7" spans="1:6" x14ac:dyDescent="0.2">
      <c r="A7" t="s">
        <v>113</v>
      </c>
      <c r="B7">
        <v>250.7</v>
      </c>
      <c r="C7">
        <v>18</v>
      </c>
    </row>
    <row r="8" spans="1:6" x14ac:dyDescent="0.2">
      <c r="A8" t="s">
        <v>114</v>
      </c>
      <c r="B8">
        <v>240.1</v>
      </c>
      <c r="C8">
        <v>15</v>
      </c>
    </row>
    <row r="9" spans="1:6" x14ac:dyDescent="0.2">
      <c r="A9" t="s">
        <v>115</v>
      </c>
      <c r="B9">
        <v>703.8</v>
      </c>
      <c r="C9">
        <v>13</v>
      </c>
    </row>
    <row r="11" spans="1:6" ht="19" x14ac:dyDescent="0.25">
      <c r="A11" s="3" t="s">
        <v>119</v>
      </c>
    </row>
    <row r="12" spans="1:6" x14ac:dyDescent="0.2">
      <c r="C12" s="1" t="s">
        <v>29</v>
      </c>
      <c r="D12" s="1" t="s">
        <v>30</v>
      </c>
      <c r="E12" s="1" t="s">
        <v>31</v>
      </c>
      <c r="F12" s="1" t="s">
        <v>32</v>
      </c>
    </row>
    <row r="13" spans="1:6" x14ac:dyDescent="0.2">
      <c r="A13" s="1" t="s">
        <v>111</v>
      </c>
      <c r="B13" s="1" t="s">
        <v>116</v>
      </c>
      <c r="C13">
        <v>0.19046296265006879</v>
      </c>
      <c r="D13">
        <v>0.39428068755048457</v>
      </c>
      <c r="E13">
        <v>1.9687836625372184</v>
      </c>
      <c r="F13">
        <v>7.8919440889865522E-3</v>
      </c>
    </row>
    <row r="14" spans="1:6" x14ac:dyDescent="0.2">
      <c r="A14" s="1"/>
      <c r="B14" s="1" t="s">
        <v>117</v>
      </c>
      <c r="C14">
        <v>0.24375986599931293</v>
      </c>
      <c r="D14">
        <v>0.45761813319929362</v>
      </c>
      <c r="E14">
        <v>4.2132163374627813</v>
      </c>
      <c r="F14">
        <v>7.2079115911013389E-2</v>
      </c>
    </row>
    <row r="15" spans="1:6" x14ac:dyDescent="0.2">
      <c r="A15" s="1"/>
      <c r="B15" s="1" t="s">
        <v>118</v>
      </c>
      <c r="C15">
        <v>0.21525729096943474</v>
      </c>
      <c r="D15">
        <v>0.44046026257903409</v>
      </c>
      <c r="E15">
        <v>3.18</v>
      </c>
      <c r="F15">
        <v>3.2235059999999975E-2</v>
      </c>
    </row>
    <row r="16" spans="1:6" x14ac:dyDescent="0.2">
      <c r="A16" s="1" t="s">
        <v>112</v>
      </c>
      <c r="B16" s="1"/>
    </row>
    <row r="17" spans="1:6" x14ac:dyDescent="0.2">
      <c r="A17" s="1"/>
      <c r="B17" s="1" t="s">
        <v>116</v>
      </c>
      <c r="C17">
        <v>1.2482075003236042</v>
      </c>
      <c r="D17">
        <v>2.583936029271277</v>
      </c>
      <c r="E17">
        <v>12.797093806491919</v>
      </c>
      <c r="F17">
        <v>5.1720206737023516E-2</v>
      </c>
    </row>
    <row r="18" spans="1:6" x14ac:dyDescent="0.2">
      <c r="A18" s="1"/>
      <c r="B18" s="1" t="s">
        <v>117</v>
      </c>
      <c r="C18">
        <v>1.5974911278537185</v>
      </c>
      <c r="D18">
        <v>2.9990207975127183</v>
      </c>
      <c r="E18">
        <v>26.228906193508077</v>
      </c>
      <c r="F18">
        <v>0.47237369326297651</v>
      </c>
    </row>
    <row r="19" spans="1:6" x14ac:dyDescent="0.2">
      <c r="A19" s="1"/>
      <c r="B19" s="1" t="s">
        <v>118</v>
      </c>
      <c r="C19">
        <v>1.410698234181289</v>
      </c>
      <c r="D19">
        <v>2.8865759289681816</v>
      </c>
      <c r="E19">
        <v>20.67</v>
      </c>
      <c r="F19">
        <v>0.21125390000000002</v>
      </c>
    </row>
    <row r="20" spans="1:6" x14ac:dyDescent="0.2">
      <c r="A20" s="1" t="s">
        <v>113</v>
      </c>
      <c r="B20" s="1"/>
    </row>
    <row r="21" spans="1:6" x14ac:dyDescent="0.2">
      <c r="A21" s="1"/>
      <c r="B21" s="1" t="s">
        <v>116</v>
      </c>
      <c r="C21">
        <v>1.80049263711811</v>
      </c>
      <c r="D21">
        <v>3.727231084800398</v>
      </c>
      <c r="E21">
        <v>17.719052962834965</v>
      </c>
      <c r="F21">
        <v>7.4604463918134634E-2</v>
      </c>
    </row>
    <row r="22" spans="1:6" x14ac:dyDescent="0.2">
      <c r="A22" s="1"/>
      <c r="B22" s="1" t="s">
        <v>117</v>
      </c>
      <c r="C22">
        <v>2.304321206863793</v>
      </c>
      <c r="D22">
        <v>4.3259753391049394</v>
      </c>
      <c r="E22">
        <v>36.316947037165029</v>
      </c>
      <c r="F22">
        <v>0.68138138608186538</v>
      </c>
    </row>
    <row r="23" spans="1:6" x14ac:dyDescent="0.2">
      <c r="A23" s="1"/>
      <c r="B23" s="1" t="s">
        <v>118</v>
      </c>
      <c r="C23">
        <v>2.0348794436665658</v>
      </c>
      <c r="D23">
        <v>4.1637778215898908</v>
      </c>
      <c r="E23">
        <v>28.62</v>
      </c>
      <c r="F23">
        <v>0.30472584999999996</v>
      </c>
    </row>
    <row r="24" spans="1:6" x14ac:dyDescent="0.2">
      <c r="A24" s="1" t="s">
        <v>114</v>
      </c>
      <c r="B24" s="1"/>
    </row>
    <row r="25" spans="1:6" x14ac:dyDescent="0.2">
      <c r="A25" s="1"/>
      <c r="B25" s="1" t="s">
        <v>116</v>
      </c>
      <c r="C25">
        <v>1.7243649069487763</v>
      </c>
      <c r="D25">
        <v>3.5696377481474895</v>
      </c>
      <c r="E25">
        <v>14.765877469029135</v>
      </c>
      <c r="F25">
        <v>7.1450066959489966E-2</v>
      </c>
    </row>
    <row r="26" spans="1:6" x14ac:dyDescent="0.2">
      <c r="A26" s="1"/>
      <c r="B26" s="1" t="s">
        <v>117</v>
      </c>
      <c r="C26">
        <v>2.206890792852001</v>
      </c>
      <c r="D26">
        <v>4.1430661305109533</v>
      </c>
      <c r="E26">
        <v>30.264122530970859</v>
      </c>
      <c r="F26">
        <v>0.65257148304051005</v>
      </c>
    </row>
    <row r="27" spans="1:6" x14ac:dyDescent="0.2">
      <c r="A27" s="1"/>
      <c r="B27" s="1" t="s">
        <v>118</v>
      </c>
      <c r="C27">
        <v>1.9488414616048761</v>
      </c>
      <c r="D27">
        <v>3.9877265854157673</v>
      </c>
      <c r="E27">
        <v>23.85</v>
      </c>
      <c r="F27">
        <v>0.29184155000000001</v>
      </c>
    </row>
    <row r="28" spans="1:6" x14ac:dyDescent="0.2">
      <c r="A28" s="1" t="s">
        <v>115</v>
      </c>
      <c r="B28" s="1"/>
    </row>
    <row r="29" spans="1:6" x14ac:dyDescent="0.2">
      <c r="A29" s="1"/>
      <c r="B29" s="1" t="s">
        <v>116</v>
      </c>
      <c r="C29">
        <v>5.054594008790291</v>
      </c>
      <c r="D29">
        <v>10.463602861916712</v>
      </c>
      <c r="E29">
        <v>12.797093806491919</v>
      </c>
      <c r="F29">
        <v>0.20944005466925864</v>
      </c>
    </row>
    <row r="30" spans="1:6" x14ac:dyDescent="0.2">
      <c r="A30" s="1"/>
      <c r="B30" s="1" t="s">
        <v>117</v>
      </c>
      <c r="C30">
        <v>6.4690118284433087</v>
      </c>
      <c r="D30">
        <v>12.144481227212029</v>
      </c>
      <c r="E30">
        <v>26.228906193508077</v>
      </c>
      <c r="F30">
        <v>1.912868845330741</v>
      </c>
    </row>
    <row r="31" spans="1:6" x14ac:dyDescent="0.2">
      <c r="A31" s="1"/>
      <c r="B31" s="1" t="s">
        <v>118</v>
      </c>
      <c r="C31">
        <v>5.7125973372657715</v>
      </c>
      <c r="D31">
        <v>11.689137737674374</v>
      </c>
      <c r="E31">
        <v>20.67</v>
      </c>
      <c r="F31">
        <v>0.85546889999999998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DA17-B50B-4989-BBCD-4C24D2549034}">
  <dimension ref="A1:K48"/>
  <sheetViews>
    <sheetView topLeftCell="A9" workbookViewId="0">
      <selection activeCell="B23" sqref="B23"/>
    </sheetView>
  </sheetViews>
  <sheetFormatPr baseColWidth="10" defaultColWidth="8.83203125" defaultRowHeight="15" x14ac:dyDescent="0.2"/>
  <cols>
    <col min="1" max="1" width="17.83203125" customWidth="1"/>
    <col min="2" max="2" width="27.1640625" customWidth="1"/>
    <col min="3" max="3" width="27.5" customWidth="1"/>
    <col min="4" max="4" width="24.5" customWidth="1"/>
  </cols>
  <sheetData>
    <row r="1" spans="1:11" ht="19" x14ac:dyDescent="0.25">
      <c r="A1" s="3" t="s">
        <v>229</v>
      </c>
      <c r="E1" s="1"/>
      <c r="F1" s="1"/>
      <c r="G1" s="1"/>
      <c r="H1" s="1"/>
      <c r="I1" s="1"/>
      <c r="J1" s="1"/>
      <c r="K1" s="1"/>
    </row>
    <row r="2" spans="1:11" x14ac:dyDescent="0.2">
      <c r="E2" s="2"/>
      <c r="F2" s="2"/>
      <c r="G2" s="2"/>
      <c r="H2" s="2"/>
      <c r="I2" s="2"/>
      <c r="J2" s="2"/>
      <c r="K2" s="2"/>
    </row>
    <row r="3" spans="1:11" x14ac:dyDescent="0.2">
      <c r="A3" s="1" t="s">
        <v>206</v>
      </c>
      <c r="B3" s="1" t="s">
        <v>33</v>
      </c>
      <c r="C3" s="1" t="s">
        <v>34</v>
      </c>
      <c r="D3" s="1" t="s">
        <v>35</v>
      </c>
      <c r="E3" s="2"/>
      <c r="F3" s="2"/>
      <c r="G3" s="2"/>
      <c r="H3" s="2"/>
      <c r="I3" s="2"/>
      <c r="J3" s="2"/>
      <c r="K3" s="2"/>
    </row>
    <row r="4" spans="1:11" x14ac:dyDescent="0.2">
      <c r="A4" s="1">
        <v>1</v>
      </c>
      <c r="B4" t="s">
        <v>36</v>
      </c>
      <c r="C4" t="s">
        <v>37</v>
      </c>
      <c r="D4" t="s">
        <v>38</v>
      </c>
      <c r="E4" s="2"/>
      <c r="F4" s="2"/>
      <c r="G4" s="2"/>
      <c r="H4" s="2"/>
      <c r="I4" s="2"/>
      <c r="J4" s="2"/>
      <c r="K4" s="2"/>
    </row>
    <row r="5" spans="1:11" x14ac:dyDescent="0.2">
      <c r="A5" s="1">
        <v>2</v>
      </c>
      <c r="B5" t="s">
        <v>39</v>
      </c>
      <c r="C5" t="s">
        <v>40</v>
      </c>
      <c r="D5" t="s">
        <v>38</v>
      </c>
      <c r="E5" s="2"/>
      <c r="F5" s="2"/>
      <c r="G5" s="2"/>
      <c r="H5" s="2"/>
      <c r="I5" s="2"/>
      <c r="J5" s="2"/>
      <c r="K5" s="2"/>
    </row>
    <row r="6" spans="1:11" x14ac:dyDescent="0.2">
      <c r="A6" s="1">
        <v>3</v>
      </c>
      <c r="B6" t="s">
        <v>41</v>
      </c>
      <c r="C6" t="s">
        <v>42</v>
      </c>
      <c r="D6" t="s">
        <v>38</v>
      </c>
      <c r="E6" s="2"/>
      <c r="F6" s="2"/>
      <c r="G6" s="2"/>
      <c r="H6" s="2"/>
      <c r="I6" s="2"/>
      <c r="J6" s="2"/>
      <c r="K6" s="2"/>
    </row>
    <row r="7" spans="1:11" x14ac:dyDescent="0.2">
      <c r="A7" s="1">
        <v>4</v>
      </c>
      <c r="B7" t="s">
        <v>43</v>
      </c>
      <c r="C7" t="s">
        <v>40</v>
      </c>
      <c r="D7" t="s">
        <v>38</v>
      </c>
      <c r="E7" s="2"/>
      <c r="F7" s="2"/>
      <c r="G7" s="2"/>
      <c r="H7" s="2"/>
      <c r="I7" s="2"/>
      <c r="J7" s="2"/>
      <c r="K7" s="2"/>
    </row>
    <row r="8" spans="1:11" x14ac:dyDescent="0.2">
      <c r="A8" s="1">
        <v>5</v>
      </c>
      <c r="B8" t="s">
        <v>44</v>
      </c>
      <c r="C8" t="s">
        <v>37</v>
      </c>
      <c r="D8" t="s">
        <v>38</v>
      </c>
      <c r="E8" s="2"/>
      <c r="F8" s="2"/>
      <c r="G8" s="2"/>
      <c r="H8" s="2"/>
      <c r="I8" s="2"/>
      <c r="J8" s="2"/>
      <c r="K8" s="2"/>
    </row>
    <row r="9" spans="1:11" x14ac:dyDescent="0.2">
      <c r="A9" s="1">
        <v>6</v>
      </c>
      <c r="B9" t="s">
        <v>45</v>
      </c>
      <c r="C9" t="s">
        <v>46</v>
      </c>
      <c r="D9" t="s">
        <v>38</v>
      </c>
      <c r="E9" s="2"/>
      <c r="F9" s="2"/>
      <c r="G9" s="2"/>
      <c r="H9" s="2"/>
      <c r="I9" s="2"/>
      <c r="J9" s="2"/>
      <c r="K9" s="2"/>
    </row>
    <row r="10" spans="1:11" x14ac:dyDescent="0.2">
      <c r="A10" s="1">
        <v>7</v>
      </c>
      <c r="B10" t="s">
        <v>47</v>
      </c>
      <c r="C10" t="s">
        <v>42</v>
      </c>
      <c r="D10" t="s">
        <v>48</v>
      </c>
      <c r="E10" s="2"/>
      <c r="F10" s="2"/>
      <c r="G10" s="2"/>
      <c r="H10" s="2"/>
      <c r="I10" s="2"/>
      <c r="J10" s="2"/>
      <c r="K10" s="2"/>
    </row>
    <row r="11" spans="1:11" x14ac:dyDescent="0.2">
      <c r="A11" s="1">
        <v>8</v>
      </c>
      <c r="B11" t="s">
        <v>49</v>
      </c>
      <c r="C11" t="s">
        <v>42</v>
      </c>
      <c r="D11" t="s">
        <v>38</v>
      </c>
      <c r="E11" s="2"/>
      <c r="F11" s="2"/>
      <c r="G11" s="2"/>
      <c r="H11" s="2"/>
      <c r="I11" s="2"/>
      <c r="J11" s="2"/>
      <c r="K11" s="2"/>
    </row>
    <row r="12" spans="1:11" x14ac:dyDescent="0.2">
      <c r="A12" s="1">
        <v>9</v>
      </c>
      <c r="B12" t="s">
        <v>50</v>
      </c>
      <c r="C12" t="s">
        <v>51</v>
      </c>
      <c r="D12" t="s">
        <v>38</v>
      </c>
      <c r="E12" s="2"/>
      <c r="F12" s="2"/>
      <c r="G12" s="2"/>
      <c r="H12" s="2"/>
      <c r="I12" s="2"/>
      <c r="J12" s="2"/>
      <c r="K12" s="2"/>
    </row>
    <row r="13" spans="1:11" x14ac:dyDescent="0.2">
      <c r="A13" s="1">
        <v>10</v>
      </c>
      <c r="B13" t="s">
        <v>52</v>
      </c>
      <c r="C13" t="s">
        <v>46</v>
      </c>
      <c r="D13" t="s">
        <v>38</v>
      </c>
      <c r="E13" s="2"/>
      <c r="F13" s="2"/>
      <c r="G13" s="2"/>
      <c r="H13" s="2"/>
      <c r="I13" s="2"/>
      <c r="J13" s="2"/>
      <c r="K13" s="2"/>
    </row>
    <row r="14" spans="1:11" x14ac:dyDescent="0.2">
      <c r="A14" s="1">
        <v>11</v>
      </c>
      <c r="B14" t="s">
        <v>53</v>
      </c>
      <c r="C14" t="s">
        <v>37</v>
      </c>
      <c r="D14" t="s">
        <v>38</v>
      </c>
      <c r="E14" s="2"/>
      <c r="F14" s="2"/>
      <c r="G14" s="2"/>
      <c r="H14" s="2"/>
      <c r="I14" s="2"/>
      <c r="J14" s="2"/>
      <c r="K14" s="2"/>
    </row>
    <row r="15" spans="1:11" x14ac:dyDescent="0.2">
      <c r="A15" s="1">
        <v>12</v>
      </c>
      <c r="B15" t="s">
        <v>54</v>
      </c>
      <c r="C15" t="s">
        <v>51</v>
      </c>
      <c r="D15" t="s">
        <v>38</v>
      </c>
      <c r="E15" s="2"/>
      <c r="F15" s="2"/>
      <c r="G15" s="2"/>
      <c r="H15" s="2"/>
      <c r="I15" s="2"/>
      <c r="J15" s="2"/>
      <c r="K15" s="2"/>
    </row>
    <row r="16" spans="1:11" x14ac:dyDescent="0.2">
      <c r="A16" s="1">
        <v>13</v>
      </c>
      <c r="B16" t="s">
        <v>55</v>
      </c>
      <c r="C16" t="s">
        <v>56</v>
      </c>
      <c r="D16" t="s">
        <v>38</v>
      </c>
      <c r="E16" s="2"/>
      <c r="F16" s="2"/>
      <c r="G16" s="2"/>
      <c r="H16" s="2"/>
      <c r="I16" s="2"/>
      <c r="J16" s="2"/>
      <c r="K16" s="2"/>
    </row>
    <row r="17" spans="1:11" x14ac:dyDescent="0.2">
      <c r="A17" s="1">
        <v>14</v>
      </c>
      <c r="B17" t="s">
        <v>57</v>
      </c>
      <c r="C17" t="s">
        <v>56</v>
      </c>
      <c r="D17" t="s">
        <v>38</v>
      </c>
      <c r="E17" s="2"/>
      <c r="F17" s="2"/>
      <c r="G17" s="2"/>
      <c r="H17" s="2"/>
      <c r="I17" s="2"/>
      <c r="J17" s="2"/>
      <c r="K17" s="2"/>
    </row>
    <row r="18" spans="1:11" x14ac:dyDescent="0.2">
      <c r="A18" s="1">
        <v>15</v>
      </c>
      <c r="B18" t="s">
        <v>58</v>
      </c>
      <c r="C18" t="s">
        <v>37</v>
      </c>
      <c r="D18" t="s">
        <v>38</v>
      </c>
      <c r="E18" s="2"/>
      <c r="F18" s="2"/>
      <c r="G18" s="2"/>
      <c r="H18" s="2"/>
      <c r="I18" s="2"/>
      <c r="J18" s="2"/>
      <c r="K18" s="2"/>
    </row>
    <row r="19" spans="1:11" x14ac:dyDescent="0.2">
      <c r="A19" s="1">
        <v>16</v>
      </c>
      <c r="B19" t="s">
        <v>59</v>
      </c>
      <c r="C19" t="s">
        <v>37</v>
      </c>
      <c r="D19" t="s">
        <v>38</v>
      </c>
      <c r="E19" s="2"/>
      <c r="F19" s="2"/>
      <c r="G19" s="2"/>
      <c r="H19" s="2"/>
      <c r="I19" s="2"/>
      <c r="J19" s="2"/>
      <c r="K19" s="2"/>
    </row>
    <row r="20" spans="1:11" x14ac:dyDescent="0.2">
      <c r="A20" s="1">
        <v>17</v>
      </c>
      <c r="B20" t="s">
        <v>60</v>
      </c>
      <c r="C20" t="s">
        <v>51</v>
      </c>
      <c r="D20" t="s">
        <v>48</v>
      </c>
      <c r="E20" s="2"/>
      <c r="F20" s="2"/>
      <c r="G20" s="2"/>
      <c r="H20" s="2"/>
      <c r="I20" s="2"/>
      <c r="J20" s="2"/>
      <c r="K20" s="2"/>
    </row>
    <row r="21" spans="1:11" x14ac:dyDescent="0.2">
      <c r="A21" s="1">
        <v>18</v>
      </c>
      <c r="B21" t="s">
        <v>61</v>
      </c>
      <c r="C21" t="s">
        <v>51</v>
      </c>
      <c r="D21" t="s">
        <v>48</v>
      </c>
      <c r="E21" s="2"/>
      <c r="F21" s="2"/>
      <c r="G21" s="2"/>
      <c r="H21" s="2"/>
      <c r="I21" s="2"/>
      <c r="J21" s="2"/>
      <c r="K21" s="2"/>
    </row>
    <row r="22" spans="1:11" x14ac:dyDescent="0.2">
      <c r="A22" s="1">
        <v>19</v>
      </c>
      <c r="B22" t="s">
        <v>62</v>
      </c>
      <c r="C22" t="s">
        <v>40</v>
      </c>
      <c r="D22" t="s">
        <v>38</v>
      </c>
      <c r="E22" s="2"/>
      <c r="F22" s="2"/>
      <c r="G22" s="2"/>
      <c r="H22" s="2"/>
      <c r="I22" s="2"/>
      <c r="J22" s="2"/>
      <c r="K22" s="2"/>
    </row>
    <row r="23" spans="1:11" x14ac:dyDescent="0.2">
      <c r="A23" s="1">
        <v>20</v>
      </c>
      <c r="B23" t="s">
        <v>63</v>
      </c>
      <c r="C23" t="s">
        <v>51</v>
      </c>
      <c r="D23" t="s">
        <v>48</v>
      </c>
      <c r="E23" s="2"/>
      <c r="F23" s="2"/>
      <c r="G23" s="2"/>
      <c r="H23" s="2"/>
      <c r="I23" s="2"/>
      <c r="J23" s="2"/>
      <c r="K23" s="2"/>
    </row>
    <row r="24" spans="1:11" x14ac:dyDescent="0.2">
      <c r="A24" s="1">
        <v>21</v>
      </c>
      <c r="B24" t="s">
        <v>64</v>
      </c>
      <c r="C24" t="s">
        <v>51</v>
      </c>
      <c r="D24" t="s">
        <v>48</v>
      </c>
      <c r="E24" s="2"/>
      <c r="F24" s="2"/>
      <c r="G24" s="2"/>
      <c r="H24" s="2"/>
      <c r="I24" s="2"/>
      <c r="J24" s="2"/>
      <c r="K24" s="2"/>
    </row>
    <row r="25" spans="1:11" x14ac:dyDescent="0.2">
      <c r="A25" s="1">
        <v>22</v>
      </c>
      <c r="B25" t="s">
        <v>65</v>
      </c>
      <c r="C25" t="s">
        <v>40</v>
      </c>
      <c r="D25" t="s">
        <v>38</v>
      </c>
      <c r="E25" s="2"/>
      <c r="F25" s="2"/>
      <c r="G25" s="2"/>
      <c r="H25" s="2"/>
      <c r="I25" s="2"/>
      <c r="J25" s="2"/>
      <c r="K25" s="2"/>
    </row>
    <row r="26" spans="1:11" x14ac:dyDescent="0.2">
      <c r="A26" s="1">
        <v>23</v>
      </c>
      <c r="B26" t="s">
        <v>66</v>
      </c>
      <c r="C26" t="s">
        <v>42</v>
      </c>
      <c r="D26" t="s">
        <v>38</v>
      </c>
      <c r="E26" s="2"/>
      <c r="F26" s="2"/>
      <c r="G26" s="2"/>
      <c r="H26" s="2"/>
      <c r="I26" s="2"/>
      <c r="J26" s="2"/>
      <c r="K26" s="2"/>
    </row>
    <row r="27" spans="1:11" x14ac:dyDescent="0.2">
      <c r="A27" s="1">
        <v>24</v>
      </c>
      <c r="B27" t="s">
        <v>67</v>
      </c>
      <c r="C27" t="s">
        <v>40</v>
      </c>
      <c r="D27" t="s">
        <v>38</v>
      </c>
      <c r="E27" s="2"/>
      <c r="F27" s="2"/>
      <c r="G27" s="2"/>
      <c r="H27" s="2"/>
      <c r="I27" s="2"/>
      <c r="J27" s="2"/>
      <c r="K27" s="2"/>
    </row>
    <row r="28" spans="1:11" x14ac:dyDescent="0.2">
      <c r="A28" s="1">
        <v>25</v>
      </c>
      <c r="B28" t="s">
        <v>68</v>
      </c>
      <c r="C28" t="s">
        <v>46</v>
      </c>
      <c r="D28" t="s">
        <v>38</v>
      </c>
      <c r="E28" s="2"/>
      <c r="F28" s="2"/>
      <c r="G28" s="2"/>
      <c r="H28" s="2"/>
      <c r="I28" s="2"/>
      <c r="J28" s="2"/>
      <c r="K28" s="2"/>
    </row>
    <row r="29" spans="1:11" x14ac:dyDescent="0.2">
      <c r="A29" s="1">
        <v>26</v>
      </c>
      <c r="B29" t="s">
        <v>69</v>
      </c>
      <c r="C29" t="s">
        <v>42</v>
      </c>
      <c r="D29" t="s">
        <v>38</v>
      </c>
      <c r="E29" s="2"/>
      <c r="F29" s="2"/>
      <c r="G29" s="2"/>
      <c r="H29" s="2"/>
      <c r="I29" s="2"/>
      <c r="J29" s="2"/>
      <c r="K29" s="2"/>
    </row>
    <row r="30" spans="1:11" x14ac:dyDescent="0.2">
      <c r="A30" s="1">
        <v>27</v>
      </c>
      <c r="B30" t="s">
        <v>70</v>
      </c>
      <c r="C30" t="s">
        <v>71</v>
      </c>
      <c r="D30" t="s">
        <v>38</v>
      </c>
      <c r="E30" s="2"/>
      <c r="F30" s="2"/>
      <c r="G30" s="2"/>
      <c r="H30" s="2"/>
      <c r="I30" s="2"/>
      <c r="J30" s="2"/>
      <c r="K30" s="2"/>
    </row>
    <row r="31" spans="1:11" x14ac:dyDescent="0.2">
      <c r="A31" s="1">
        <v>28</v>
      </c>
      <c r="B31" t="s">
        <v>72</v>
      </c>
      <c r="C31" t="s">
        <v>51</v>
      </c>
      <c r="D31" t="s">
        <v>48</v>
      </c>
      <c r="E31" s="2"/>
      <c r="F31" s="2"/>
      <c r="G31" s="2"/>
      <c r="H31" s="2"/>
      <c r="I31" s="2"/>
      <c r="J31" s="2"/>
      <c r="K31" s="2"/>
    </row>
    <row r="32" spans="1:11" x14ac:dyDescent="0.2">
      <c r="A32" s="1">
        <v>29</v>
      </c>
      <c r="B32" t="s">
        <v>73</v>
      </c>
      <c r="C32" t="s">
        <v>51</v>
      </c>
      <c r="D32" t="s">
        <v>48</v>
      </c>
      <c r="E32" s="2"/>
      <c r="F32" s="2"/>
      <c r="G32" s="2"/>
      <c r="H32" s="2"/>
      <c r="I32" s="2"/>
      <c r="J32" s="2"/>
      <c r="K32" s="2"/>
    </row>
    <row r="33" spans="1:11" x14ac:dyDescent="0.2">
      <c r="A33" s="1">
        <v>30</v>
      </c>
      <c r="B33" t="s">
        <v>74</v>
      </c>
      <c r="C33" t="s">
        <v>71</v>
      </c>
      <c r="D33" t="s">
        <v>38</v>
      </c>
      <c r="E33" s="2"/>
      <c r="F33" s="2"/>
      <c r="G33" s="2"/>
      <c r="H33" s="2"/>
      <c r="I33" s="2"/>
      <c r="J33" s="2"/>
      <c r="K33" s="2"/>
    </row>
    <row r="34" spans="1:11" x14ac:dyDescent="0.2">
      <c r="A34" s="1">
        <v>31</v>
      </c>
      <c r="B34" t="s">
        <v>75</v>
      </c>
      <c r="C34" t="s">
        <v>71</v>
      </c>
      <c r="D34" t="s">
        <v>48</v>
      </c>
      <c r="E34" s="2"/>
      <c r="F34" s="2"/>
      <c r="G34" s="2"/>
      <c r="H34" s="2"/>
      <c r="I34" s="2"/>
      <c r="J34" s="2"/>
      <c r="K34" s="2"/>
    </row>
    <row r="35" spans="1:11" x14ac:dyDescent="0.2">
      <c r="A35" s="1">
        <v>32</v>
      </c>
      <c r="B35" t="s">
        <v>76</v>
      </c>
      <c r="C35" t="s">
        <v>42</v>
      </c>
      <c r="D35" t="s">
        <v>48</v>
      </c>
      <c r="E35" s="2"/>
      <c r="F35" s="2"/>
      <c r="G35" s="2"/>
      <c r="H35" s="2"/>
      <c r="I35" s="2"/>
      <c r="J35" s="2"/>
      <c r="K35" s="2"/>
    </row>
    <row r="36" spans="1:11" x14ac:dyDescent="0.2">
      <c r="A36" s="1">
        <v>33</v>
      </c>
      <c r="B36" t="s">
        <v>77</v>
      </c>
      <c r="C36" t="s">
        <v>40</v>
      </c>
      <c r="D36" t="s">
        <v>38</v>
      </c>
      <c r="E36" s="2"/>
      <c r="F36" s="2"/>
      <c r="G36" s="2"/>
      <c r="H36" s="2"/>
      <c r="I36" s="2"/>
      <c r="J36" s="2"/>
      <c r="K36" s="2"/>
    </row>
    <row r="37" spans="1:11" x14ac:dyDescent="0.2">
      <c r="A37" s="1">
        <v>34</v>
      </c>
      <c r="B37" t="s">
        <v>78</v>
      </c>
      <c r="C37" t="s">
        <v>37</v>
      </c>
      <c r="D37" t="s">
        <v>38</v>
      </c>
      <c r="E37" s="2"/>
      <c r="F37" s="2"/>
      <c r="G37" s="2"/>
      <c r="H37" s="2"/>
      <c r="I37" s="2"/>
      <c r="J37" s="2"/>
      <c r="K37" s="2"/>
    </row>
    <row r="38" spans="1:11" x14ac:dyDescent="0.2">
      <c r="A38" s="1">
        <v>35</v>
      </c>
      <c r="B38" t="s">
        <v>79</v>
      </c>
      <c r="C38" t="s">
        <v>46</v>
      </c>
      <c r="D38" t="s">
        <v>38</v>
      </c>
      <c r="E38" s="2"/>
      <c r="F38" s="2"/>
      <c r="G38" s="2"/>
      <c r="H38" s="2"/>
      <c r="I38" s="2"/>
      <c r="J38" s="2"/>
      <c r="K38" s="2"/>
    </row>
    <row r="39" spans="1:11" x14ac:dyDescent="0.2">
      <c r="A39" s="1">
        <v>36</v>
      </c>
      <c r="B39" t="s">
        <v>80</v>
      </c>
      <c r="C39" t="s">
        <v>37</v>
      </c>
      <c r="D39" t="s">
        <v>38</v>
      </c>
      <c r="E39" s="2"/>
      <c r="F39" s="2"/>
      <c r="G39" s="2"/>
      <c r="H39" s="2"/>
      <c r="I39" s="2"/>
      <c r="J39" s="2"/>
      <c r="K39" s="2"/>
    </row>
    <row r="40" spans="1:11" x14ac:dyDescent="0.2">
      <c r="A40" s="1">
        <v>37</v>
      </c>
      <c r="B40" t="s">
        <v>81</v>
      </c>
      <c r="C40" t="s">
        <v>42</v>
      </c>
      <c r="D40" t="s">
        <v>38</v>
      </c>
      <c r="E40" s="2"/>
      <c r="F40" s="2"/>
      <c r="G40" s="2"/>
      <c r="H40" s="2"/>
      <c r="I40" s="2"/>
      <c r="J40" s="2"/>
      <c r="K40" s="2"/>
    </row>
    <row r="41" spans="1:11" x14ac:dyDescent="0.2">
      <c r="A41" s="1">
        <v>38</v>
      </c>
      <c r="B41" t="s">
        <v>82</v>
      </c>
      <c r="C41" t="s">
        <v>42</v>
      </c>
      <c r="D41" t="s">
        <v>48</v>
      </c>
      <c r="E41" s="2"/>
      <c r="F41" s="2"/>
      <c r="G41" s="2"/>
      <c r="H41" s="2"/>
      <c r="I41" s="2"/>
      <c r="J41" s="2"/>
      <c r="K41" s="2"/>
    </row>
    <row r="42" spans="1:11" x14ac:dyDescent="0.2">
      <c r="A42" s="1">
        <v>39</v>
      </c>
      <c r="B42" t="s">
        <v>83</v>
      </c>
      <c r="C42" t="s">
        <v>46</v>
      </c>
      <c r="D42" t="s">
        <v>48</v>
      </c>
      <c r="E42" s="2"/>
      <c r="F42" s="2"/>
      <c r="G42" s="2"/>
      <c r="H42" s="2"/>
      <c r="I42" s="2"/>
      <c r="J42" s="2"/>
      <c r="K42" s="2"/>
    </row>
    <row r="43" spans="1:11" x14ac:dyDescent="0.2">
      <c r="A43" s="1">
        <v>40</v>
      </c>
      <c r="B43" t="s">
        <v>84</v>
      </c>
      <c r="C43" t="s">
        <v>85</v>
      </c>
      <c r="D43" t="s">
        <v>48</v>
      </c>
      <c r="E43" s="2"/>
      <c r="F43" s="2"/>
      <c r="G43" s="2"/>
      <c r="H43" s="2"/>
      <c r="I43" s="2"/>
      <c r="J43" s="2"/>
      <c r="K43" s="2"/>
    </row>
    <row r="44" spans="1:11" x14ac:dyDescent="0.2">
      <c r="A44" s="1">
        <v>41</v>
      </c>
      <c r="B44" t="s">
        <v>86</v>
      </c>
      <c r="C44" t="s">
        <v>87</v>
      </c>
      <c r="D44" t="s">
        <v>38</v>
      </c>
      <c r="E44" s="2"/>
      <c r="F44" s="2"/>
      <c r="G44" s="2"/>
      <c r="H44" s="2"/>
      <c r="I44" s="2"/>
      <c r="J44" s="2"/>
      <c r="K44" s="2"/>
    </row>
    <row r="45" spans="1:11" x14ac:dyDescent="0.2">
      <c r="A45" s="1">
        <v>42</v>
      </c>
      <c r="B45" t="s">
        <v>88</v>
      </c>
      <c r="C45" t="s">
        <v>37</v>
      </c>
      <c r="D45" t="s">
        <v>38</v>
      </c>
      <c r="E45" s="2"/>
      <c r="F45" s="2"/>
      <c r="G45" s="2"/>
      <c r="H45" s="2"/>
      <c r="I45" s="2"/>
      <c r="J45" s="2"/>
      <c r="K45" s="2"/>
    </row>
    <row r="46" spans="1:11" x14ac:dyDescent="0.2">
      <c r="A46" s="1">
        <v>43</v>
      </c>
      <c r="B46" t="s">
        <v>89</v>
      </c>
      <c r="C46" t="s">
        <v>56</v>
      </c>
      <c r="D46" t="s">
        <v>48</v>
      </c>
      <c r="E46" s="2"/>
      <c r="F46" s="2"/>
      <c r="G46" s="2"/>
      <c r="H46" s="2"/>
      <c r="I46" s="2"/>
      <c r="J46" s="2"/>
      <c r="K46" s="2"/>
    </row>
    <row r="47" spans="1:11" x14ac:dyDescent="0.2">
      <c r="A47" s="1">
        <v>44</v>
      </c>
      <c r="B47" t="s">
        <v>90</v>
      </c>
      <c r="C47" t="s">
        <v>37</v>
      </c>
      <c r="D47" t="s">
        <v>38</v>
      </c>
    </row>
    <row r="48" spans="1:11" x14ac:dyDescent="0.2">
      <c r="A48" s="1">
        <v>45</v>
      </c>
      <c r="B48" t="s">
        <v>91</v>
      </c>
      <c r="C48" t="s">
        <v>56</v>
      </c>
      <c r="D48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lacroix_ncc_SupplementTablesS1-</vt:lpstr>
      <vt:lpstr>Supplement Table 2</vt:lpstr>
      <vt:lpstr>Supplement Table 3</vt:lpstr>
      <vt:lpstr>Supplement Table 4</vt:lpstr>
      <vt:lpstr>Supplement Table5</vt:lpstr>
      <vt:lpstr>Supplement Table S6</vt:lpstr>
      <vt:lpstr>Supplement Table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Lacroix</dc:creator>
  <cp:lastModifiedBy>Lacroix, Fabrice Kenneth Michel (GIUB)</cp:lastModifiedBy>
  <dcterms:created xsi:type="dcterms:W3CDTF">2025-02-01T17:21:42Z</dcterms:created>
  <dcterms:modified xsi:type="dcterms:W3CDTF">2025-11-12T11:01:38Z</dcterms:modified>
</cp:coreProperties>
</file>