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aysuo\Dropbox\PGI Repo v2\SUBMISSION\"/>
    </mc:Choice>
  </mc:AlternateContent>
  <xr:revisionPtr revIDLastSave="0" documentId="13_ncr:1_{BE9EFBD3-FD75-4815-8E6A-502F4A46186C}" xr6:coauthVersionLast="47" xr6:coauthVersionMax="47" xr10:uidLastSave="{00000000-0000-0000-0000-000000000000}"/>
  <bookViews>
    <workbookView xWindow="38290" yWindow="-110" windowWidth="38620" windowHeight="21100" firstSheet="9" activeTab="16" xr2:uid="{B3EAB4F1-B5DB-4506-AB37-A4B49C99DAB0}"/>
  </bookViews>
  <sheets>
    <sheet name="1. E(R2)" sheetId="5" r:id="rId1"/>
    <sheet name="2. UKB GWAS" sheetId="6" r:id="rId2"/>
    <sheet name="3. Prediction results" sheetId="14" r:id="rId3"/>
    <sheet name="4. Parental PGI results" sheetId="15" r:id="rId4"/>
    <sheet name="5.Mostafavi Replication" sheetId="23" r:id="rId5"/>
    <sheet name="6. Dataset details" sheetId="16" r:id="rId6"/>
    <sheet name="7. 23andMe GWAS" sheetId="10" r:id="rId7"/>
    <sheet name="8. SNP filtering" sheetId="11" r:id="rId8"/>
    <sheet name="9. Within-pheno h2" sheetId="12" r:id="rId9"/>
    <sheet name="10. Within-pheno rg" sheetId="13" r:id="rId10"/>
    <sheet name="11. Input GWAS meta-analyses" sheetId="3" r:id="rId11"/>
    <sheet name="12. Cross-pheno rg" sheetId="7" r:id="rId12"/>
    <sheet name="13. Neff filter" sheetId="22" r:id="rId13"/>
    <sheet name="14. Validation phenotypes" sheetId="17" r:id="rId14"/>
    <sheet name="15. Descriptives" sheetId="9" r:id="rId15"/>
    <sheet name="16. Parental genotype imputatio" sheetId="18" r:id="rId16"/>
    <sheet name="17. Parental PGI QC" sheetId="21" r:id="rId17"/>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Q65" i="15" l="1"/>
  <c r="AR65" i="15"/>
  <c r="AQ66" i="15"/>
  <c r="AR66" i="15"/>
  <c r="AQ67" i="15"/>
  <c r="AR67" i="15"/>
  <c r="AQ68" i="15"/>
  <c r="AR68" i="15"/>
  <c r="AQ69" i="15"/>
  <c r="AR69" i="15"/>
  <c r="AQ70" i="15"/>
  <c r="AR70" i="15"/>
  <c r="AQ73" i="15"/>
  <c r="AR73" i="15"/>
  <c r="AQ74" i="15"/>
  <c r="AR74" i="15"/>
  <c r="AQ75" i="15"/>
  <c r="AR75" i="15"/>
  <c r="AQ76" i="15"/>
  <c r="AR76" i="15"/>
  <c r="AQ77" i="15"/>
  <c r="AR77" i="15"/>
  <c r="AQ78" i="15"/>
  <c r="AR78" i="15"/>
  <c r="AQ79" i="15"/>
  <c r="AR79" i="15"/>
  <c r="AR64" i="15"/>
  <c r="AQ64" i="15"/>
  <c r="AQ55" i="15"/>
  <c r="AQ52" i="15"/>
  <c r="AR52" i="15"/>
  <c r="AQ53" i="15"/>
  <c r="AR53" i="15"/>
  <c r="AQ54" i="15"/>
  <c r="AQ56" i="15"/>
  <c r="AR56" i="15"/>
  <c r="AQ57" i="15"/>
  <c r="AR57" i="15"/>
  <c r="AQ58" i="15"/>
  <c r="AR58" i="15"/>
  <c r="AQ59" i="15"/>
  <c r="AR59" i="15"/>
  <c r="AQ60" i="15"/>
  <c r="AR60" i="15"/>
  <c r="AQ61" i="15"/>
  <c r="AR61" i="15"/>
  <c r="AQ50" i="15"/>
  <c r="AR50" i="15"/>
  <c r="AQ51" i="15"/>
  <c r="AR51" i="15"/>
  <c r="AR49" i="15"/>
  <c r="AQ49" i="15"/>
  <c r="AA77" i="15"/>
  <c r="AA78" i="15"/>
  <c r="AA79" i="15"/>
  <c r="AA76" i="15"/>
  <c r="AA74" i="15"/>
  <c r="AA73" i="15"/>
  <c r="AA69" i="15"/>
  <c r="AA68" i="15"/>
  <c r="AA57" i="15"/>
  <c r="AA58" i="15"/>
  <c r="AA59" i="15"/>
  <c r="AA60" i="15"/>
  <c r="AA61" i="15"/>
  <c r="AA56" i="15"/>
  <c r="AA51" i="15"/>
  <c r="AA49" i="15"/>
  <c r="AA45" i="15"/>
  <c r="AA44" i="15"/>
  <c r="AA36" i="15"/>
  <c r="AA37" i="15"/>
  <c r="AA38" i="15"/>
  <c r="AA39" i="15"/>
  <c r="AA35" i="15"/>
  <c r="AA34" i="15"/>
  <c r="AA33" i="15"/>
  <c r="AA30" i="15"/>
  <c r="AA28" i="15"/>
  <c r="AA27" i="15"/>
  <c r="AA19" i="15"/>
  <c r="AA22" i="15"/>
  <c r="AA21" i="15"/>
  <c r="AA16" i="15"/>
  <c r="AA14" i="15"/>
  <c r="AA11" i="15"/>
  <c r="AA6" i="15"/>
  <c r="AA5" i="15"/>
  <c r="P75" i="15"/>
  <c r="Q75" i="15"/>
  <c r="P76" i="15"/>
  <c r="Q76" i="15"/>
  <c r="P77" i="15"/>
  <c r="Q77" i="15"/>
  <c r="P78" i="15"/>
  <c r="Q78" i="15"/>
  <c r="P79" i="15"/>
  <c r="Q79" i="15"/>
  <c r="Q74" i="15"/>
  <c r="P74" i="15"/>
  <c r="Q73" i="15"/>
  <c r="P73" i="15"/>
  <c r="P66" i="15"/>
  <c r="Q66" i="15"/>
  <c r="P67" i="15"/>
  <c r="Q67" i="15"/>
  <c r="P68" i="15"/>
  <c r="Q68" i="15"/>
  <c r="P69" i="15"/>
  <c r="Q69" i="15"/>
  <c r="P70" i="15"/>
  <c r="Q70" i="15"/>
  <c r="Q65" i="15"/>
  <c r="P65" i="15"/>
  <c r="Q64" i="15"/>
  <c r="P64" i="15"/>
  <c r="P60" i="15"/>
  <c r="Q60" i="15"/>
  <c r="P61" i="15"/>
  <c r="Q61" i="15"/>
  <c r="Q59" i="15"/>
  <c r="P59" i="15"/>
  <c r="Q56" i="15"/>
  <c r="P56" i="15"/>
  <c r="P52" i="15"/>
  <c r="Q52" i="15"/>
  <c r="P53" i="15"/>
  <c r="Q53" i="15"/>
  <c r="Q51" i="15"/>
  <c r="P51" i="15"/>
  <c r="P35" i="15"/>
  <c r="Q35" i="15"/>
  <c r="P36" i="15"/>
  <c r="Q36" i="15"/>
  <c r="P37" i="15"/>
  <c r="Q37" i="15"/>
  <c r="P38" i="15"/>
  <c r="Q38" i="15"/>
  <c r="P39" i="15"/>
  <c r="AR39" i="15" s="1"/>
  <c r="Q39" i="15"/>
  <c r="P40" i="15"/>
  <c r="AQ40" i="15" s="1"/>
  <c r="Q40" i="15"/>
  <c r="P41" i="15"/>
  <c r="AR41" i="15" s="1"/>
  <c r="Q41" i="15"/>
  <c r="P42" i="15"/>
  <c r="AQ42" i="15" s="1"/>
  <c r="Q42" i="15"/>
  <c r="P43" i="15"/>
  <c r="Q43" i="15"/>
  <c r="P44" i="15"/>
  <c r="Q44" i="15"/>
  <c r="P45" i="15"/>
  <c r="Q45" i="15"/>
  <c r="Q34" i="15"/>
  <c r="P34" i="15"/>
  <c r="Q33" i="15"/>
  <c r="P33" i="15"/>
  <c r="P29" i="15"/>
  <c r="Q29" i="15"/>
  <c r="P30" i="15"/>
  <c r="Q30" i="15"/>
  <c r="Q28" i="15"/>
  <c r="P28" i="15"/>
  <c r="Q27" i="15"/>
  <c r="P27" i="15"/>
  <c r="P21" i="15"/>
  <c r="P22" i="15"/>
  <c r="AQ25" i="15"/>
  <c r="P19" i="15"/>
  <c r="P10" i="15"/>
  <c r="P11" i="15"/>
  <c r="P12" i="15"/>
  <c r="P13" i="15"/>
  <c r="P14" i="15"/>
  <c r="P15" i="15"/>
  <c r="P16" i="15"/>
  <c r="P9" i="15"/>
  <c r="P6" i="15"/>
  <c r="P5" i="15"/>
  <c r="M75" i="15"/>
  <c r="M76" i="15"/>
  <c r="M77" i="15"/>
  <c r="M78" i="15"/>
  <c r="M79" i="15"/>
  <c r="M74" i="15"/>
  <c r="M73" i="15"/>
  <c r="M65" i="15"/>
  <c r="M66" i="15"/>
  <c r="M67" i="15"/>
  <c r="M68" i="15"/>
  <c r="M69" i="15"/>
  <c r="M70" i="15"/>
  <c r="M64" i="15"/>
  <c r="M60" i="15"/>
  <c r="M61" i="15"/>
  <c r="M59" i="15"/>
  <c r="M56" i="15"/>
  <c r="AO56" i="15" s="1"/>
  <c r="M52" i="15"/>
  <c r="M53" i="15"/>
  <c r="M51" i="15"/>
  <c r="M34" i="15"/>
  <c r="M35" i="15"/>
  <c r="M36" i="15"/>
  <c r="M37" i="15"/>
  <c r="M38" i="15"/>
  <c r="M39" i="15"/>
  <c r="M40" i="15"/>
  <c r="M41" i="15"/>
  <c r="AO41" i="15" s="1"/>
  <c r="M42" i="15"/>
  <c r="AO42" i="15" s="1"/>
  <c r="M43" i="15"/>
  <c r="AO43" i="15" s="1"/>
  <c r="M44" i="15"/>
  <c r="AO44" i="15" s="1"/>
  <c r="M45" i="15"/>
  <c r="M33" i="15"/>
  <c r="M28" i="15"/>
  <c r="M29" i="15"/>
  <c r="M30" i="15"/>
  <c r="M27" i="15"/>
  <c r="M22" i="15"/>
  <c r="M21" i="15"/>
  <c r="M19" i="15"/>
  <c r="M11" i="15"/>
  <c r="M12" i="15"/>
  <c r="M13" i="15"/>
  <c r="M14" i="15"/>
  <c r="M15" i="15"/>
  <c r="M16" i="15"/>
  <c r="M10" i="15"/>
  <c r="M9" i="15"/>
  <c r="M6" i="15"/>
  <c r="M5" i="15"/>
  <c r="AQ43" i="15"/>
  <c r="AR43" i="15"/>
  <c r="AQ44" i="15"/>
  <c r="AR44" i="15"/>
  <c r="AQ45" i="15"/>
  <c r="AR45" i="15"/>
  <c r="AQ36" i="15"/>
  <c r="AR36" i="15"/>
  <c r="AQ37" i="15"/>
  <c r="AR37" i="15"/>
  <c r="AQ38" i="15"/>
  <c r="AR38" i="15"/>
  <c r="AQ35" i="15"/>
  <c r="AR35" i="15"/>
  <c r="AR34" i="15"/>
  <c r="AQ34" i="15"/>
  <c r="AR33" i="15"/>
  <c r="AQ33" i="15"/>
  <c r="AQ30" i="15"/>
  <c r="AR30" i="15"/>
  <c r="AQ29" i="15"/>
  <c r="AR29" i="15"/>
  <c r="AR28" i="15"/>
  <c r="AQ28" i="15"/>
  <c r="AR27" i="15"/>
  <c r="AQ27" i="15"/>
  <c r="AR22" i="15"/>
  <c r="AQ22" i="15"/>
  <c r="AR21" i="15"/>
  <c r="AQ21" i="15"/>
  <c r="AR19" i="15"/>
  <c r="AQ19" i="15"/>
  <c r="AQ16" i="15"/>
  <c r="AR16" i="15"/>
  <c r="AQ15" i="15"/>
  <c r="AR15" i="15"/>
  <c r="AQ14" i="15"/>
  <c r="AR14" i="15"/>
  <c r="AQ13" i="15"/>
  <c r="AR13" i="15"/>
  <c r="AQ12" i="15"/>
  <c r="AR12" i="15"/>
  <c r="AQ11" i="15"/>
  <c r="AR11" i="15"/>
  <c r="AQ10" i="15"/>
  <c r="AR10" i="15"/>
  <c r="AR9" i="15"/>
  <c r="AQ9" i="15"/>
  <c r="AR6" i="15"/>
  <c r="AQ6" i="15"/>
  <c r="AQ5" i="15"/>
  <c r="AR5" i="15"/>
  <c r="AO75" i="15"/>
  <c r="AP75" i="15"/>
  <c r="AO76" i="15"/>
  <c r="AP76" i="15"/>
  <c r="AO77" i="15"/>
  <c r="AP77" i="15"/>
  <c r="AO78" i="15"/>
  <c r="AP78" i="15"/>
  <c r="AO79" i="15"/>
  <c r="AP79" i="15"/>
  <c r="AP74" i="15"/>
  <c r="AO74" i="15"/>
  <c r="AP73" i="15"/>
  <c r="AO73" i="15"/>
  <c r="AO67" i="15"/>
  <c r="AP67" i="15"/>
  <c r="AO68" i="15"/>
  <c r="AP68" i="15"/>
  <c r="AO69" i="15"/>
  <c r="AP69" i="15"/>
  <c r="AO70" i="15"/>
  <c r="AP70" i="15"/>
  <c r="AP66" i="15"/>
  <c r="AO66" i="15"/>
  <c r="AP65" i="15"/>
  <c r="AO65" i="15"/>
  <c r="AP64" i="15"/>
  <c r="AO64" i="15"/>
  <c r="AO51" i="15"/>
  <c r="AP51" i="15"/>
  <c r="AO52" i="15"/>
  <c r="AP52" i="15"/>
  <c r="AO53" i="15"/>
  <c r="AP53" i="15"/>
  <c r="AO57" i="15"/>
  <c r="AP57" i="15"/>
  <c r="AO58" i="15"/>
  <c r="AP58" i="15"/>
  <c r="AO59" i="15"/>
  <c r="AP59" i="15"/>
  <c r="AO60" i="15"/>
  <c r="AP60" i="15"/>
  <c r="AO61" i="15"/>
  <c r="AP61" i="15"/>
  <c r="AP49" i="15"/>
  <c r="AO49" i="15"/>
  <c r="AO45" i="15"/>
  <c r="AP45" i="15"/>
  <c r="AO40" i="15"/>
  <c r="AP40" i="15"/>
  <c r="AO35" i="15"/>
  <c r="AP35" i="15"/>
  <c r="AO36" i="15"/>
  <c r="AP36" i="15"/>
  <c r="AO37" i="15"/>
  <c r="AP37" i="15"/>
  <c r="AO38" i="15"/>
  <c r="AP38" i="15"/>
  <c r="AO39" i="15"/>
  <c r="AP39" i="15"/>
  <c r="AP34" i="15"/>
  <c r="AO34" i="15"/>
  <c r="AP33" i="15"/>
  <c r="AO33" i="15"/>
  <c r="AO29" i="15"/>
  <c r="AP29" i="15"/>
  <c r="AO30" i="15"/>
  <c r="AP30" i="15"/>
  <c r="AP28" i="15"/>
  <c r="AO28" i="15"/>
  <c r="AP27" i="15"/>
  <c r="AO27" i="15"/>
  <c r="AO21" i="15"/>
  <c r="AP21" i="15"/>
  <c r="AO22" i="15"/>
  <c r="AP22" i="15"/>
  <c r="AP19" i="15"/>
  <c r="AO19" i="15"/>
  <c r="AO10" i="15"/>
  <c r="AP10" i="15"/>
  <c r="AO11" i="15"/>
  <c r="AP11" i="15"/>
  <c r="AO12" i="15"/>
  <c r="AP12" i="15"/>
  <c r="AO13" i="15"/>
  <c r="AP13" i="15"/>
  <c r="AO14" i="15"/>
  <c r="AP14" i="15"/>
  <c r="AO15" i="15"/>
  <c r="AP15" i="15"/>
  <c r="AO16" i="15"/>
  <c r="AP16" i="15"/>
  <c r="AP9" i="15"/>
  <c r="AO9" i="15"/>
  <c r="AO6" i="15"/>
  <c r="AP6" i="15"/>
  <c r="AP5" i="15"/>
  <c r="AO5" i="15"/>
  <c r="Z77" i="15"/>
  <c r="Z78" i="15"/>
  <c r="Z79" i="15"/>
  <c r="Z76" i="15"/>
  <c r="Z74" i="15"/>
  <c r="Z73" i="15"/>
  <c r="Z69" i="15"/>
  <c r="Z68" i="15"/>
  <c r="Z57" i="15"/>
  <c r="Z58" i="15"/>
  <c r="Z59" i="15"/>
  <c r="Z60" i="15"/>
  <c r="Z61" i="15"/>
  <c r="Z56" i="15"/>
  <c r="Z51" i="15"/>
  <c r="Z49" i="15"/>
  <c r="Z45" i="15"/>
  <c r="Z44" i="15"/>
  <c r="Z35" i="15"/>
  <c r="Z36" i="15"/>
  <c r="Z37" i="15"/>
  <c r="Z38" i="15"/>
  <c r="Z39" i="15"/>
  <c r="Z34" i="15"/>
  <c r="Z33" i="15"/>
  <c r="Z30" i="15"/>
  <c r="Z28" i="15"/>
  <c r="Z27" i="15"/>
  <c r="Z22" i="15"/>
  <c r="Z21" i="15"/>
  <c r="Z19" i="15"/>
  <c r="Z16" i="15"/>
  <c r="Z14" i="15"/>
  <c r="Z11" i="15"/>
  <c r="Z6" i="15"/>
  <c r="Z5" i="15"/>
  <c r="V77" i="15"/>
  <c r="V78" i="15"/>
  <c r="V79" i="15"/>
  <c r="V76" i="15"/>
  <c r="V74" i="15"/>
  <c r="V73" i="15"/>
  <c r="V69" i="15"/>
  <c r="V68" i="15"/>
  <c r="V57" i="15"/>
  <c r="V58" i="15"/>
  <c r="V59" i="15"/>
  <c r="V60" i="15"/>
  <c r="V61" i="15"/>
  <c r="V56" i="15"/>
  <c r="V51" i="15"/>
  <c r="V49" i="15"/>
  <c r="V45" i="15"/>
  <c r="V44" i="15"/>
  <c r="V34" i="15"/>
  <c r="V35" i="15"/>
  <c r="V36" i="15"/>
  <c r="V37" i="15"/>
  <c r="V38" i="15"/>
  <c r="V39" i="15"/>
  <c r="V33" i="15"/>
  <c r="V30" i="15"/>
  <c r="V28" i="15"/>
  <c r="V27" i="15"/>
  <c r="V22" i="15"/>
  <c r="V21" i="15"/>
  <c r="V19" i="15"/>
  <c r="V16" i="15"/>
  <c r="V14" i="15"/>
  <c r="V11" i="15"/>
  <c r="V6" i="15"/>
  <c r="V5" i="15"/>
  <c r="L74" i="15"/>
  <c r="L75" i="15"/>
  <c r="L76" i="15"/>
  <c r="L77" i="15"/>
  <c r="L78" i="15"/>
  <c r="L79" i="15"/>
  <c r="L73" i="15"/>
  <c r="L65" i="15"/>
  <c r="L66" i="15"/>
  <c r="L67" i="15"/>
  <c r="L68" i="15"/>
  <c r="L69" i="15"/>
  <c r="L70" i="15"/>
  <c r="L64" i="15"/>
  <c r="L60" i="15"/>
  <c r="L61" i="15"/>
  <c r="L59" i="15"/>
  <c r="L56" i="15"/>
  <c r="L52" i="15"/>
  <c r="L53" i="15"/>
  <c r="L51" i="15"/>
  <c r="L34" i="15"/>
  <c r="L35" i="15"/>
  <c r="L36" i="15"/>
  <c r="L37" i="15"/>
  <c r="L38" i="15"/>
  <c r="L39" i="15"/>
  <c r="L40" i="15"/>
  <c r="L41" i="15"/>
  <c r="L42" i="15"/>
  <c r="L43" i="15"/>
  <c r="L44" i="15"/>
  <c r="L45" i="15"/>
  <c r="L33" i="15"/>
  <c r="L28" i="15"/>
  <c r="L29" i="15"/>
  <c r="L30" i="15"/>
  <c r="L27" i="15"/>
  <c r="L22" i="15"/>
  <c r="L21" i="15"/>
  <c r="L19" i="15"/>
  <c r="L10" i="15"/>
  <c r="L11" i="15"/>
  <c r="L12" i="15"/>
  <c r="L13" i="15"/>
  <c r="L14" i="15"/>
  <c r="L15" i="15"/>
  <c r="L16" i="15"/>
  <c r="L9" i="15"/>
  <c r="L6" i="15"/>
  <c r="L5" i="15"/>
  <c r="H75" i="15"/>
  <c r="H76" i="15"/>
  <c r="H77" i="15"/>
  <c r="H78" i="15"/>
  <c r="H79" i="15"/>
  <c r="H74" i="15"/>
  <c r="H73" i="15"/>
  <c r="H65" i="15"/>
  <c r="H66" i="15"/>
  <c r="H67" i="15"/>
  <c r="H68" i="15"/>
  <c r="H69" i="15"/>
  <c r="H70" i="15"/>
  <c r="H64" i="15"/>
  <c r="H60" i="15"/>
  <c r="H61" i="15"/>
  <c r="H59" i="15"/>
  <c r="H56" i="15"/>
  <c r="H52" i="15"/>
  <c r="H53" i="15"/>
  <c r="H51" i="15"/>
  <c r="H34" i="15"/>
  <c r="H35" i="15"/>
  <c r="H36" i="15"/>
  <c r="H37" i="15"/>
  <c r="H38" i="15"/>
  <c r="H39" i="15"/>
  <c r="H40" i="15"/>
  <c r="H41" i="15"/>
  <c r="H42" i="15"/>
  <c r="H43" i="15"/>
  <c r="H44" i="15"/>
  <c r="H45" i="15"/>
  <c r="H33" i="15"/>
  <c r="H28" i="15"/>
  <c r="H29" i="15"/>
  <c r="H30" i="15"/>
  <c r="H27" i="15"/>
  <c r="H22" i="15"/>
  <c r="H21" i="15"/>
  <c r="H19" i="15"/>
  <c r="H16" i="15"/>
  <c r="H15" i="15"/>
  <c r="H14" i="15"/>
  <c r="H13" i="15"/>
  <c r="H12" i="15"/>
  <c r="H11" i="15"/>
  <c r="H10" i="15"/>
  <c r="H9" i="15"/>
  <c r="H6" i="15"/>
  <c r="H5" i="15"/>
  <c r="AK55" i="15"/>
  <c r="AK54" i="15"/>
  <c r="AK50" i="15"/>
  <c r="AK48" i="15"/>
  <c r="AK20" i="15"/>
  <c r="AL71" i="15"/>
  <c r="AL72" i="15"/>
  <c r="AL73" i="15"/>
  <c r="AL74" i="15"/>
  <c r="AL75" i="15"/>
  <c r="AL76" i="15"/>
  <c r="AL77" i="15"/>
  <c r="AL78" i="15"/>
  <c r="AL79" i="15"/>
  <c r="AL65" i="15"/>
  <c r="AL66" i="15"/>
  <c r="AL67" i="15"/>
  <c r="AL68" i="15"/>
  <c r="AL69" i="15"/>
  <c r="AL70" i="15"/>
  <c r="AL62" i="15"/>
  <c r="AL63" i="15"/>
  <c r="AL64" i="15"/>
  <c r="AL56" i="15"/>
  <c r="AL57" i="15"/>
  <c r="AL58" i="15"/>
  <c r="AL59" i="15"/>
  <c r="AL60" i="15"/>
  <c r="AL61" i="15"/>
  <c r="AL52" i="15"/>
  <c r="AL53" i="15"/>
  <c r="AL51" i="15"/>
  <c r="AL49" i="15"/>
  <c r="AL35" i="15"/>
  <c r="AL36" i="15"/>
  <c r="AL37" i="15"/>
  <c r="AL38" i="15"/>
  <c r="AL39" i="15"/>
  <c r="AL40" i="15"/>
  <c r="AL41" i="15"/>
  <c r="AL42" i="15"/>
  <c r="AL43" i="15"/>
  <c r="AL44" i="15"/>
  <c r="AL45" i="15"/>
  <c r="AL34" i="15"/>
  <c r="AL33" i="15"/>
  <c r="AL28" i="15"/>
  <c r="AL29" i="15"/>
  <c r="AL30" i="15"/>
  <c r="AL27" i="15"/>
  <c r="AL22" i="15"/>
  <c r="AL21" i="15"/>
  <c r="AL19" i="15"/>
  <c r="AL13" i="15"/>
  <c r="AL14" i="15"/>
  <c r="AL15" i="15"/>
  <c r="AL16" i="15"/>
  <c r="AL11" i="15"/>
  <c r="AL12" i="15"/>
  <c r="AL10" i="15"/>
  <c r="AL9" i="15"/>
  <c r="AL6" i="15"/>
  <c r="AL5" i="15"/>
  <c r="AK9" i="15"/>
  <c r="AK10" i="15"/>
  <c r="AK11" i="15"/>
  <c r="AK12" i="15"/>
  <c r="AK13" i="15"/>
  <c r="AK14" i="15"/>
  <c r="AK15" i="15"/>
  <c r="AK16" i="15"/>
  <c r="AK19" i="15"/>
  <c r="AK21" i="15"/>
  <c r="AK22" i="15"/>
  <c r="AK23" i="15"/>
  <c r="AK24" i="15"/>
  <c r="AK27" i="15"/>
  <c r="AK28" i="15"/>
  <c r="AK29" i="15"/>
  <c r="AK30" i="15"/>
  <c r="AK33" i="15"/>
  <c r="AK34" i="15"/>
  <c r="AK35" i="15"/>
  <c r="AK36" i="15"/>
  <c r="AK37" i="15"/>
  <c r="AK38" i="15"/>
  <c r="AK39" i="15"/>
  <c r="AK40" i="15"/>
  <c r="AK41" i="15"/>
  <c r="AK42" i="15"/>
  <c r="AK43" i="15"/>
  <c r="AK44" i="15"/>
  <c r="AK45" i="15"/>
  <c r="AK49" i="15"/>
  <c r="AK51" i="15"/>
  <c r="AK52" i="15"/>
  <c r="AK53" i="15"/>
  <c r="AK56" i="15"/>
  <c r="AK57" i="15"/>
  <c r="AK58" i="15"/>
  <c r="AK59" i="15"/>
  <c r="AK60" i="15"/>
  <c r="AK61" i="15"/>
  <c r="AK64" i="15"/>
  <c r="AK65" i="15"/>
  <c r="AK66" i="15"/>
  <c r="AK67" i="15"/>
  <c r="AK68" i="15"/>
  <c r="AK69" i="15"/>
  <c r="AK70" i="15"/>
  <c r="AK73" i="15"/>
  <c r="AK74" i="15"/>
  <c r="AK75" i="15"/>
  <c r="AK76" i="15"/>
  <c r="AK77" i="15"/>
  <c r="AK78" i="15"/>
  <c r="AK79" i="15"/>
  <c r="AK6" i="15"/>
  <c r="AK5" i="15"/>
  <c r="AG55" i="15"/>
  <c r="AG48" i="15"/>
  <c r="AG24" i="15"/>
  <c r="AG23" i="15"/>
  <c r="AH19" i="15"/>
  <c r="AD74" i="15"/>
  <c r="AD76" i="15"/>
  <c r="AD77" i="15"/>
  <c r="AD78" i="15"/>
  <c r="AD79" i="15"/>
  <c r="AD73" i="15"/>
  <c r="AD69" i="15"/>
  <c r="AD68" i="15"/>
  <c r="AD57" i="15"/>
  <c r="AD58" i="15"/>
  <c r="AD59" i="15"/>
  <c r="AD60" i="15"/>
  <c r="AD61" i="15"/>
  <c r="AD56" i="15"/>
  <c r="AD51" i="15"/>
  <c r="AD49" i="15"/>
  <c r="AD45" i="15"/>
  <c r="AD44" i="15"/>
  <c r="AD38" i="15"/>
  <c r="AD39" i="15"/>
  <c r="AD34" i="15"/>
  <c r="AD35" i="15"/>
  <c r="AD36" i="15"/>
  <c r="AD37" i="15"/>
  <c r="AD33" i="15"/>
  <c r="AD28" i="15"/>
  <c r="AD30" i="15"/>
  <c r="AD27" i="15"/>
  <c r="AD21" i="15"/>
  <c r="AD22" i="15"/>
  <c r="AD19" i="15"/>
  <c r="AD11" i="15"/>
  <c r="AD14" i="15"/>
  <c r="AD16" i="15"/>
  <c r="AD6" i="15"/>
  <c r="AD5" i="15"/>
  <c r="AH74" i="15"/>
  <c r="AH75" i="15"/>
  <c r="AH76" i="15"/>
  <c r="AH77" i="15"/>
  <c r="AH78" i="15"/>
  <c r="AH79" i="15"/>
  <c r="AH73" i="15"/>
  <c r="AH65" i="15"/>
  <c r="AH66" i="15"/>
  <c r="AH67" i="15"/>
  <c r="AH68" i="15"/>
  <c r="AH69" i="15"/>
  <c r="AH70" i="15"/>
  <c r="AH64" i="15"/>
  <c r="AH49" i="15"/>
  <c r="AH50" i="15"/>
  <c r="AH51" i="15"/>
  <c r="AH52" i="15"/>
  <c r="AH53" i="15"/>
  <c r="AH56" i="15"/>
  <c r="AH57" i="15"/>
  <c r="AH58" i="15"/>
  <c r="AH59" i="15"/>
  <c r="AH60" i="15"/>
  <c r="AH61" i="15"/>
  <c r="AH39" i="15"/>
  <c r="AH40" i="15"/>
  <c r="AH41" i="15"/>
  <c r="AH42" i="15"/>
  <c r="AH43" i="15"/>
  <c r="AH44" i="15"/>
  <c r="AH45" i="15"/>
  <c r="AH34" i="15"/>
  <c r="AH35" i="15"/>
  <c r="AH36" i="15"/>
  <c r="AH37" i="15"/>
  <c r="AH38" i="15"/>
  <c r="AH33" i="15"/>
  <c r="AJ33" i="15" s="1"/>
  <c r="AH30" i="15"/>
  <c r="AH28" i="15"/>
  <c r="AH29" i="15"/>
  <c r="AH27" i="15"/>
  <c r="AH22" i="15"/>
  <c r="AH21" i="15"/>
  <c r="AH13" i="15"/>
  <c r="AH14" i="15"/>
  <c r="AH15" i="15"/>
  <c r="AH16" i="15"/>
  <c r="AH12" i="15"/>
  <c r="AH11" i="15"/>
  <c r="AH10" i="15"/>
  <c r="AH9" i="15"/>
  <c r="AH6" i="15"/>
  <c r="AH5" i="15"/>
  <c r="AG74" i="15"/>
  <c r="AG75" i="15"/>
  <c r="AG76" i="15"/>
  <c r="AG77" i="15"/>
  <c r="AG78" i="15"/>
  <c r="AG79" i="15"/>
  <c r="AG73" i="15"/>
  <c r="AG65" i="15"/>
  <c r="AG66" i="15"/>
  <c r="AG67" i="15"/>
  <c r="AG68" i="15"/>
  <c r="AG69" i="15"/>
  <c r="AG70" i="15"/>
  <c r="AG64" i="15"/>
  <c r="AG49" i="15"/>
  <c r="AG50" i="15"/>
  <c r="AG51" i="15"/>
  <c r="AG52" i="15"/>
  <c r="AG53" i="15"/>
  <c r="AG54" i="15"/>
  <c r="AG56" i="15"/>
  <c r="AG57" i="15"/>
  <c r="AG58" i="15"/>
  <c r="AG59" i="15"/>
  <c r="AG60" i="15"/>
  <c r="AG61" i="15"/>
  <c r="AG34" i="15"/>
  <c r="AG35" i="15"/>
  <c r="AG36" i="15"/>
  <c r="AG37" i="15"/>
  <c r="AG38" i="15"/>
  <c r="AG39" i="15"/>
  <c r="AG40" i="15"/>
  <c r="AG41" i="15"/>
  <c r="AG42" i="15"/>
  <c r="AG43" i="15"/>
  <c r="AG44" i="15"/>
  <c r="AG45" i="15"/>
  <c r="AG33" i="15"/>
  <c r="AG28" i="15"/>
  <c r="AG29" i="15"/>
  <c r="AG30" i="15"/>
  <c r="AG27" i="15"/>
  <c r="AG20" i="15"/>
  <c r="AG21" i="15"/>
  <c r="AG22" i="15"/>
  <c r="AG19" i="15"/>
  <c r="AG10" i="15"/>
  <c r="AG11" i="15"/>
  <c r="AG12" i="15"/>
  <c r="AG13" i="15"/>
  <c r="AG14" i="15"/>
  <c r="AG15" i="15"/>
  <c r="AG16" i="15"/>
  <c r="AG9" i="15"/>
  <c r="AG6" i="15"/>
  <c r="AG5" i="15"/>
  <c r="AM79" i="15"/>
  <c r="AM78" i="15"/>
  <c r="AM75" i="15"/>
  <c r="AM77" i="15"/>
  <c r="AM76" i="15"/>
  <c r="AM74" i="15"/>
  <c r="AM73" i="15"/>
  <c r="AM70" i="15"/>
  <c r="AM69" i="15"/>
  <c r="AM68" i="15"/>
  <c r="AN68" i="15" s="1"/>
  <c r="AM65" i="15"/>
  <c r="AM66" i="15"/>
  <c r="AM67" i="15"/>
  <c r="AN67" i="15" s="1"/>
  <c r="AM64" i="15"/>
  <c r="AM51" i="15"/>
  <c r="AM52" i="15"/>
  <c r="AM53" i="15"/>
  <c r="AM56" i="15"/>
  <c r="AM57" i="15"/>
  <c r="AM58" i="15"/>
  <c r="AM59" i="15"/>
  <c r="AM60" i="15"/>
  <c r="AM61" i="15"/>
  <c r="AM49" i="15"/>
  <c r="AN49" i="15" s="1"/>
  <c r="AM44" i="15"/>
  <c r="AM45" i="15"/>
  <c r="AM34" i="15"/>
  <c r="AM35" i="15"/>
  <c r="AN35" i="15" s="1"/>
  <c r="AM36" i="15"/>
  <c r="AN36" i="15" s="1"/>
  <c r="AM37" i="15"/>
  <c r="AM38" i="15"/>
  <c r="AM39" i="15"/>
  <c r="AM40" i="15"/>
  <c r="AM41" i="15"/>
  <c r="AM42" i="15"/>
  <c r="AM43" i="15"/>
  <c r="AM28" i="15"/>
  <c r="AM29" i="15"/>
  <c r="AN29" i="15" s="1"/>
  <c r="AM30" i="15"/>
  <c r="AN30" i="15" s="1"/>
  <c r="AM27" i="15"/>
  <c r="AN27" i="15" s="1"/>
  <c r="AM22" i="15"/>
  <c r="AN22" i="15" s="1"/>
  <c r="AM21" i="15"/>
  <c r="AM33" i="15"/>
  <c r="AM19" i="15"/>
  <c r="AM10" i="15"/>
  <c r="AM11" i="15"/>
  <c r="AM12" i="15"/>
  <c r="AM13" i="15"/>
  <c r="AM14" i="15"/>
  <c r="AM15" i="15"/>
  <c r="AM16" i="15"/>
  <c r="AM9" i="15"/>
  <c r="AM6" i="15"/>
  <c r="AM5" i="15"/>
  <c r="AI5" i="15"/>
  <c r="AI21" i="15"/>
  <c r="AI22" i="15"/>
  <c r="AI25" i="15"/>
  <c r="AI26" i="15"/>
  <c r="AI27" i="15"/>
  <c r="AI28" i="15"/>
  <c r="AI29" i="15"/>
  <c r="AI30" i="15"/>
  <c r="AI31" i="15"/>
  <c r="AI32" i="15"/>
  <c r="AI33" i="15"/>
  <c r="AI34" i="15"/>
  <c r="AI35" i="15"/>
  <c r="AI36" i="15"/>
  <c r="AI37" i="15"/>
  <c r="AJ37" i="15" s="1"/>
  <c r="AI38" i="15"/>
  <c r="AI39" i="15"/>
  <c r="AJ39" i="15" s="1"/>
  <c r="AI40" i="15"/>
  <c r="AJ40" i="15" s="1"/>
  <c r="AI41" i="15"/>
  <c r="AI42" i="15"/>
  <c r="AI43" i="15"/>
  <c r="AI44" i="15"/>
  <c r="AI45" i="15"/>
  <c r="AI46" i="15"/>
  <c r="AI47" i="15"/>
  <c r="AI49" i="15"/>
  <c r="AI50" i="15"/>
  <c r="AI51" i="15"/>
  <c r="AI52" i="15"/>
  <c r="AI53" i="15"/>
  <c r="AI56" i="15"/>
  <c r="AI57" i="15"/>
  <c r="AI58" i="15"/>
  <c r="AI59" i="15"/>
  <c r="AI60" i="15"/>
  <c r="AI61" i="15"/>
  <c r="AI62" i="15"/>
  <c r="AI63" i="15"/>
  <c r="AI64" i="15"/>
  <c r="AI65" i="15"/>
  <c r="AI66" i="15"/>
  <c r="AI67" i="15"/>
  <c r="AI68" i="15"/>
  <c r="AI69" i="15"/>
  <c r="AI70" i="15"/>
  <c r="AI71" i="15"/>
  <c r="AI72" i="15"/>
  <c r="AI73" i="15"/>
  <c r="AI74" i="15"/>
  <c r="AI75" i="15"/>
  <c r="AJ75" i="15" s="1"/>
  <c r="AI76" i="15"/>
  <c r="AI77" i="15"/>
  <c r="AI78" i="15"/>
  <c r="AI79" i="15"/>
  <c r="AI19" i="15"/>
  <c r="AI11" i="15"/>
  <c r="AJ11" i="15" s="1"/>
  <c r="AI12" i="15"/>
  <c r="AJ12" i="15" s="1"/>
  <c r="AI13" i="15"/>
  <c r="AI14" i="15"/>
  <c r="AI15" i="15"/>
  <c r="AI16" i="15"/>
  <c r="AI10" i="15"/>
  <c r="AI9" i="15"/>
  <c r="AI6" i="15"/>
  <c r="AE79" i="15"/>
  <c r="AE78" i="15"/>
  <c r="AE77" i="15"/>
  <c r="AE76" i="15"/>
  <c r="AE74" i="15"/>
  <c r="AE73" i="15"/>
  <c r="AE69" i="15"/>
  <c r="AE68" i="15"/>
  <c r="AR63" i="15"/>
  <c r="AQ63" i="15"/>
  <c r="AR62" i="15"/>
  <c r="AQ62" i="15"/>
  <c r="AE61" i="15"/>
  <c r="AE60" i="15"/>
  <c r="AE59" i="15"/>
  <c r="AE58" i="15"/>
  <c r="AE57" i="15"/>
  <c r="AE56" i="15"/>
  <c r="AE51" i="15"/>
  <c r="AE49" i="15"/>
  <c r="AR47" i="15"/>
  <c r="AQ47" i="15"/>
  <c r="AR46" i="15"/>
  <c r="AQ46" i="15"/>
  <c r="AE45" i="15"/>
  <c r="AE44" i="15"/>
  <c r="AE39" i="15"/>
  <c r="AE38" i="15"/>
  <c r="AE37" i="15"/>
  <c r="AE36" i="15"/>
  <c r="AE35" i="15"/>
  <c r="AE34" i="15"/>
  <c r="AE33" i="15"/>
  <c r="AR32" i="15"/>
  <c r="AQ32" i="15"/>
  <c r="AR31" i="15"/>
  <c r="AQ31" i="15"/>
  <c r="AE30" i="15"/>
  <c r="AE28" i="15"/>
  <c r="AE27" i="15"/>
  <c r="AR26" i="15"/>
  <c r="AQ26" i="15"/>
  <c r="AE22" i="15"/>
  <c r="Q22" i="15"/>
  <c r="AE21" i="15"/>
  <c r="Q21" i="15"/>
  <c r="AE19" i="15"/>
  <c r="Q19" i="15"/>
  <c r="AR18" i="15"/>
  <c r="AQ18" i="15"/>
  <c r="AR17" i="15"/>
  <c r="AQ17" i="15"/>
  <c r="AE16" i="15"/>
  <c r="Q16" i="15"/>
  <c r="Q15" i="15"/>
  <c r="AE14" i="15"/>
  <c r="Q14" i="15"/>
  <c r="Q13" i="15"/>
  <c r="Q12" i="15"/>
  <c r="AE11" i="15"/>
  <c r="Q11" i="15"/>
  <c r="Q10" i="15"/>
  <c r="Q9" i="15"/>
  <c r="AR8" i="15"/>
  <c r="AQ8" i="15"/>
  <c r="AR7" i="15"/>
  <c r="AQ7" i="15"/>
  <c r="AE6" i="15"/>
  <c r="Q6" i="15"/>
  <c r="AE5" i="15"/>
  <c r="Q5" i="15"/>
  <c r="AR42" i="15" l="1"/>
  <c r="AQ39" i="15"/>
  <c r="AQ41" i="15"/>
  <c r="AR40" i="15"/>
  <c r="AR25" i="15"/>
  <c r="AP56" i="15"/>
  <c r="AP44" i="15"/>
  <c r="AP43" i="15"/>
  <c r="AP42" i="15"/>
  <c r="AP41" i="15"/>
  <c r="AN77" i="15"/>
  <c r="AJ10" i="15"/>
  <c r="AJ38" i="15"/>
  <c r="AN9" i="15"/>
  <c r="AN78" i="15"/>
  <c r="AN51" i="15"/>
  <c r="AJ42" i="15"/>
  <c r="AN34" i="15"/>
  <c r="AN5" i="15"/>
  <c r="AJ5" i="15"/>
  <c r="AN28" i="15"/>
  <c r="AN53" i="15"/>
  <c r="AN21" i="15"/>
  <c r="AN66" i="15"/>
  <c r="AJ60" i="15"/>
  <c r="AJ59" i="15"/>
  <c r="AN6" i="15"/>
  <c r="AJ57" i="15"/>
  <c r="AN61" i="15"/>
  <c r="AN10" i="15"/>
  <c r="AN60" i="15"/>
  <c r="AN12" i="15"/>
  <c r="AN44" i="15"/>
  <c r="AN59" i="15"/>
  <c r="AN76" i="15"/>
  <c r="AN11" i="15"/>
  <c r="AN43" i="15"/>
  <c r="AN58" i="15"/>
  <c r="AN75" i="15"/>
  <c r="AJ74" i="15"/>
  <c r="AN16" i="15"/>
  <c r="AN42" i="15"/>
  <c r="AN57" i="15"/>
  <c r="AN74" i="15"/>
  <c r="AN52" i="15"/>
  <c r="AN79" i="15"/>
  <c r="AN15" i="15"/>
  <c r="AN41" i="15"/>
  <c r="AN56" i="15"/>
  <c r="AN73" i="15"/>
  <c r="AJ15" i="15"/>
  <c r="AJ44" i="15"/>
  <c r="AJ49" i="15"/>
  <c r="AN14" i="15"/>
  <c r="AN40" i="15"/>
  <c r="AN64" i="15"/>
  <c r="AJ19" i="15"/>
  <c r="AJ14" i="15"/>
  <c r="AJ43" i="15"/>
  <c r="AN13" i="15"/>
  <c r="AN39" i="15"/>
  <c r="AN19" i="15"/>
  <c r="AN38" i="15"/>
  <c r="AJ21" i="15"/>
  <c r="AJ41" i="15"/>
  <c r="AJ69" i="15"/>
  <c r="AN37" i="15"/>
  <c r="AN70" i="15"/>
  <c r="AN33" i="15"/>
  <c r="AN69" i="15"/>
  <c r="AN45" i="15"/>
  <c r="AN65" i="15"/>
  <c r="AJ58" i="15"/>
  <c r="AJ13" i="15"/>
  <c r="AJ70" i="15"/>
  <c r="AJ22" i="15"/>
  <c r="AJ68" i="15"/>
  <c r="AJ64" i="15"/>
  <c r="AJ27" i="15"/>
  <c r="AJ67" i="15"/>
  <c r="AJ29" i="15"/>
  <c r="AJ61" i="15"/>
  <c r="AJ66" i="15"/>
  <c r="AJ28" i="15"/>
  <c r="AJ65" i="15"/>
  <c r="AJ30" i="15"/>
  <c r="AJ73" i="15"/>
  <c r="AJ79" i="15"/>
  <c r="AJ6" i="15"/>
  <c r="AJ78" i="15"/>
  <c r="AJ9" i="15"/>
  <c r="AJ56" i="15"/>
  <c r="AJ77" i="15"/>
  <c r="AJ36" i="15"/>
  <c r="AJ53" i="15"/>
  <c r="AJ76" i="15"/>
  <c r="AJ35" i="15"/>
  <c r="AJ52" i="15"/>
  <c r="AJ34" i="15"/>
  <c r="AJ51" i="15"/>
  <c r="AJ16" i="15"/>
  <c r="AJ45" i="15"/>
  <c r="AS71" i="15"/>
  <c r="AS32" i="15"/>
  <c r="AS63" i="15"/>
  <c r="AS25" i="15"/>
  <c r="AS7" i="15"/>
  <c r="AS17" i="15"/>
  <c r="AS8" i="15"/>
  <c r="AS26" i="15"/>
  <c r="AS18" i="15"/>
  <c r="AS31" i="15"/>
  <c r="AS62" i="15"/>
  <c r="AS50" i="15"/>
  <c r="AS72" i="15"/>
  <c r="AS46" i="15"/>
  <c r="AS35" i="15"/>
  <c r="AS47" i="15"/>
  <c r="G16" i="23"/>
  <c r="G18" i="23"/>
  <c r="H12" i="10"/>
  <c r="AS51" i="15" l="1"/>
  <c r="AS57" i="15"/>
  <c r="AS40" i="15"/>
  <c r="AS45" i="15"/>
  <c r="AS34" i="15"/>
  <c r="AS5" i="15"/>
  <c r="AS79" i="15"/>
  <c r="AS67" i="15"/>
  <c r="AS43" i="15"/>
  <c r="AS64" i="15"/>
  <c r="AS53" i="15"/>
  <c r="AS58" i="15"/>
  <c r="AS77" i="15"/>
  <c r="AS9" i="15"/>
  <c r="AS56" i="15"/>
  <c r="AS33" i="15"/>
  <c r="AS60" i="15"/>
  <c r="AS42" i="15"/>
  <c r="AS70" i="15"/>
  <c r="AS69" i="15"/>
  <c r="AS30" i="15"/>
  <c r="AS19" i="15"/>
  <c r="AS66" i="15"/>
  <c r="AS52" i="15"/>
  <c r="AS78" i="15"/>
  <c r="AS41" i="15"/>
  <c r="AS74" i="15"/>
  <c r="AS29" i="15"/>
  <c r="AS38" i="15"/>
  <c r="AS14" i="15"/>
  <c r="AS16" i="15"/>
  <c r="AS15" i="15"/>
  <c r="AS13" i="15"/>
  <c r="AS73" i="15"/>
  <c r="AS61" i="15"/>
  <c r="AS76" i="15"/>
  <c r="AS21" i="15"/>
  <c r="AS28" i="15"/>
  <c r="AS65" i="15"/>
  <c r="AS36" i="15"/>
  <c r="AS10" i="15"/>
  <c r="AS75" i="15"/>
  <c r="AS49" i="15"/>
  <c r="AS68" i="15"/>
  <c r="AS39" i="15"/>
  <c r="AS11" i="15"/>
  <c r="AS12" i="15"/>
  <c r="AS6" i="15"/>
  <c r="AS59" i="15"/>
  <c r="AS22" i="15"/>
  <c r="AS37" i="15"/>
  <c r="AS27" i="15"/>
  <c r="AS44" i="15"/>
  <c r="E160" i="3"/>
  <c r="E159" i="3"/>
  <c r="E157" i="3"/>
  <c r="E158" i="3"/>
  <c r="H45" i="5"/>
  <c r="H138" i="3"/>
  <c r="H64" i="3"/>
  <c r="H62" i="3" l="1"/>
  <c r="I18" i="5"/>
  <c r="I26" i="5" l="1"/>
  <c r="H272" i="3" l="1"/>
  <c r="H15" i="10" l="1"/>
  <c r="H8" i="10"/>
  <c r="H22" i="10"/>
  <c r="H18" i="10"/>
  <c r="F47" i="5" l="1"/>
  <c r="E142" i="3"/>
  <c r="I52" i="5" l="1"/>
  <c r="I10" i="5"/>
  <c r="I11" i="5"/>
  <c r="I9" i="5"/>
  <c r="I8" i="5"/>
  <c r="H16" i="3"/>
  <c r="I96" i="5"/>
  <c r="I95" i="5"/>
  <c r="I94" i="5"/>
  <c r="I93" i="5"/>
  <c r="I92" i="5"/>
  <c r="I91" i="5"/>
  <c r="I90" i="5"/>
  <c r="H87" i="5"/>
  <c r="F87" i="5"/>
  <c r="I86" i="5"/>
  <c r="I85" i="5"/>
  <c r="F84" i="5"/>
  <c r="I84" i="5" s="1"/>
  <c r="I83" i="5"/>
  <c r="I82" i="5"/>
  <c r="I81" i="5"/>
  <c r="H226" i="3"/>
  <c r="H225" i="3"/>
  <c r="F78" i="5"/>
  <c r="I78" i="5" s="1"/>
  <c r="I77" i="5"/>
  <c r="I76" i="5"/>
  <c r="I75" i="5"/>
  <c r="I74" i="5"/>
  <c r="I73" i="5"/>
  <c r="I72" i="5"/>
  <c r="I71" i="5"/>
  <c r="I70" i="5"/>
  <c r="I69" i="5"/>
  <c r="I68" i="5"/>
  <c r="I67" i="5"/>
  <c r="I66" i="5"/>
  <c r="I65" i="5"/>
  <c r="I64" i="5"/>
  <c r="I63" i="5"/>
  <c r="I62" i="5"/>
  <c r="I61" i="5"/>
  <c r="I60" i="5"/>
  <c r="I59" i="5"/>
  <c r="I58" i="5"/>
  <c r="I57" i="5"/>
  <c r="I56" i="5"/>
  <c r="H53" i="5"/>
  <c r="I53" i="5" s="1"/>
  <c r="H51" i="5"/>
  <c r="F51" i="5"/>
  <c r="H50" i="5"/>
  <c r="I50" i="5" s="1"/>
  <c r="F49" i="5"/>
  <c r="I49" i="5" s="1"/>
  <c r="F48" i="5"/>
  <c r="I48" i="5" s="1"/>
  <c r="I47" i="5"/>
  <c r="F46" i="5"/>
  <c r="I46" i="5" s="1"/>
  <c r="I45" i="5"/>
  <c r="I44" i="5"/>
  <c r="H43" i="5"/>
  <c r="F43" i="5"/>
  <c r="F42" i="5"/>
  <c r="I42" i="5" s="1"/>
  <c r="F41" i="5"/>
  <c r="I41" i="5" s="1"/>
  <c r="F40" i="5"/>
  <c r="I40" i="5" s="1"/>
  <c r="I39" i="5"/>
  <c r="I38" i="5"/>
  <c r="I34" i="5"/>
  <c r="F35" i="5"/>
  <c r="I35" i="5" s="1"/>
  <c r="F33" i="5"/>
  <c r="I33" i="5" s="1"/>
  <c r="F32" i="5"/>
  <c r="I32" i="5" s="1"/>
  <c r="I31" i="5"/>
  <c r="F30" i="5"/>
  <c r="I30" i="5" s="1"/>
  <c r="I29" i="5"/>
  <c r="I28" i="5"/>
  <c r="I27" i="5"/>
  <c r="I23" i="5"/>
  <c r="I22" i="5"/>
  <c r="I21" i="5"/>
  <c r="I20" i="5"/>
  <c r="I19" i="5"/>
  <c r="E117" i="3"/>
  <c r="H117" i="3" s="1"/>
  <c r="I43" i="5" l="1"/>
  <c r="I51" i="5"/>
  <c r="I87" i="5"/>
  <c r="I15" i="5"/>
  <c r="I14" i="5"/>
  <c r="I13" i="5"/>
  <c r="I12" i="5"/>
  <c r="I5" i="5"/>
  <c r="I4" i="5"/>
  <c r="E222" i="3"/>
  <c r="H222" i="3" s="1"/>
  <c r="E221" i="3"/>
  <c r="H221" i="3" s="1"/>
  <c r="E220" i="3"/>
  <c r="H220" i="3" s="1"/>
  <c r="E219" i="3"/>
  <c r="H219" i="3" s="1"/>
  <c r="E218" i="3"/>
  <c r="H218" i="3" s="1"/>
  <c r="E217" i="3"/>
  <c r="H217" i="3" s="1"/>
  <c r="E216" i="3"/>
  <c r="H216" i="3" s="1"/>
  <c r="E215" i="3"/>
  <c r="H215" i="3" s="1"/>
  <c r="E214" i="3"/>
  <c r="H214" i="3" s="1"/>
  <c r="E213" i="3"/>
  <c r="H213" i="3" s="1"/>
  <c r="H212" i="3"/>
  <c r="H211" i="3"/>
  <c r="H210" i="3"/>
  <c r="H209" i="3"/>
  <c r="H208" i="3"/>
  <c r="H207" i="3"/>
  <c r="H206" i="3"/>
  <c r="H205" i="3"/>
  <c r="H201" i="3"/>
  <c r="H200" i="3"/>
  <c r="H199" i="3"/>
  <c r="H198" i="3"/>
  <c r="H197" i="3"/>
  <c r="H196" i="3"/>
  <c r="H195" i="3"/>
  <c r="H194" i="3"/>
  <c r="H193" i="3"/>
  <c r="H192" i="3"/>
  <c r="H191" i="3"/>
  <c r="H190" i="3"/>
  <c r="H189" i="3"/>
  <c r="H188" i="3"/>
  <c r="H187" i="3"/>
  <c r="H186" i="3"/>
  <c r="H185" i="3"/>
  <c r="H184" i="3"/>
  <c r="H183" i="3"/>
  <c r="H182" i="3"/>
  <c r="H181" i="3"/>
  <c r="H180" i="3"/>
  <c r="H179" i="3"/>
  <c r="H178" i="3"/>
  <c r="H177" i="3"/>
  <c r="G174" i="3"/>
  <c r="E174" i="3"/>
  <c r="G173" i="3"/>
  <c r="E173" i="3"/>
  <c r="G172" i="3"/>
  <c r="E172" i="3"/>
  <c r="E171" i="3"/>
  <c r="H171" i="3" s="1"/>
  <c r="G170" i="3"/>
  <c r="E170" i="3"/>
  <c r="G169" i="3"/>
  <c r="H169" i="3" s="1"/>
  <c r="H168" i="3"/>
  <c r="H167" i="3"/>
  <c r="H166" i="3"/>
  <c r="H165" i="3"/>
  <c r="G248" i="3"/>
  <c r="E248" i="3"/>
  <c r="G247" i="3"/>
  <c r="E247" i="3"/>
  <c r="G246" i="3"/>
  <c r="E246" i="3"/>
  <c r="E245" i="3"/>
  <c r="H245" i="3" s="1"/>
  <c r="G244" i="3"/>
  <c r="E244" i="3"/>
  <c r="E290" i="3"/>
  <c r="H290" i="3" s="1"/>
  <c r="E289" i="3"/>
  <c r="H289" i="3" s="1"/>
  <c r="E288" i="3"/>
  <c r="H288" i="3" s="1"/>
  <c r="E287" i="3"/>
  <c r="H287" i="3" s="1"/>
  <c r="H286" i="3"/>
  <c r="H285" i="3"/>
  <c r="G164" i="3"/>
  <c r="E164" i="3"/>
  <c r="G163" i="3"/>
  <c r="E163" i="3"/>
  <c r="G162" i="3"/>
  <c r="E162" i="3"/>
  <c r="G161" i="3"/>
  <c r="E161" i="3"/>
  <c r="H204" i="3"/>
  <c r="H203" i="3"/>
  <c r="H202" i="3"/>
  <c r="H160" i="3"/>
  <c r="H159" i="3"/>
  <c r="H158" i="3"/>
  <c r="H157" i="3"/>
  <c r="G156" i="3"/>
  <c r="H156" i="3" s="1"/>
  <c r="E155" i="3"/>
  <c r="H155" i="3" s="1"/>
  <c r="E154" i="3"/>
  <c r="H154" i="3" s="1"/>
  <c r="E153" i="3"/>
  <c r="H153" i="3" s="1"/>
  <c r="E152" i="3"/>
  <c r="H152" i="3" s="1"/>
  <c r="E151" i="3"/>
  <c r="E243" i="3"/>
  <c r="H243" i="3" s="1"/>
  <c r="E242" i="3"/>
  <c r="H242" i="3" s="1"/>
  <c r="E241" i="3"/>
  <c r="H241" i="3" s="1"/>
  <c r="H240" i="3"/>
  <c r="E150" i="3"/>
  <c r="H150" i="3" s="1"/>
  <c r="E149" i="3"/>
  <c r="H149" i="3" s="1"/>
  <c r="E148" i="3"/>
  <c r="H148" i="3" s="1"/>
  <c r="E147" i="3"/>
  <c r="H147" i="3" s="1"/>
  <c r="E146" i="3"/>
  <c r="E145" i="3"/>
  <c r="H145" i="3" s="1"/>
  <c r="E144" i="3"/>
  <c r="H144" i="3" s="1"/>
  <c r="E143" i="3"/>
  <c r="H143" i="3" s="1"/>
  <c r="H142" i="3"/>
  <c r="H284" i="3"/>
  <c r="H283" i="3"/>
  <c r="H282" i="3"/>
  <c r="H281" i="3"/>
  <c r="H280" i="3"/>
  <c r="H279" i="3"/>
  <c r="H278" i="3"/>
  <c r="H277" i="3"/>
  <c r="H276" i="3"/>
  <c r="H275" i="3"/>
  <c r="H274" i="3"/>
  <c r="H273" i="3"/>
  <c r="H239" i="3"/>
  <c r="H238" i="3"/>
  <c r="H237" i="3"/>
  <c r="H236" i="3"/>
  <c r="H235" i="3"/>
  <c r="E141" i="3"/>
  <c r="H141" i="3" s="1"/>
  <c r="E140" i="3"/>
  <c r="H140" i="3" s="1"/>
  <c r="E139" i="3"/>
  <c r="H139" i="3" s="1"/>
  <c r="H136" i="3"/>
  <c r="H135" i="3"/>
  <c r="H134" i="3"/>
  <c r="H133" i="3"/>
  <c r="H132" i="3"/>
  <c r="H271" i="3"/>
  <c r="H270" i="3"/>
  <c r="H269" i="3"/>
  <c r="H268" i="3"/>
  <c r="H267" i="3"/>
  <c r="H266" i="3"/>
  <c r="H265" i="3"/>
  <c r="H264" i="3"/>
  <c r="H263" i="3"/>
  <c r="H262" i="3"/>
  <c r="G131" i="3"/>
  <c r="E131" i="3"/>
  <c r="G130" i="3"/>
  <c r="E130" i="3"/>
  <c r="G129" i="3"/>
  <c r="E129" i="3"/>
  <c r="E128" i="3"/>
  <c r="H128" i="3" s="1"/>
  <c r="G127" i="3"/>
  <c r="E127" i="3"/>
  <c r="E58" i="3"/>
  <c r="H58" i="3" s="1"/>
  <c r="E57" i="3"/>
  <c r="H57" i="3" s="1"/>
  <c r="E56" i="3"/>
  <c r="H56" i="3" s="1"/>
  <c r="E55" i="3"/>
  <c r="H55" i="3" s="1"/>
  <c r="H54" i="3"/>
  <c r="E53" i="3"/>
  <c r="H53" i="3" s="1"/>
  <c r="E52" i="3"/>
  <c r="H52" i="3" s="1"/>
  <c r="E51" i="3"/>
  <c r="H51" i="3" s="1"/>
  <c r="E50" i="3"/>
  <c r="H50" i="3" s="1"/>
  <c r="H49" i="3"/>
  <c r="E48" i="3"/>
  <c r="H48" i="3" s="1"/>
  <c r="E47" i="3"/>
  <c r="H47" i="3" s="1"/>
  <c r="E46" i="3"/>
  <c r="H46" i="3" s="1"/>
  <c r="E45" i="3"/>
  <c r="H45" i="3" s="1"/>
  <c r="H44" i="3"/>
  <c r="E43" i="3"/>
  <c r="H43" i="3" s="1"/>
  <c r="E42" i="3"/>
  <c r="H42" i="3" s="1"/>
  <c r="E41" i="3"/>
  <c r="H41" i="3" s="1"/>
  <c r="H40" i="3"/>
  <c r="H39" i="3"/>
  <c r="E38" i="3"/>
  <c r="H38" i="3" s="1"/>
  <c r="E37" i="3"/>
  <c r="H37" i="3" s="1"/>
  <c r="E36" i="3"/>
  <c r="H36" i="3" s="1"/>
  <c r="H35" i="3"/>
  <c r="H34" i="3"/>
  <c r="E33" i="3"/>
  <c r="H33" i="3" s="1"/>
  <c r="E32" i="3"/>
  <c r="H32" i="3" s="1"/>
  <c r="E31" i="3"/>
  <c r="H31" i="3" s="1"/>
  <c r="E30" i="3"/>
  <c r="H30" i="3" s="1"/>
  <c r="H29" i="3"/>
  <c r="E28" i="3"/>
  <c r="H28" i="3" s="1"/>
  <c r="E27" i="3"/>
  <c r="H27" i="3" s="1"/>
  <c r="E26" i="3"/>
  <c r="H26" i="3" s="1"/>
  <c r="H25" i="3"/>
  <c r="H24" i="3"/>
  <c r="E23" i="3"/>
  <c r="H23" i="3" s="1"/>
  <c r="E22" i="3"/>
  <c r="H22" i="3" s="1"/>
  <c r="E21" i="3"/>
  <c r="H21" i="3" s="1"/>
  <c r="H20" i="3"/>
  <c r="H19" i="3"/>
  <c r="E234" i="3"/>
  <c r="H234" i="3" s="1"/>
  <c r="E233" i="3"/>
  <c r="H233" i="3" s="1"/>
  <c r="E232" i="3"/>
  <c r="H232" i="3" s="1"/>
  <c r="E231" i="3"/>
  <c r="H231" i="3" s="1"/>
  <c r="E230" i="3"/>
  <c r="H229" i="3"/>
  <c r="H228" i="3"/>
  <c r="E126" i="3"/>
  <c r="H126" i="3" s="1"/>
  <c r="E125" i="3"/>
  <c r="H125" i="3" s="1"/>
  <c r="E124" i="3"/>
  <c r="H124" i="3" s="1"/>
  <c r="E123" i="3"/>
  <c r="H123" i="3" s="1"/>
  <c r="E122" i="3"/>
  <c r="E121" i="3"/>
  <c r="H121" i="3" s="1"/>
  <c r="E120" i="3"/>
  <c r="H120" i="3" s="1"/>
  <c r="E119" i="3"/>
  <c r="H119" i="3" s="1"/>
  <c r="E118" i="3"/>
  <c r="H118" i="3" s="1"/>
  <c r="E116" i="3"/>
  <c r="H116" i="3" s="1"/>
  <c r="E115" i="3"/>
  <c r="H115" i="3" s="1"/>
  <c r="E114" i="3"/>
  <c r="H114" i="3" s="1"/>
  <c r="E113" i="3"/>
  <c r="H113" i="3" s="1"/>
  <c r="E261" i="3"/>
  <c r="H261" i="3" s="1"/>
  <c r="E260" i="3"/>
  <c r="H260" i="3" s="1"/>
  <c r="E259" i="3"/>
  <c r="H259" i="3" s="1"/>
  <c r="E258" i="3"/>
  <c r="H258" i="3" s="1"/>
  <c r="H257" i="3"/>
  <c r="H256" i="3"/>
  <c r="H255" i="3"/>
  <c r="H254" i="3"/>
  <c r="H253" i="3"/>
  <c r="H252" i="3"/>
  <c r="E110" i="3"/>
  <c r="H110" i="3" s="1"/>
  <c r="E109" i="3"/>
  <c r="H109" i="3" s="1"/>
  <c r="E108" i="3"/>
  <c r="H108" i="3" s="1"/>
  <c r="E107" i="3"/>
  <c r="H107" i="3" s="1"/>
  <c r="E106" i="3"/>
  <c r="E105" i="3"/>
  <c r="H105" i="3" s="1"/>
  <c r="E104" i="3"/>
  <c r="H104" i="3" s="1"/>
  <c r="E103" i="3"/>
  <c r="H103" i="3" s="1"/>
  <c r="H102" i="3"/>
  <c r="H101" i="3"/>
  <c r="H100" i="3"/>
  <c r="H99" i="3"/>
  <c r="H98" i="3"/>
  <c r="H97" i="3"/>
  <c r="H96" i="3"/>
  <c r="H95" i="3"/>
  <c r="H94" i="3"/>
  <c r="H93" i="3"/>
  <c r="H92" i="3"/>
  <c r="H90" i="3"/>
  <c r="H87" i="3"/>
  <c r="H86" i="3"/>
  <c r="H85" i="3"/>
  <c r="H84" i="3"/>
  <c r="E83" i="3"/>
  <c r="H83" i="3" s="1"/>
  <c r="E82" i="3"/>
  <c r="H82" i="3" s="1"/>
  <c r="E81" i="3"/>
  <c r="H81" i="3" s="1"/>
  <c r="H80" i="3"/>
  <c r="H79" i="3"/>
  <c r="H78" i="3"/>
  <c r="H77" i="3"/>
  <c r="H76" i="3"/>
  <c r="H75" i="3"/>
  <c r="H74" i="3"/>
  <c r="H73" i="3"/>
  <c r="H72" i="3"/>
  <c r="H71" i="3"/>
  <c r="H70" i="3"/>
  <c r="H69" i="3"/>
  <c r="H68" i="3"/>
  <c r="H67" i="3"/>
  <c r="H66" i="3"/>
  <c r="H65" i="3"/>
  <c r="H15" i="3"/>
  <c r="H14" i="3"/>
  <c r="H13" i="3"/>
  <c r="H12" i="3"/>
  <c r="H11" i="3"/>
  <c r="H10" i="3"/>
  <c r="H9" i="3"/>
  <c r="H8" i="3"/>
  <c r="H7" i="3"/>
  <c r="H6" i="3"/>
  <c r="H127" i="3" l="1"/>
  <c r="H170" i="3"/>
  <c r="H247" i="3"/>
  <c r="H173" i="3"/>
  <c r="H163" i="3"/>
  <c r="H172" i="3"/>
  <c r="H246" i="3"/>
  <c r="H244" i="3"/>
  <c r="H162" i="3"/>
  <c r="H161" i="3"/>
  <c r="H129" i="3"/>
  <c r="H164" i="3"/>
  <c r="H130" i="3"/>
  <c r="H174" i="3"/>
  <c r="H248" i="3"/>
  <c r="H131" i="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4FB6C86-140A-4044-8A42-E499DD756FAE}" keepAlive="1" name="Query - HRS_r2" description="Connection to the 'HRS_r2' query in the workbook." type="5" refreshedVersion="0" background="1">
    <dbPr connection="Provider=Microsoft.Mashup.OleDb.1;Data Source=$Workbook$;Location=HRS_r2;Extended Properties=&quot;&quot;" command="SELECT * FROM [HRS_r2]"/>
  </connection>
</connections>
</file>

<file path=xl/sharedStrings.xml><?xml version="1.0" encoding="utf-8"?>
<sst xmlns="http://schemas.openxmlformats.org/spreadsheetml/2006/main" count="6623" uniqueCount="1734">
  <si>
    <t>Phenotype</t>
  </si>
  <si>
    <t>Dataset(s)</t>
  </si>
  <si>
    <r>
      <rPr>
        <b/>
        <i/>
        <sz val="8"/>
        <color theme="1"/>
        <rFont val="Georgia"/>
        <family val="1"/>
      </rPr>
      <t>N</t>
    </r>
    <r>
      <rPr>
        <b/>
        <sz val="8"/>
        <color theme="1"/>
        <rFont val="Georgia"/>
        <family val="1"/>
      </rPr>
      <t xml:space="preserve"> UKB</t>
    </r>
  </si>
  <si>
    <r>
      <rPr>
        <b/>
        <i/>
        <sz val="8"/>
        <color theme="1"/>
        <rFont val="Georgia"/>
        <family val="1"/>
      </rPr>
      <t>N</t>
    </r>
    <r>
      <rPr>
        <b/>
        <sz val="8"/>
        <color theme="1"/>
        <rFont val="Georgia"/>
        <family val="1"/>
      </rPr>
      <t xml:space="preserve"> 23andMe</t>
    </r>
  </si>
  <si>
    <r>
      <rPr>
        <b/>
        <i/>
        <sz val="8"/>
        <color theme="1"/>
        <rFont val="Georgia"/>
        <family val="1"/>
      </rPr>
      <t>N</t>
    </r>
    <r>
      <rPr>
        <b/>
        <sz val="8"/>
        <color theme="1"/>
        <rFont val="Georgia"/>
        <family val="1"/>
      </rPr>
      <t xml:space="preserve"> other</t>
    </r>
  </si>
  <si>
    <r>
      <t xml:space="preserve">Total </t>
    </r>
    <r>
      <rPr>
        <b/>
        <i/>
        <sz val="8"/>
        <color theme="1"/>
        <rFont val="Georgia"/>
        <family val="1"/>
      </rPr>
      <t>N</t>
    </r>
    <r>
      <rPr>
        <b/>
        <sz val="8"/>
        <color theme="1"/>
        <rFont val="Georgia"/>
        <family val="1"/>
      </rPr>
      <t xml:space="preserve"> </t>
    </r>
  </si>
  <si>
    <t>Anthropometric</t>
  </si>
  <si>
    <t>Body Mass Index (BMI)</t>
  </si>
  <si>
    <t>BMI1</t>
  </si>
  <si>
    <t>N/A</t>
  </si>
  <si>
    <t>BMI2</t>
  </si>
  <si>
    <t>23andMe, UKB1, UKB2, UKB3</t>
  </si>
  <si>
    <t>UKB1, UKB2, UKB3</t>
  </si>
  <si>
    <t>BMI3</t>
  </si>
  <si>
    <t>UKB1</t>
  </si>
  <si>
    <t>BMI4</t>
  </si>
  <si>
    <t>UKB2</t>
  </si>
  <si>
    <t>BMI5</t>
  </si>
  <si>
    <t>UKB3</t>
  </si>
  <si>
    <t>Height</t>
  </si>
  <si>
    <t>HEIGHT1</t>
  </si>
  <si>
    <t>23andMe, Yengo et al. EUR excl 23andMe</t>
  </si>
  <si>
    <t>HEIGHT2</t>
  </si>
  <si>
    <t>23andMe, UKB1, UKB2, UKB3, Wood et al.</t>
  </si>
  <si>
    <t>ALSPAC, GS, HRS, MCTFR</t>
  </si>
  <si>
    <t>HEIGHT3</t>
  </si>
  <si>
    <t>HEIGHT4</t>
  </si>
  <si>
    <t>23andMe, UKB2, UKB3, Yengo et al. EUR excl 23andMe and UKB</t>
  </si>
  <si>
    <t>HEIGHT5</t>
  </si>
  <si>
    <t>23andMe, UKB1, UKB3, Yengo et al. EUR excl 23andMe and UKB</t>
  </si>
  <si>
    <t>HEIGHT6</t>
  </si>
  <si>
    <t>23andMe, UKB1, UKB2, Yengo et al. EUR excl 23andMe and UKB</t>
  </si>
  <si>
    <t>Cognition and Education</t>
  </si>
  <si>
    <t>Alzheimer's</t>
  </si>
  <si>
    <t>ALZ1</t>
  </si>
  <si>
    <t>ALZ2</t>
  </si>
  <si>
    <t>STR, FinnGen, UKB1, UKB2, UKB3</t>
  </si>
  <si>
    <t>ALZ3</t>
  </si>
  <si>
    <t>FinnGen, STR</t>
  </si>
  <si>
    <t>ALZ4</t>
  </si>
  <si>
    <t>23andMe, UKB2, UKB3</t>
  </si>
  <si>
    <t>UKB2, UKB3</t>
  </si>
  <si>
    <t>23andMe, UKB1, UKB3</t>
  </si>
  <si>
    <t>UKB1, UKB3</t>
  </si>
  <si>
    <t>23andMe, UKB1, UKB2</t>
  </si>
  <si>
    <t>UKB1, UKB2</t>
  </si>
  <si>
    <t>Childhood Reading</t>
  </si>
  <si>
    <t>READING1</t>
  </si>
  <si>
    <t xml:space="preserve">23andMe </t>
  </si>
  <si>
    <t>-</t>
  </si>
  <si>
    <t xml:space="preserve">Cognitive Performance </t>
  </si>
  <si>
    <t>CP1</t>
  </si>
  <si>
    <t>UKB1, UKB2, UKB3, Trampush et al.</t>
  </si>
  <si>
    <t>FinnGen, MCTFR, UKB1, UKB2, UKB3</t>
  </si>
  <si>
    <t>CP2</t>
  </si>
  <si>
    <t>FinnGen, MCTFR</t>
  </si>
  <si>
    <t>CP3</t>
  </si>
  <si>
    <t>UKB2, UKB3, Trampush et al.</t>
  </si>
  <si>
    <t>FinnGen, MCTFR, UKB2, UKB3</t>
  </si>
  <si>
    <t>CP4</t>
  </si>
  <si>
    <t>UKB1, UKB3, Trampush et al.</t>
  </si>
  <si>
    <t>FinnGen, MCTFR, UKB1, UKB3</t>
  </si>
  <si>
    <t>CP5</t>
  </si>
  <si>
    <t>UKB1, UKB2, Trampush et al.</t>
  </si>
  <si>
    <t>FinnGen, MCTFR, UKB1, UKB2</t>
  </si>
  <si>
    <t>Educational Attainment</t>
  </si>
  <si>
    <t>EA1</t>
  </si>
  <si>
    <t>23andMe, Okbay et al. excl 23andMe</t>
  </si>
  <si>
    <t>EA2</t>
  </si>
  <si>
    <t>23andMe, Okbay et al. excl 23andMe, AddHealth</t>
  </si>
  <si>
    <t>AddHealth</t>
  </si>
  <si>
    <t>EA3</t>
  </si>
  <si>
    <t>23andMe, Okbay et al. excl 23andMe, ALSPAC</t>
  </si>
  <si>
    <t>ALSPAC</t>
  </si>
  <si>
    <t>EA4</t>
  </si>
  <si>
    <t>23andMe, Okbay et al. excl 23andMe, EBB</t>
  </si>
  <si>
    <t>EBB</t>
  </si>
  <si>
    <t>EA5</t>
  </si>
  <si>
    <t>23andMe, Okbay et al. excl 23andMe, ELSA</t>
  </si>
  <si>
    <t>ELSA</t>
  </si>
  <si>
    <t>EA6</t>
  </si>
  <si>
    <t>23andMe, Okbay et al. excl FinnGen</t>
  </si>
  <si>
    <t>FinnGen</t>
  </si>
  <si>
    <t>EA7</t>
  </si>
  <si>
    <t>23andMe, Okbay et al. excl 23andMe, HRS</t>
  </si>
  <si>
    <t>HRS</t>
  </si>
  <si>
    <t>EA8</t>
  </si>
  <si>
    <t>AddHealth, ALSPAC, EBB, ELSA, FinnGen, HRS, MCTFR, STR, UKB1, UKB2, UKB3, WLS</t>
  </si>
  <si>
    <t>EA9</t>
  </si>
  <si>
    <t>23andMe, Okbay et al. excl 23andMe, STR</t>
  </si>
  <si>
    <t>STR</t>
  </si>
  <si>
    <t>EA10</t>
  </si>
  <si>
    <t>23andMe, Okbay et al. excl 23andMe, WLS</t>
  </si>
  <si>
    <t>WLS</t>
  </si>
  <si>
    <t>EA11</t>
  </si>
  <si>
    <t>23andMe, UKB2, UKB3, Okbay et al. excl 23andMe, UKB</t>
  </si>
  <si>
    <t>EA12</t>
  </si>
  <si>
    <t>23andMe, UKB1, UKB3, Okbay et al. excl 23andMe, UKB</t>
  </si>
  <si>
    <t>EA13</t>
  </si>
  <si>
    <t>23andMe, UKB1, UKB2, Okbay et al. excl 23andMe, UKB</t>
  </si>
  <si>
    <t>UKB1, UKB1</t>
  </si>
  <si>
    <t>EA14</t>
  </si>
  <si>
    <t>23andMe, Okbay et al. excl 23andMe, MCTFR</t>
  </si>
  <si>
    <t>MCTFR</t>
  </si>
  <si>
    <t>EA15</t>
  </si>
  <si>
    <t>23andMe, Okbay et al. excl 23andMe, GS</t>
  </si>
  <si>
    <t>GS</t>
  </si>
  <si>
    <t xml:space="preserve">Highest Math </t>
  </si>
  <si>
    <t>HIGHMATH1</t>
  </si>
  <si>
    <t>Self-Rated Math Ability</t>
  </si>
  <si>
    <t>SELFMATH1</t>
  </si>
  <si>
    <t>Fertility and Sexual Development</t>
  </si>
  <si>
    <t>Age First Birth</t>
  </si>
  <si>
    <t>AFB1</t>
  </si>
  <si>
    <t xml:space="preserve">23andMe, Mills et al. </t>
  </si>
  <si>
    <t>AFB2</t>
  </si>
  <si>
    <t>23andMe, UKB1, UKB2, UKB3, Barban et al. excl 23andMe</t>
  </si>
  <si>
    <t>AddHealth, WLS</t>
  </si>
  <si>
    <t>AFB3</t>
  </si>
  <si>
    <t xml:space="preserve">23andMe, UKB1, UKB2, UKB3 </t>
  </si>
  <si>
    <t>AFB4</t>
  </si>
  <si>
    <t>AFB5</t>
  </si>
  <si>
    <t>AFB6</t>
  </si>
  <si>
    <t>Age First Menses (Women)</t>
  </si>
  <si>
    <t>MENARCHE1</t>
  </si>
  <si>
    <t>23andMe, Day et al. excl 23andMe</t>
  </si>
  <si>
    <t>ALSPAC, EBB, GS, STR, UKB1, UKB2, UKB3</t>
  </si>
  <si>
    <t>MENARCHE2</t>
  </si>
  <si>
    <t>ALSPAC, EBB, STR</t>
  </si>
  <si>
    <t>MENARCHE3</t>
  </si>
  <si>
    <t>23andMe, UKB2, UKB3, Perry et al.</t>
  </si>
  <si>
    <t>MENARCHE4</t>
  </si>
  <si>
    <t>23andMe, UKB1, UKB3, Perry et al.</t>
  </si>
  <si>
    <t>MENARCHE5</t>
  </si>
  <si>
    <t>23andMe, UKB1, UKB2, Perry et al.</t>
  </si>
  <si>
    <t>MENARCHE6</t>
  </si>
  <si>
    <t>23andMe, UKB1, UKB2, UKB3, Perry et al.</t>
  </si>
  <si>
    <t>Age First Sex</t>
  </si>
  <si>
    <t>AFS1</t>
  </si>
  <si>
    <t xml:space="preserve">Mills et al. </t>
  </si>
  <si>
    <t>AFS2</t>
  </si>
  <si>
    <t>AFS3</t>
  </si>
  <si>
    <t>AFS4</t>
  </si>
  <si>
    <t xml:space="preserve">Age Voice Deepened (Men) </t>
  </si>
  <si>
    <t>23andMe</t>
  </si>
  <si>
    <t>Childlessness (Men)</t>
  </si>
  <si>
    <t>Childlessness (Women)</t>
  </si>
  <si>
    <t>Childlessness (Pooled)</t>
  </si>
  <si>
    <t>Mathieson et al.</t>
  </si>
  <si>
    <t>Number Ever Born (Men)</t>
  </si>
  <si>
    <t>UKB1, UKB2, UKB3, Barban et al. excl 23andMe</t>
  </si>
  <si>
    <t>Number Ever Born (Women)</t>
  </si>
  <si>
    <t>NEBwomen1</t>
  </si>
  <si>
    <t>NEBwomen2</t>
  </si>
  <si>
    <t>NEBwomen3</t>
  </si>
  <si>
    <t>NEBwomen4</t>
  </si>
  <si>
    <t>NEBwomen5</t>
  </si>
  <si>
    <t xml:space="preserve">UKB1, UKB2 </t>
  </si>
  <si>
    <t>Number Ever Born (Pooled)</t>
  </si>
  <si>
    <t>Alcohol Misuse</t>
  </si>
  <si>
    <t>AUDIT1</t>
  </si>
  <si>
    <t>23andMe, UKB1, UKB2, UKB3, Walters et al.</t>
  </si>
  <si>
    <t>Add Health, FinnGen, MCTFR, STR</t>
  </si>
  <si>
    <t>AUDIT2</t>
  </si>
  <si>
    <t>AUDIT3</t>
  </si>
  <si>
    <t>AUDIT4</t>
  </si>
  <si>
    <t>AUDIT5</t>
  </si>
  <si>
    <t>23andMe. UKB1, UKB2</t>
  </si>
  <si>
    <t>ASI1</t>
  </si>
  <si>
    <t xml:space="preserve">23andMe, Saunders et al. EUR excl 23andMe </t>
  </si>
  <si>
    <t>ALSPAC, EBB, FinnGen, HRS, UKB1, UKB2, UKB3, WLS</t>
  </si>
  <si>
    <t>Age Smoking Initiation</t>
  </si>
  <si>
    <t>ASI2</t>
  </si>
  <si>
    <t>23andMe, Liu et al. excl 23andMe</t>
  </si>
  <si>
    <t>ALSPAC, EBB, FinnGen, HRS, UKB1, UKB2, UKB3</t>
  </si>
  <si>
    <t>ASI3</t>
  </si>
  <si>
    <t>ALSPAC, EBB, FinnGen, HRS</t>
  </si>
  <si>
    <t>ASI4</t>
  </si>
  <si>
    <t>23andMe, UKB2, UKB3, Saunders et al. EUR excl &lt;23andMe, UKB&gt;</t>
  </si>
  <si>
    <t>ALSPAC, EBB, FinnGen, HRS, UKB2, UKB3</t>
  </si>
  <si>
    <t>ASI5</t>
  </si>
  <si>
    <t>23andMe, UKB1, UKB3, Saunders et al. EUR excl &lt;23andMe, UKB&gt;</t>
  </si>
  <si>
    <t>ALSPAC, EBB, FinnGen, HRS, UKB1, UKB3</t>
  </si>
  <si>
    <t>ASI6</t>
  </si>
  <si>
    <t>23andMe, UKB1, UKB2, Saunders et al. EUR excl &lt;23andMe, UKB&gt;</t>
  </si>
  <si>
    <t>ALSPAC, EBB, FinnGen, HRS, UKB1, UKB2</t>
  </si>
  <si>
    <t>Allergy - Cat</t>
  </si>
  <si>
    <t>Allergy - Dust</t>
  </si>
  <si>
    <t>Allergy - Pollen</t>
  </si>
  <si>
    <t>ALLERGYPOLLEN1</t>
  </si>
  <si>
    <t>ALLERGYPOLLEN2</t>
  </si>
  <si>
    <t>ALLERGYPOLLEN3</t>
  </si>
  <si>
    <t>ALLERGYPOLLEN4</t>
  </si>
  <si>
    <t>Anorexia Nervosa</t>
  </si>
  <si>
    <t>ANOREX1</t>
  </si>
  <si>
    <t xml:space="preserve">Watson et al. </t>
  </si>
  <si>
    <t>ANOREX2</t>
  </si>
  <si>
    <t>Duncan et al.</t>
  </si>
  <si>
    <t>Asthma</t>
  </si>
  <si>
    <t>ASTHMA1</t>
  </si>
  <si>
    <t>23andMe, UKB1, UKB2, UKB3, Tsuo et al. All excl UKB</t>
  </si>
  <si>
    <t>EBB, FinnGen, GS, UKB1, UKB2, UKB3</t>
  </si>
  <si>
    <t>ASTHMA2</t>
  </si>
  <si>
    <t>EBB, FinnGen, GS</t>
  </si>
  <si>
    <t>ASTHMA3</t>
  </si>
  <si>
    <t>EBB, FinnGen, UKB2, UKB3</t>
  </si>
  <si>
    <t>ASTHMA4</t>
  </si>
  <si>
    <t>EBB, FinnGen, UKB1, UKB3</t>
  </si>
  <si>
    <t>ASTHMA5</t>
  </si>
  <si>
    <t>EBB, FinnGen, UKB1, UKB2</t>
  </si>
  <si>
    <t>Asthma/Eczema/Rhinitis</t>
  </si>
  <si>
    <t>ASTECZRHI1</t>
  </si>
  <si>
    <t>23andMe, UKB1, UKB2, UKB3, Ferreira et al. excl 23andMe</t>
  </si>
  <si>
    <t>UKB1, UKB2, UKB3, STR</t>
  </si>
  <si>
    <t>ASTECZRHI2</t>
  </si>
  <si>
    <t>ASTECZRHI3</t>
  </si>
  <si>
    <t>ASTECZRHI4</t>
  </si>
  <si>
    <t>ASTECZRHI5</t>
  </si>
  <si>
    <t>Attention Deficit Hyperactivity Disorder (ADHD)</t>
  </si>
  <si>
    <t>ADHD1</t>
  </si>
  <si>
    <t>23andMe, Demontis et al. 2023</t>
  </si>
  <si>
    <t>Autism Spectrum Disorder</t>
  </si>
  <si>
    <t>ASD1</t>
  </si>
  <si>
    <t>Grove et al.</t>
  </si>
  <si>
    <t>Bipolar Disorder</t>
  </si>
  <si>
    <t>BIPOLAR1</t>
  </si>
  <si>
    <t xml:space="preserve">UKB1, UKB2, UKB3, Mullins et al. </t>
  </si>
  <si>
    <t>BIPOLAR2</t>
  </si>
  <si>
    <t>BIPOLAR3</t>
  </si>
  <si>
    <t>UKB2, UKB3, Stahl et al.</t>
  </si>
  <si>
    <t>BIPOLAR4</t>
  </si>
  <si>
    <t>UKB1, UKB3, Stahl et al.</t>
  </si>
  <si>
    <t>BIPOLAR5</t>
  </si>
  <si>
    <t>UKB1, UKB2, Stahl et al.</t>
  </si>
  <si>
    <t>Blood lipids - HDL cholesterol</t>
  </si>
  <si>
    <t>BL_HDL1</t>
  </si>
  <si>
    <t>Graham et al.</t>
  </si>
  <si>
    <t>BL_HDL2</t>
  </si>
  <si>
    <t xml:space="preserve">Sinnott-Armstrong et al. </t>
  </si>
  <si>
    <t>BL_HDL3</t>
  </si>
  <si>
    <t>UKB2, UKB3, Graham et al excl UKB</t>
  </si>
  <si>
    <t>BL_HDL4</t>
  </si>
  <si>
    <t>UKB1, UKB3, Graham et al excl UKB</t>
  </si>
  <si>
    <t>BL_HDL5</t>
  </si>
  <si>
    <t>UKB1, UKB2, Graham et al excl UKB</t>
  </si>
  <si>
    <t>Blood lipids - LDL cholesterol</t>
  </si>
  <si>
    <t>BL_LDL1</t>
  </si>
  <si>
    <t>BL_LDL2</t>
  </si>
  <si>
    <t>BL_LDL3</t>
  </si>
  <si>
    <t>BL_LDL4</t>
  </si>
  <si>
    <t>BL_LDL5</t>
  </si>
  <si>
    <t>Blood lipids - nonHDL cholesterol</t>
  </si>
  <si>
    <t>BL_nonHDL1</t>
  </si>
  <si>
    <t>BL_nonHDL2</t>
  </si>
  <si>
    <t>BL_nonHDL3</t>
  </si>
  <si>
    <t>BL_nonHDL4</t>
  </si>
  <si>
    <t>BL_nonHDL5</t>
  </si>
  <si>
    <t>BL_CHOL1</t>
  </si>
  <si>
    <t>Blood lipids - Total cholesterol</t>
  </si>
  <si>
    <t>BL_CHOL2</t>
  </si>
  <si>
    <t>BL_CHOL3</t>
  </si>
  <si>
    <t>BL_CHOL4</t>
  </si>
  <si>
    <t>BL_CHOL5</t>
  </si>
  <si>
    <t>BL_TRYG1</t>
  </si>
  <si>
    <t>Blood lipids - Tryglycerids</t>
  </si>
  <si>
    <t>BL_TRYG2</t>
  </si>
  <si>
    <t>BL_TRYG3</t>
  </si>
  <si>
    <t>BL_TRYG4</t>
  </si>
  <si>
    <t>BL_TRYG5</t>
  </si>
  <si>
    <t>Blood Pressure - Diastolic</t>
  </si>
  <si>
    <t>BPdia1</t>
  </si>
  <si>
    <t xml:space="preserve">Evangelou et al. </t>
  </si>
  <si>
    <t>BPdia2</t>
  </si>
  <si>
    <t>BPdia3</t>
  </si>
  <si>
    <t>UKB2, UKB3, Evangelou et al. excl UKB</t>
  </si>
  <si>
    <t>BPdia4</t>
  </si>
  <si>
    <t>UKB1, UKB3, Evangelou et al. excl UKB</t>
  </si>
  <si>
    <t>BPdia5</t>
  </si>
  <si>
    <t>UKB1, UKB2, Evangelou et al. excl UKB</t>
  </si>
  <si>
    <t>Blood Pressure - Pulse</t>
  </si>
  <si>
    <t>BPpulse1</t>
  </si>
  <si>
    <t>BPpulse2</t>
  </si>
  <si>
    <t>BPpulse3</t>
  </si>
  <si>
    <t>BPpulse4</t>
  </si>
  <si>
    <t>BPpulse5</t>
  </si>
  <si>
    <t>Blood Pressure - Systolic</t>
  </si>
  <si>
    <t>BPsys1</t>
  </si>
  <si>
    <t>BPsys2</t>
  </si>
  <si>
    <t>BPsys3</t>
  </si>
  <si>
    <t>BPsys4</t>
  </si>
  <si>
    <t>BPsys5</t>
  </si>
  <si>
    <t>Breast cancer</t>
  </si>
  <si>
    <t>BRCA1</t>
  </si>
  <si>
    <t>UKB1, UKB2, UKB3, Zhang et al.</t>
  </si>
  <si>
    <t>UKB1,UKB2,UKB3, FinnGen</t>
  </si>
  <si>
    <t>BRCA2</t>
  </si>
  <si>
    <t>UKB1,UKB2,UKB3</t>
  </si>
  <si>
    <t>BRCA3</t>
  </si>
  <si>
    <t>UKB2, UKB3, Zhang et al.</t>
  </si>
  <si>
    <t>BRCA4</t>
  </si>
  <si>
    <t>UKB1, UKB3, Zhang et al.</t>
  </si>
  <si>
    <t>BRCA5</t>
  </si>
  <si>
    <t>UKB1, UKB2, Zhang et al.</t>
  </si>
  <si>
    <t>Cannabis Use</t>
  </si>
  <si>
    <t>CANNABIS1</t>
  </si>
  <si>
    <t>23andMe, UKB1, UKB2, UKB3, Stringer et al.</t>
  </si>
  <si>
    <t>ALSPAC, EBB, FinnGen, MCTFR, UKB1, UKB2, UKB3</t>
  </si>
  <si>
    <t>CANNABIS2</t>
  </si>
  <si>
    <t>ALSPAC, EBB, FinnGen, MCTFR</t>
  </si>
  <si>
    <t>CANNABIS3</t>
  </si>
  <si>
    <t>23andMe, UKB2, UKB3, Stringer et al.</t>
  </si>
  <si>
    <t>ALSPAC, EBB, FinnGen, MCTFR, UKB2, UKB3</t>
  </si>
  <si>
    <t>CANNABIS4</t>
  </si>
  <si>
    <t>23andMe, UKB1, UKB3, Stringer et al.</t>
  </si>
  <si>
    <t>ALSPAC, EBB, FinnGen, MCTFR, UKB1, UKB3</t>
  </si>
  <si>
    <t>CANNABIS5</t>
  </si>
  <si>
    <t>23andMe, UKB1, UKB2, Stringer et al.</t>
  </si>
  <si>
    <t>ALSPAC, EBB, FinnGen, MCTFR, UKB1, UKB2</t>
  </si>
  <si>
    <t>Cigarettes per day</t>
  </si>
  <si>
    <t>CPD1</t>
  </si>
  <si>
    <t>23andMe, Saunders et al. 23andMe EUR</t>
  </si>
  <si>
    <t>ALSPAC, EBB, FinnGen, HRS, MCTFR, UKB1, UKB2, UKB3, WLS</t>
  </si>
  <si>
    <t>CPD2</t>
  </si>
  <si>
    <t>ALSPAC, EBB, FinnGen, HRS, MCTFR, UKB1, UKB2, UKB3</t>
  </si>
  <si>
    <t>CPD3</t>
  </si>
  <si>
    <t>ALSPAC, EBB, FinnGen, HRS, MCTFR</t>
  </si>
  <si>
    <t>CPD4</t>
  </si>
  <si>
    <t>ALSPAC, EBB, FinnGen, HRS, MCTFR, UKB2, UKB3</t>
  </si>
  <si>
    <t>CPD5</t>
  </si>
  <si>
    <t>ALSPAC, EBB, FinnGen, HRS, MCTFR, UKB1, UKB3</t>
  </si>
  <si>
    <t xml:space="preserve">CPD6 </t>
  </si>
  <si>
    <t>ALSPAC, EBB, FinnGen, HRS, MCTFR, UKB1, UKB2</t>
  </si>
  <si>
    <t>COPD</t>
  </si>
  <si>
    <t>COPD1</t>
  </si>
  <si>
    <t>UKB1, UKB2, UKB3, GBMI All excl UKB</t>
  </si>
  <si>
    <t>COPD2</t>
  </si>
  <si>
    <t>COPD3</t>
  </si>
  <si>
    <t>COPD4</t>
  </si>
  <si>
    <t>COPD5</t>
  </si>
  <si>
    <t>Nelson et al., Aragam et al.</t>
  </si>
  <si>
    <t>UKB2, UKB3, Nikpay et al.</t>
  </si>
  <si>
    <t>UKB1, UKB3, Nikpay et al.</t>
  </si>
  <si>
    <t>UKB1, UKB2, Nikpay et al.</t>
  </si>
  <si>
    <t>CAD1</t>
  </si>
  <si>
    <t>CAD2</t>
  </si>
  <si>
    <t>CAD3</t>
  </si>
  <si>
    <t>CAD4</t>
  </si>
  <si>
    <t>CAD5</t>
  </si>
  <si>
    <t>Depressive Symptoms</t>
  </si>
  <si>
    <t>DEP1</t>
  </si>
  <si>
    <t>23andMe, UKB1, UKB2, UKB3, Wray excl UKB and 23andMe</t>
  </si>
  <si>
    <t>GS, STR, UKB1, UKB2, UKB3</t>
  </si>
  <si>
    <t>DEP2</t>
  </si>
  <si>
    <t>23andMe, UKB1, UKB2, UKB3, GERA</t>
  </si>
  <si>
    <t>GS, STR</t>
  </si>
  <si>
    <t>DEP3</t>
  </si>
  <si>
    <t>23andMe, UKB2, UKB3, Wray excl UKB and 23andMe</t>
  </si>
  <si>
    <t>UKB2, UKB3, STR</t>
  </si>
  <si>
    <t>DEP4</t>
  </si>
  <si>
    <t>23andMe, UKB1, UKB3, Wray excl UKB and 23andMe</t>
  </si>
  <si>
    <t>UKB1, UKB3, STR</t>
  </si>
  <si>
    <t>DEP5</t>
  </si>
  <si>
    <t>23andMe, UKB1, UKB2, Wray excl UKB and 23andMe</t>
  </si>
  <si>
    <t>UKB1, UKB2, STR</t>
  </si>
  <si>
    <t>Drinks per Week</t>
  </si>
  <si>
    <t>DPW1</t>
  </si>
  <si>
    <t>DPW2</t>
  </si>
  <si>
    <t>DPW3</t>
  </si>
  <si>
    <t>DPW4</t>
  </si>
  <si>
    <t>DPW5</t>
  </si>
  <si>
    <t>DPW6</t>
  </si>
  <si>
    <t>Eczema</t>
  </si>
  <si>
    <t>Ever Smoker</t>
  </si>
  <si>
    <t>EVERSMOKE1</t>
  </si>
  <si>
    <t>EVERSMOKE2</t>
  </si>
  <si>
    <t>EVERSMOKE3</t>
  </si>
  <si>
    <t>EVERSMOKE4</t>
  </si>
  <si>
    <t>EVERSMOKE5</t>
  </si>
  <si>
    <t>EVERSMOKE6</t>
  </si>
  <si>
    <t>Hayfever</t>
  </si>
  <si>
    <t>HAYFEVER1</t>
  </si>
  <si>
    <t>HAYFEVER2</t>
  </si>
  <si>
    <t>HAYFEVER3</t>
  </si>
  <si>
    <t>HAYFEVER4</t>
  </si>
  <si>
    <t>Inflammatory Bowel Disease</t>
  </si>
  <si>
    <t>IBD1</t>
  </si>
  <si>
    <t xml:space="preserve">UKB1, UKB2, UKB3, Liu et al. </t>
  </si>
  <si>
    <t>IBD2</t>
  </si>
  <si>
    <t>IBD3</t>
  </si>
  <si>
    <t>IBD4</t>
  </si>
  <si>
    <t>IBD5</t>
  </si>
  <si>
    <t>Insomnia</t>
  </si>
  <si>
    <t>INSOMNIA1</t>
  </si>
  <si>
    <t>23andMe, Jansen excl 23andMe</t>
  </si>
  <si>
    <t>INSOMNIA2</t>
  </si>
  <si>
    <t>INSOMNIA3</t>
  </si>
  <si>
    <t>INSOMNIA4</t>
  </si>
  <si>
    <t>Migraine</t>
  </si>
  <si>
    <t>MIGRAINE1</t>
  </si>
  <si>
    <t>23andMe, UKB1, UKB2, UKB3, Hautakangas et al.</t>
  </si>
  <si>
    <t>MIGRAINE2</t>
  </si>
  <si>
    <t>MIGRAINE3</t>
  </si>
  <si>
    <t>23andMe, UKB2, UKB3, Gormley et al.</t>
  </si>
  <si>
    <t>MIGRAINE4</t>
  </si>
  <si>
    <t>23andMe, UKB1, UKB3, Gormley et al.</t>
  </si>
  <si>
    <t>MIGRAINE5</t>
  </si>
  <si>
    <t>23andMe, UKB1, UKB2, Gormley et al.</t>
  </si>
  <si>
    <t>Nearsightedness</t>
  </si>
  <si>
    <t>NEARSIGHTED1</t>
  </si>
  <si>
    <t>23andMe, Hysi et al.</t>
  </si>
  <si>
    <t>EBB, FinnGen, UKB1, UKB2, UKB3</t>
  </si>
  <si>
    <t>NEARSIGHTED2</t>
  </si>
  <si>
    <t>EBB, FinnGen</t>
  </si>
  <si>
    <t>NEARSIGHTED3</t>
  </si>
  <si>
    <t>NEARSIGHTED4</t>
  </si>
  <si>
    <t>NEARSIGHTED5</t>
  </si>
  <si>
    <t>ACTIVITY1</t>
  </si>
  <si>
    <t>23andMe, Wang et al.</t>
  </si>
  <si>
    <t>Physical Activity</t>
  </si>
  <si>
    <t>ACTIVITY2</t>
  </si>
  <si>
    <t>23andMe, Doherty et al.</t>
  </si>
  <si>
    <t>ACTIVITY3</t>
  </si>
  <si>
    <t>Prostate Cancer</t>
  </si>
  <si>
    <t>PRCA1</t>
  </si>
  <si>
    <t xml:space="preserve">UKB1, UKB2, UKB3, Schumacher et al. </t>
  </si>
  <si>
    <t>PRCA2</t>
  </si>
  <si>
    <t xml:space="preserve">UKB2, UKB3, Schumacher et al. </t>
  </si>
  <si>
    <t>PRCA3</t>
  </si>
  <si>
    <t xml:space="preserve">UKB1, UKB3, Schumacher et al. </t>
  </si>
  <si>
    <t>PRCA4</t>
  </si>
  <si>
    <t xml:space="preserve">UKB1, UKB2, Schumacher et al. </t>
  </si>
  <si>
    <t>Smoking Cessation</t>
  </si>
  <si>
    <t>SMCESS1</t>
  </si>
  <si>
    <t>ALSPAC, EBB, FinnGen, MCTFR, UKB1, UKB2, UKB3, WLS</t>
  </si>
  <si>
    <t>SMCESS2</t>
  </si>
  <si>
    <t>SMCESS3</t>
  </si>
  <si>
    <t>SMCESS4</t>
  </si>
  <si>
    <t>SMCESS5</t>
  </si>
  <si>
    <t>SMCESS6</t>
  </si>
  <si>
    <t>Schizophrenia</t>
  </si>
  <si>
    <t>SCZ1</t>
  </si>
  <si>
    <t>UKB1, UKB2, UKB3, Trubetskoy et al.</t>
  </si>
  <si>
    <t>SCZ2</t>
  </si>
  <si>
    <t>SCZ3</t>
  </si>
  <si>
    <t>UKB2, UKB3, Trubetskoy et al.</t>
  </si>
  <si>
    <t>SCZ4</t>
  </si>
  <si>
    <t>UKB1, UKB3, Trubetskoy et al.</t>
  </si>
  <si>
    <t>SCZ5</t>
  </si>
  <si>
    <t>UKB1, UKB2, Trubetskoy et al.</t>
  </si>
  <si>
    <t>Self-Rated Health</t>
  </si>
  <si>
    <t>SELFHEALTH1</t>
  </si>
  <si>
    <t>SELFHEALTH2</t>
  </si>
  <si>
    <t>SELFHEALTH3</t>
  </si>
  <si>
    <t>SELFHEALTH4</t>
  </si>
  <si>
    <t>Type-II Diabetes</t>
  </si>
  <si>
    <t>T2D1</t>
  </si>
  <si>
    <t>Mahajan et al. 2022</t>
  </si>
  <si>
    <t>T2D2</t>
  </si>
  <si>
    <t>UKB1, UKB2, UKB3, Scott et al.</t>
  </si>
  <si>
    <t>T2D3</t>
  </si>
  <si>
    <t>T2D4</t>
  </si>
  <si>
    <t>UKB2, UKB3, Scott et al.</t>
  </si>
  <si>
    <t>T2D5</t>
  </si>
  <si>
    <t>UKB1, UKB3, Scott et al.</t>
  </si>
  <si>
    <t>T2D6</t>
  </si>
  <si>
    <t>UKB1, UKB2, Scott et al.</t>
  </si>
  <si>
    <t>Personality and Well-Being</t>
  </si>
  <si>
    <t>Adventurousness</t>
  </si>
  <si>
    <t>ADVENTURE1</t>
  </si>
  <si>
    <t>Agreeableness</t>
  </si>
  <si>
    <t>Cognitive Empathy</t>
  </si>
  <si>
    <t>Conscientiousness</t>
  </si>
  <si>
    <t>Delay Discounting</t>
  </si>
  <si>
    <t>Extraversion</t>
  </si>
  <si>
    <t>EXTRA1</t>
  </si>
  <si>
    <t xml:space="preserve"> 23andMe, Van den Berg et al.</t>
  </si>
  <si>
    <t>ALSPAC, EBB, FinnGen, MCTFR, STR</t>
  </si>
  <si>
    <t>EXTRA2</t>
  </si>
  <si>
    <t>Left out of Social Activity</t>
  </si>
  <si>
    <t>LEFTOUT1</t>
  </si>
  <si>
    <t>Life Satisfaction: Family</t>
  </si>
  <si>
    <t>FAMSAT1</t>
  </si>
  <si>
    <t>FAMSAT2</t>
  </si>
  <si>
    <t>FAMSAT3</t>
  </si>
  <si>
    <t>FAMSAT4</t>
  </si>
  <si>
    <t>Life Satisfaction: Finance</t>
  </si>
  <si>
    <t>Life Satisfaction: Friends</t>
  </si>
  <si>
    <t>FRIENDSAT1</t>
  </si>
  <si>
    <t>FRIENDSAT2</t>
  </si>
  <si>
    <t>FRIENDSAT3</t>
  </si>
  <si>
    <t>FRIENDSAT4</t>
  </si>
  <si>
    <t xml:space="preserve">Life Satisfaction: Work </t>
  </si>
  <si>
    <t>Loneliness</t>
  </si>
  <si>
    <t>Morning Person</t>
  </si>
  <si>
    <t>MORNING1</t>
  </si>
  <si>
    <t>MORNING2</t>
  </si>
  <si>
    <t>MORNING3</t>
  </si>
  <si>
    <t>MORNING4</t>
  </si>
  <si>
    <t>Musical beat synchronization</t>
  </si>
  <si>
    <t>RHYTHM1</t>
  </si>
  <si>
    <t>Narcissism</t>
  </si>
  <si>
    <t>NARCIS1</t>
  </si>
  <si>
    <t>Neuroticism</t>
  </si>
  <si>
    <t>NEURO1</t>
  </si>
  <si>
    <t>23andMe, UKB1, UKB2, UKB3, de Moor et al. (2015)</t>
  </si>
  <si>
    <t>ALSPAC, EBB, FinnGen, MCTFR, STR, UKB1, UKB2, UKB3</t>
  </si>
  <si>
    <t>NEURO2</t>
  </si>
  <si>
    <t>NEURO3</t>
  </si>
  <si>
    <t>23andMe, UKB2, UKB3, de Moor et al. (2015)</t>
  </si>
  <si>
    <t>ALSPAC, EBB, FinnGen, MCTFR, STR, UKB2, UKB3</t>
  </si>
  <si>
    <t>NEURO4</t>
  </si>
  <si>
    <t>23andMe, UKB1, UKB3, de Moor et al. (2015)</t>
  </si>
  <si>
    <t>ALSPAC, EBB, FinnGen, MCTFR, STR, UKB1, UKB3</t>
  </si>
  <si>
    <t>NEURO5</t>
  </si>
  <si>
    <t>23andMe, UKB1, UKB2, de Moor et al. (2015)</t>
  </si>
  <si>
    <t>ALSPAC, EBB, FinnGen, MCTFR, STR, UKB1, UKB2</t>
  </si>
  <si>
    <t>Openness</t>
  </si>
  <si>
    <t>OPEN1</t>
  </si>
  <si>
    <t>23andMe, de Moor et al. (2012)</t>
  </si>
  <si>
    <t>OPEN2</t>
  </si>
  <si>
    <t>Religious Attendance</t>
  </si>
  <si>
    <t>RELIGATT1</t>
  </si>
  <si>
    <t>RELIGATT2</t>
  </si>
  <si>
    <t>RELIGATT3</t>
  </si>
  <si>
    <t>RELIGATT4</t>
  </si>
  <si>
    <t>Recharge by Socializing</t>
  </si>
  <si>
    <t>Religious Belief</t>
  </si>
  <si>
    <t>Risk Tolerance</t>
  </si>
  <si>
    <t>RISK1</t>
  </si>
  <si>
    <t>23andMe, Linner et al. excl &lt;23andMe, STR&gt;</t>
  </si>
  <si>
    <t>FinnGen, UKB1, UKB2, UKB3</t>
  </si>
  <si>
    <t>RISK2</t>
  </si>
  <si>
    <t>RISK3</t>
  </si>
  <si>
    <t>RISK4</t>
  </si>
  <si>
    <t>RISK5</t>
  </si>
  <si>
    <t>Subjective Well-Being</t>
  </si>
  <si>
    <t>SWB1</t>
  </si>
  <si>
    <t>23andMe, UKB1, UKB2, UKB3, Okbay et al. 1kG excl &lt;23andMe, UKB&gt;</t>
  </si>
  <si>
    <t>ALSPAC, FinnGen, HRS, MCTFR, STR, UKB1, UKB2, UKB3</t>
  </si>
  <si>
    <t>SWB2</t>
  </si>
  <si>
    <t>23andMe, UKB1, UKB2, UKB3, Okbay et al. 1kG excl &lt;23andMe, ALSPAC, UKB&gt;</t>
  </si>
  <si>
    <t>FinnGen, HRS, MCTFR, STR, UKB1, UKB2, UKB3</t>
  </si>
  <si>
    <t>SWB3</t>
  </si>
  <si>
    <t>23andMe, UKB1, UKB2, UKB3, Okbay et al. 1kG excl &lt;23andMe, FinnGen, UKB&gt;</t>
  </si>
  <si>
    <t>ALSPAC, HRS, MCTFR, STR, UKB1, UKB2, UKB3</t>
  </si>
  <si>
    <t>SWB4</t>
  </si>
  <si>
    <t>23andMe, UKB1, UKB2, UKB3, Okbay et al. 1kG excl &lt;23andMe, HRS, UKB&gt;</t>
  </si>
  <si>
    <t>ALSPAC, FinnGen, MCTFR, STR, UKB1, UKB2, UKB3</t>
  </si>
  <si>
    <t>SWB5</t>
  </si>
  <si>
    <t>23andMe, UKB1, UKB2, UKB3, Okbay et al. 1kG excl &lt;23andMe, STR, UKB&gt;</t>
  </si>
  <si>
    <t>ALSPAC, FinnGen, HRS, MCTFR, UKB1, UKB2, UKB3</t>
  </si>
  <si>
    <t>SWB6</t>
  </si>
  <si>
    <t>23andMe, UKB2, UKB3, Okbay et al. 1kG excl &lt;23andMe, UKB&gt;</t>
  </si>
  <si>
    <t>ALSPAC, FinnGen, HRS, MCTFR, STR, UKB2, UKB3</t>
  </si>
  <si>
    <t>SWB7</t>
  </si>
  <si>
    <t>23andMe, UKB1, UKB3, Okbay et al. 1kG excl &lt;23andMe, UKB&gt;</t>
  </si>
  <si>
    <t>ALSPAC, FinnGen, HRS, MCTFR, STR, UKB1, UKB3</t>
  </si>
  <si>
    <t>SWB8</t>
  </si>
  <si>
    <t>23andMe, UKB1, UKB2, Okbay et al. 1kG excl &lt;23andMe, UKB&gt;</t>
  </si>
  <si>
    <t>ALSPAC, FinnGen, HRS, MCTFR, STR, UKB1, UKB2</t>
  </si>
  <si>
    <t>SWB9</t>
  </si>
  <si>
    <t>23andMe, UKB1, UKB2, UKB3, Okbay et al. 1kG excl &lt;23andMe, MCTFR, UKB&gt;</t>
  </si>
  <si>
    <t>ALSPAC, FinnGen, HRS, STR, UKB1, UKB2, UKB3</t>
  </si>
  <si>
    <t>Coronart Artery Disease</t>
  </si>
  <si>
    <t>Biomarkers</t>
  </si>
  <si>
    <t>Psychiatric</t>
  </si>
  <si>
    <t>Substance use</t>
  </si>
  <si>
    <t># SNPs MTAG</t>
  </si>
  <si>
    <r>
      <t xml:space="preserve">Mean </t>
    </r>
    <r>
      <rPr>
        <b/>
        <i/>
        <sz val="8"/>
        <color theme="1"/>
        <rFont val="Georgia"/>
        <family val="1"/>
      </rPr>
      <t>χ</t>
    </r>
    <r>
      <rPr>
        <b/>
        <vertAlign val="superscript"/>
        <sz val="8"/>
        <color theme="1"/>
        <rFont val="Georgia"/>
        <family val="1"/>
      </rPr>
      <t>2</t>
    </r>
  </si>
  <si>
    <t># SNPs ldsc</t>
  </si>
  <si>
    <r>
      <rPr>
        <b/>
        <i/>
        <sz val="8"/>
        <color theme="1"/>
        <rFont val="Georgia"/>
        <family val="1"/>
      </rPr>
      <t>h</t>
    </r>
    <r>
      <rPr>
        <b/>
        <vertAlign val="superscript"/>
        <sz val="8"/>
        <color theme="1"/>
        <rFont val="Georgia"/>
        <family val="1"/>
      </rPr>
      <t>2</t>
    </r>
    <r>
      <rPr>
        <b/>
        <vertAlign val="subscript"/>
        <sz val="8"/>
        <color theme="1"/>
        <rFont val="Georgia"/>
        <family val="1"/>
      </rPr>
      <t>SNP</t>
    </r>
  </si>
  <si>
    <t>SE</t>
  </si>
  <si>
    <r>
      <t xml:space="preserve">GWAS-equivalent </t>
    </r>
    <r>
      <rPr>
        <b/>
        <i/>
        <sz val="8"/>
        <color theme="1"/>
        <rFont val="Georgia"/>
        <family val="1"/>
      </rPr>
      <t>N</t>
    </r>
  </si>
  <si>
    <r>
      <t>E(</t>
    </r>
    <r>
      <rPr>
        <b/>
        <i/>
        <sz val="8"/>
        <color theme="1"/>
        <rFont val="Georgia"/>
        <family val="1"/>
      </rPr>
      <t>R</t>
    </r>
    <r>
      <rPr>
        <b/>
        <vertAlign val="superscript"/>
        <sz val="8"/>
        <color theme="1"/>
        <rFont val="Georgia"/>
        <family val="1"/>
      </rPr>
      <t>2</t>
    </r>
    <r>
      <rPr>
        <b/>
        <sz val="8"/>
        <color theme="1"/>
        <rFont val="Georgia"/>
        <family val="1"/>
      </rPr>
      <t>)</t>
    </r>
  </si>
  <si>
    <t>Health</t>
  </si>
  <si>
    <t>Age First Menses</t>
  </si>
  <si>
    <t>Age Voice Deepened</t>
  </si>
  <si>
    <t>Childlessness - Men</t>
  </si>
  <si>
    <t>Childlessness - Pooled</t>
  </si>
  <si>
    <t>Childlessness - Women</t>
  </si>
  <si>
    <t>Number Ever Born - Men</t>
  </si>
  <si>
    <t>Number Ever Born - Pooled</t>
  </si>
  <si>
    <t>Number Ever Born - Women</t>
  </si>
  <si>
    <t>Breast Cancer</t>
  </si>
  <si>
    <t>Coronary Artery Disease</t>
  </si>
  <si>
    <t>Personality, Well-Being and Skills</t>
  </si>
  <si>
    <t>Life Satisfaction: Work</t>
  </si>
  <si>
    <t>Religious attendance</t>
  </si>
  <si>
    <t>Musical Beat Synchronization</t>
  </si>
  <si>
    <t>Cigarettes per Day</t>
  </si>
  <si>
    <t>UKB data field(s)</t>
  </si>
  <si>
    <t>Phenotype measure</t>
  </si>
  <si>
    <r>
      <rPr>
        <b/>
        <i/>
        <sz val="8"/>
        <color theme="1"/>
        <rFont val="Georgia"/>
        <family val="1"/>
      </rPr>
      <t>N</t>
    </r>
    <r>
      <rPr>
        <b/>
        <sz val="8"/>
        <color theme="1"/>
        <rFont val="Georgia"/>
        <family val="1"/>
      </rPr>
      <t xml:space="preserve"> - UKB1</t>
    </r>
  </si>
  <si>
    <r>
      <rPr>
        <b/>
        <i/>
        <sz val="8"/>
        <rFont val="Georgia"/>
        <family val="1"/>
      </rPr>
      <t>N</t>
    </r>
    <r>
      <rPr>
        <b/>
        <sz val="8"/>
        <rFont val="Georgia"/>
        <family val="1"/>
      </rPr>
      <t xml:space="preserve"> - UKB2</t>
    </r>
  </si>
  <si>
    <r>
      <rPr>
        <b/>
        <i/>
        <sz val="8"/>
        <rFont val="Georgia"/>
        <family val="1"/>
      </rPr>
      <t xml:space="preserve">N </t>
    </r>
    <r>
      <rPr>
        <b/>
        <sz val="8"/>
        <rFont val="Georgia"/>
        <family val="1"/>
      </rPr>
      <t>- UKB3</t>
    </r>
  </si>
  <si>
    <t>release 1</t>
  </si>
  <si>
    <t>release 2</t>
  </si>
  <si>
    <t>Educational attainment</t>
  </si>
  <si>
    <t>Blood lipids - non-HDL cholesterol</t>
  </si>
  <si>
    <t>Type-II diabetes</t>
  </si>
  <si>
    <t>Chronic Obstructive Pulmonary Disease (COPD)</t>
  </si>
  <si>
    <t>X</t>
  </si>
  <si>
    <t>Years of education: 20 if "College or university degree", 13 if "Alevels/AS levels or equivalent", 10 if "Olevels/GCSEs or equivalent" or "CSEs or equivalent", 19 if "NVQ or HND or HNC or equivalent", 15 if "Other professional qualifications (e.g. nursing teaching)", 7 if "None of the above".</t>
  </si>
  <si>
    <t>"How many children have you fathered?"</t>
  </si>
  <si>
    <t>"How many children have you given birth to? (Please include live births only)"</t>
  </si>
  <si>
    <t>41202, 41204, 20002, 6152</t>
  </si>
  <si>
    <t>Set to 1 if respondent 
- has been diagnosed with Asthma (main or secondary ICD10 code equal to J450,J451, J458, J459 or J46), or 
- self-reported to have had asthma (non-cancer illness code equal to 1111 or selected asthma in data-field 6152); 
0 otherwise.</t>
  </si>
  <si>
    <t>Set to 1 if Asthma=1 or Eczema=1 or Hayfever=1, 0 if all are equal to 0.</t>
  </si>
  <si>
    <t>Set to 1 if subject has been diagnosed with COPD (main or secondary ICD diagnosis is equal to J410, J411, J418,  J42, J430, J431, J432, J438, J439, J440, J441, J448, J449, J982 or J983) or if subject self-reported to have had COPD (non-cancer illness code 1112), 0 otherwise.</t>
  </si>
  <si>
    <t>Set to 1 if subject has been diagnosed with Eczema (main or secondary ICD diagnosis is equal to L20, L208 or J209) or if subject self-reported to have Eczema (non-cancer illness code 1452), 0 otherwise.</t>
  </si>
  <si>
    <t>Set to 1 if respondent 
- has been diagnosed with hayfever (main or secondary ICD10 code equal to J301,J302, J303 or J304, or 
- self-reported to have hayfever (non-cancer illness code equal to 1387 or selected "Hayfever, allergic rhinitis or eczema" in data-field 6152); 
0 otherwise.</t>
  </si>
  <si>
    <t>41202, 41204, 20002</t>
  </si>
  <si>
    <t>Set to 1 if 
- subject has been diagnosed with migraine (main or secondary ICD10 code equal to G430, G431, G432, G433, G438, G439), or 
- self-reported to have migraines (non-cancer illness code equal to 1265); 
0 otherwise.</t>
  </si>
  <si>
    <t>2207, 6147, 20262</t>
  </si>
  <si>
    <t>1) "Do you wear glasses or contact lenses to correct your vision?" Yes/No
2) "Why were you prescribed glasses/contacts? (You can select more than one answer)"
Set to 1 if 
- myopia classification (data field 20262) is "highly myopic" or "moderate/low myopia" or
- response to (1) is "Yes" and response to (2) is "short-sightedness"
Set to 0 if 
- response to (1) is "No" or 
- response to (1) is "Yes" but response to (2) is not "short-sightedness" or
- myopia status as defined above is missing and myopia classification is "non-myopic"</t>
  </si>
  <si>
    <t>40001, 40002, 41270, 41271, 20002, 6152, 22127
GP data: read_2, read_3</t>
  </si>
  <si>
    <t>First, the average of the four readings (two automatic: field 4079, two manual: field 94) is taken. The obtained value is adjusted for medication by adding 10 if any of field 6153 or field 6177 is coded 2. The value is set to missing if information about medication is missing (both of fields 6153 and 6177 are missing, -1 or -3). Finally, the value is residualized on sex, third-degree polynomial in age, and all age-sex interactions.</t>
  </si>
  <si>
    <t>First, the average of the four readings (two automatic: field 4080, two manual: field 93) is taken. The obtained value is adjusted for medication by adding 15 if any of field 6153 or field 6177 is coded 2. The value is set to missing if information about medication is missing (both of fields 6153 and 6177 are missing, -1 or -3). Finally, the value is residualized on sex, third-degree polynomial in age, and all age-sex interactions.</t>
  </si>
  <si>
    <t>Pulse pressure is calculated as the difference between the medication-adjusted systolic and diastolic blood pressure, and  residualized on sex, third-degree polynomial in age, and all age-sex interactions.</t>
  </si>
  <si>
    <t>20001, 22001, 40001, 40002, 40006, 40013, 41270, 41271</t>
  </si>
  <si>
    <t>6152, 20002, 22128, 22129, 22130, 40001, 40002, 40006, 40013, 41270, 41271
GP data: read_2, read_3</t>
  </si>
  <si>
    <t>6150, 20002, 20004, 40001, 40002, 41270, 41271, 41272, 41273</t>
  </si>
  <si>
    <t>40001, 40002, 41270, 41271, 20002, 6152
GP data: read_2, read_3</t>
  </si>
  <si>
    <t>40001, 40002, 41270, 41271, 20002, 22126, 6152
GP data: read_2, read_3</t>
  </si>
  <si>
    <t>40001, 40002, 41270, 41271
GP data: read_2, read_3</t>
  </si>
  <si>
    <t>40001, 40002, 41270, 41271, 20002, 120016
GP data: read_2, read_3</t>
  </si>
  <si>
    <t>40001, 40002, 41270, 41271, 6147, 20262
GP data: read_2, read_3</t>
  </si>
  <si>
    <t>20002, 20003, 20122, 20126, 20499, 20500, 20544, 40001, 40002, 41270, 41271, 130893
GP data: read_2, read_3</t>
  </si>
  <si>
    <t>2867, 3436</t>
  </si>
  <si>
    <t>Set to the minimum of age at smoking initiation for past (field 2867) and current (field 3436) smokers. Values less than or equal to 0 are set to missing.</t>
  </si>
  <si>
    <t>For each measurement, smoking cessation is set to 1 if field 20116 is equal to 1 and to 0 if it is equal to 2. The final phenotype is set to the latest non-missing value.</t>
  </si>
  <si>
    <t>845, 6138</t>
  </si>
  <si>
    <t>For each of the two measurements, logarithm of HDL cholesterol (field 30760) is residualized on 
- age indicator: age winsorized at 50 and 78
- sex
- 5-year age bin - sex interactions
- 20-quantiles of sampling time (field 3166)
- fasting time (field 74), winsorized at 1 and 18
- 20-quantiles of estimated sample dilution factor (field 30897)
- assessment center (field 54)
- assessment month:  100* [birthyear (field 34) + age] + month (field 55)]. Values less than May 2006 (200605) coded 200500, values between Aug 2010 (201008) and October 2010 (201010) coded 201008, values greater than Sep 2011 (201109) coded 201100 because of too few individuals in these ranges
- HDL aliquot (field 30762)
Phenotype is set to the mean of the two residuals.</t>
  </si>
  <si>
    <t>For each of the two measurements, LDL cholesterol (field 30780) is first adjusted for statin usage by multiplying it by 1.46155 if field 20003 is coded as one of the following: 1140861958, 1140888594,  1140888648, 1141146234, 1141192410, 1140861922, 1141146138.
Then logarithm of adjusted LDL cholesterol is residualized on 
- age indicator: age winsorized at 50 and 78
- sex
- 5-year age bin - sex interactions
- 20-quantiles of sampling time (field 3166)
- fasting time (field 74), winsorized at 1 and 18
- 20-quantiles of estimated sample dilution factor (field 30897)
- assessment center (field 54)
- assessment month:  100* [birthyear (field 34) + age] + month (field 55)]. Values less than May 2006 (200605) coded 200500, values between Aug 2010 (201008) and October 2010 (201010) coded 201008, values greater than Sep 2011 (201109) coded 201100 because of too few individuals in these ranges
- LDL aliquot (field 30782)
Phenotype is set to the mean of the two residuals.</t>
  </si>
  <si>
    <t>For each of the two measurements, total cholesterol (field 30690) is first adjusted for statin usage by multiplying it by 1.33588 if field 20003 is coded as one of the following: 1140861958, 1140888594,  1140888648, 1141146234, 1141192410, 1140861922, 1141146138.
Then logarithm of adjusted total cholesterol is residualized on 
- age indicator: age winsorized at 50 and 78
- sex
- 5-year age bin - sex interactions
- 20-quantiles of sampling time (field 3166)
- fasting time (field 74), winsorized at 1 and 18
- 20-quantiles of estimated sample dilution factor (field 30897)
- assessment center (field 54)
- assessment month:  100* [birthyear (field 34) + age] + month (field 55)]. Values less than May 2006 (200605) coded 200500, values between Aug 2010 (201008) and October 2010 (201010) coded 201008, values greater than Sep 2011 (201109) coded 201100 because of too few individuals in these ranges
- total cholesterol aliquot (field 30692)
Phenotype is set to the mean of the two residuals.</t>
  </si>
  <si>
    <t>For each of the two measurements, logarithm of tryglycerides (field 30870) is residualized on 
- age indicator: age winsorized at 50 and 78
- sex
- 5-year age bin - sex interactions
- 20-quantiles of sampling time (field 3166)
- fasting time (field 74), winsorized at 1 and 18
- 20-quantiles of estimated sample dilution factor (field 30897)
- assessment center (field 54)
- assessment month:  100* [birthyear (field 34) + age] + month (field 55)]. Values less than May 2006 (200605) coded 200500, values between Aug 2010 (201008) and October 2010 (201010) coded 201008, values greater than Sep 2011 (201109) coded 201100 because of too few individuals in these ranges
- tryglycerides aliquot (field 30872)
Phenotype is set to the mean of the two residuals.</t>
  </si>
  <si>
    <t>For each of the two measurements, total cholesterol (field 30690) is first adjusted for statin usage by multiplying it by 1.33588 if field 20003 is coded as one of the following: 1140861958, 1140888594,  1140888648, 1141146234, 1141192410, 1140861922, 1141146138. HDL cholesterol is then subtracted from this value to obtain nonHDL cholesterol.
Then logarithm of nonHDL cholesterol is residualized on 
- age indicator: age winsorized at 50 and 78
- sex
- 5-year age bin - sex interactions
- 20-quantiles of sampling time (field 3166)
- fasting time (field 74), winsorized at 1 and 18
- 20-quantiles of estimated sample dilution factor (field 30897)
- assessment center (field 54)
- assessment month:  100* [birthyear (field 34) + age] + month (field 55)]. Values less than May 2006 (200605) coded 200500, values between Aug 2010 (201008) and October 2010 (201010) coded 201008, values greater than Sep 2011 (201109) coded 201100 because of too few individuals in these ranges
- total cholesterol aliquot (field 30692)
- HDL cholesterol aliquot (field 30762)
Phenotype is set to the mean of the two residuals.</t>
  </si>
  <si>
    <t>Years of education: 
20 if "College or university degree" (field 6138 = 1)
13 if "Alevels/AS levels or equivalent"  (field 6138 = 2)
10 if "Olevels/GCSEs or equivalent" or "CSEs or equivalent"  (field 6138 = 3 or 4)
"Age left schooling" (field 845) - 5  if "NVQ or HND or HNC or equivalent"  (field 6138 = 5)
15 if "Other professional qualifications (e.g. nursing teaching)"  (field 6138 = 6)
7 if "None of the above"  (field 6138 = -7)
Missing if no response (field 6138 = -3) or if the value obtained using the definition above is less than 7.
The phenotype is set to the maximum value across measurements</t>
  </si>
  <si>
    <t>For each measurement, set to field 2139 if it is greater than 11, to missing otherwise. The final phenotype is set to the minimum of all measurements.</t>
  </si>
  <si>
    <t>For each measurement, set to field 2405 if it is non-negative and the respondent is at least 55 years old at the time, to missing otherwise. The final phenotype is set to the maximum of all measurements.</t>
  </si>
  <si>
    <t>For each measurement, set to field 2734 if it is non-negative and the respondent is at least 45 years old at the time, to missing otherwise. The final phenotype is set to the maximum of all measurements.</t>
  </si>
  <si>
    <t>Set to 1 if number ever born (men) as defined below is 0, to 0 if number ever born (men) is greater than 0</t>
  </si>
  <si>
    <t>Set to 1 if number ever born (women) as defined below is 0, to 0 if number ever born (women) is greater than 0</t>
  </si>
  <si>
    <t>2405, 21003</t>
  </si>
  <si>
    <t>2734, 21003</t>
  </si>
  <si>
    <t>34, 54, 55, 74, 3166, 21003, 30760, 30762, 30897, sex</t>
  </si>
  <si>
    <t>34, 54, 55, 74, 3166, 20003, 21003, 30780, 30782, 30897, sex</t>
  </si>
  <si>
    <t>34, 54, 55, 74, 3166, 20003, 21003, 30690, 30692, 30760, 30762, 30897, sex</t>
  </si>
  <si>
    <t>34, 54, 55, 74,  20003, 21003, 30690, 3166, 30692, 30897, sex</t>
  </si>
  <si>
    <t>34, 54, 55, 74, 3166, 21003, 30870, 30872, 30897, sex</t>
  </si>
  <si>
    <t>94, 4079, 6153, 6177, 21003, sex</t>
  </si>
  <si>
    <t>93, 94, 4079, 4080, 6153, 6177, 21003, sex</t>
  </si>
  <si>
    <t>93, 4080, 6153, 6177, 21003, sex</t>
  </si>
  <si>
    <t xml:space="preserve">Set to 1 if any of the following hold:
- ever coded "Allergic rhinitis due to pollen" (J301) in ICD10 in-patient summary diagnoses (field 41270) or in the death register primary (field 40001) / secondary (field 40002) causes
- ever coded "Allergic rhinitis due to pollen" (4770) in ICD9 in-patient summary diagnoses (field 41271)
- ever self-reported to have COPD (field 20002 = 1112 or 1113, or field 6152 = 6, or field 22128 = 1, or field 22129 = 1, or field 22130 = 1); 
- In the GP data, ever coded as one of the following: H170. , H330. , X1020 , XE0ZP , XE2QI , Xa7lL , XaObk , XaOj7 , c91.. , c911. , c912. , c913. , c914. , c915. , c916. , c917. , c918. , c919. , c91a. , c91b. , c91c. , c91d. , c91e. , c91f. , c91g. , .H431 , 1781. , Xa0lX , x0563 , x0564 , x0565 , x0566 , .H28. , 14M2. , .14M2 , x00CR , x00Ca , x00Cj , x00Ct , x00CM , x00CQ , x00CV , x00CZ , x00Ce , x00Ci , x00Co , x00Cs , .14B1 , 14B1. , Hyu20 , 1781. , X71bE
Set to 0 if none of the above and none of the below hold:
- has any ICD10 diagnosis of "Allergic rhinitis - unspecified" (J304), predominantly allergic asthma" (J450) in any of fields 41270, 40001 or 40002.
- has any ICD9 diagnosis of "Allergic rhinitis, cause unspecified" (field 41271 = 4779)
Set to missing otherwise.
</t>
  </si>
  <si>
    <t>Set to 1 if any of the following hold, 0 otherwise:
- ever coded "asthma" (J450-J459) or "status asthmaticus" (J46) in ICD10 in-patient summary diagnoses (field 41270) or in the death register primary (field 40001) / secondary (field 40002) causes
- ever coded asthma (493..) in ICD9 in-patient summary diagnoses (field 41271)
- ever self-reported to have asthma diagnosis (field 20002 equal to 1111, field 6152 equal to 8, or field 22127 equal to 1); 
- In the GP data, ever coded as one of the following: 14B4., .14B4, 173A., .173A, 663N., .663N, 663N0, 663N1, 663N2, 663O., .663O, 663O0, 663P., .663P, 663P0, 663P1, 663P2, 663Q., .663Q, 663U., .663U, 663V., .663V, 663V0, 663V1, 663V2, 663V3, 663W., .663W, 663d., .663d, 663e., .663e, 663e0, 663e1, 663f., .663f, 679J., .679J, 8791., .8791, 8793., .8793, 8794., .8794, 8795., .8795, 8796., .8796, 8797., .8797, 8798., .8798, 8H2P., .8H2P, 9OJ1., .9OJ1, 9OJ3., .9OJ3, 9OJ4., 9OJ5., .9OJ5, 9OJ6., .9OJ6, 9OJ7., .9OJ7, 9OJ8., .9OJ8, 9OJ9., .9OJ9, 9OJA., .9OJA, 9Q21., .9Q21, H3120, H33.., H330., H3300, H3301, H330z, H331., H3310, H3311, H331z, H332., H33z., H33z0, H33z1, H33z2, H33zz, H47y0, Ua1AX, X101t, X101u, X101x, X101y, X101z, X1020, X1021, X1022, X1023, X1024, X1025, X1026, X1027, X1028, X1029, X102D, X102G, XE0YQ, XE0YR, XE0YS, XE0YT, XE0YU, XE0YV, XE0YW, XE0YX, XE0ZP, XE0ZR, XE0ZT, XE2Nb, XM0s2, XM1Xb, Xa0lZ, Xa1hD, Xa8Hn, Xa9zf, XaBAQ, XaBU2, XaBU3, XaDvK, XaDvL, XaIIW, XaIIX, XaIIY, XaIIZ, XaINZ, XaINa, XaINb, XaINc, XaINd, XaINf, XaINg, XaINh, XaIOV, XaIQ4, XaIQD, XaIQE, XaIR3, XaIRN, XaIeq, XaIer, XaIfK, XaIoE, XaIu5, XaIu6, XaIuG, XaIww, XaJFG, XaJYe, XaKdk, XaLIm, XaLIn, XaLIr, XaLJS, XaLJT, XaLJU, XaLPE, XaNKw, XaObi, XaObj, XaObk, XaObl, XaObm, XaQHq, XaQig, XaQih, XaQij, XaR8K, XaRFi, XaRFj, XaRFk, XaRFl, XaX3n, XaXZm, XaXZp, XaXZs, XaXZu, XaXZx, XaXa0, XaY2V, XaYZB, XaYZh, XaYb8, XaYja, XaYpF, Xaa7B, Xaa7Q, Xabiu, Xabj3, Xac33, Xac8r, XacLz, XacM0, XacM1, XacXj, Xafdj, Xafdy, Xafdz, Xaff0, Y0017, Y137e, Y137f, Y138a, Y139b, Y139c, Y139d, Y13a1, Y13a2, Y13a3, Y13a4, Y13a5, Y13a7, Y13a8, Y13a9, Y1b24, Y1f9014Ok0, 173c., 173d., 178.., 1780., 1781., 1782., 1783., 1784., 1785., 1786., 1787., 1788., 1789., 178A., 178B., 1O2.., 388t., 388t0, 38DL., 38DT., 38DV., 661M1, 661N1, 663h., 663j., 663m., 663n., 663p., 663q., 663r., 663s., 663t., 663u., 663v., 663w., 663x., 663y., 66Y5., 66Y9., 66YA., 66YC., 66YE., 66YJ., 66YK., 66Yp., 66YP., 66Yq., 66YQ., 66Yr., 66YR., 66Ys., 66Yu., 66Yz5, 679J0, 679J1, 679J2, 8B3j., 8CMA0, 8CR0., 9NNX., 9OJ.., 9OJB., 9OJB0, 9OJB1, 9OJB2, 9OJC., H302., H333., H334., H335., H3B..
Set to 0 otherwise.</t>
  </si>
  <si>
    <t>Set to 1 if any of the following hold, 0 otherwise.
- Asthma=1 or Eczema=1 or Hayfever=1.
- ever self-reported (field 6152) to have hayfever, allergic rhinitis or eczema (=9)</t>
  </si>
  <si>
    <t>For individuals with genetic sex = female (field 22001), set to 1 if any of the following hold, 0 otherwise:
- ever coded "malignant neoplasm of breast" (C50.) or "carcinoma in situ of breast" (D05.) in ICD10 in-patient summary diagnoses (field 41270), in the death register primary (field 40001) / secondary (field 40002) causes, or in the cancer register (field 40006)
- ever coded "malignant neoplasm of female breast" (174.) or "carcinoma in situ of breast (2330) in ICD9 in-patient summary diagnoses or in the cancer register (40013)
- ever self-reported to have breast cancer (field 20001 = 1002)</t>
  </si>
  <si>
    <t>Set to 1 if any of the following hold:
- ever coded "simple and mucopurulent chronic bronchitis" (J41.), "unspecified chronic bronchitis" (J42), "emphysema" (J43.) or  "other chronic obstructive pulmonary disease" (J44.) in ICD10 in-patient summary diagnoses (field 41270) or in the death register primary (field 40001) / secondary (field 40002) causes
- ever coded "chronic bronchitis" (491.), emphysema (492.) or "chronic airways obstruction, not elsewhere classified" (496.) in ICD9 in-patient summary diagnoses (field 41271)
- ever self-reported to have COPD, emphysema or chronic bronchitis (field 20002 = 1112 or 1113, or field 6152 = 6, or field 22128 = 1, or field 22129 = 1, or field 22130 = 1); 
- In the GP data, coded as one of the following: .14B3, .66YB, .66YD, .66Yd, .66Ye, .66Yf, .66Yg, .66Yh, .66YI, .66Yi, .66YL, .66YM, .66YS, .66YT, .679V, .68C2, .8CE6, .8CR1, .8H2R, .9h5., .9h51, .9h52, .9kf., .9kf0, .9kf1, .9kf2, .9N4W, .9Oi., .9Oi0, .9Oi1, .9Oi2, .9Oi3, .9Oi4, .H37., .H4.., .H41., .H411, .H412, .H413, .H414, .H415, .H41Z, .H42., .H46., .H47., .H48., .H4Z., .H6Z2, 14B3., 14OX., 2126F, 38Dg., 661M3, 661N3, 66YB., 66YB0, 66YB1, 66YB2, 66YD., 66Yd., 66Ye., 66Yf., 66Yg., 66Yh., 66YI., 66Yi., 66YL., 66YM., 66YS., 66YT., 66Yz1, 66Yz2, 679V., 8BMa0, 8BMW., 8CE6., 8CeD., 8CMV., 8CMW5, 8CR1., 8H2R., 8Hkw., 8I610, 8IEy., 8IEZ., 9e03., 9h5.., 9h51., 9h52., 9kf.., 9kf0., 9kf1., 9kf2., 9N4W., 9NgP., 9Nk70, 9Oi.., 9Oi0., 9Oi1., 9Oi2., 9Oi3., 9Oi4., H31.., H310., H3100, H3101, H310z, H311., H3110, H3111, H311z, H312., H3120, H3121, H3122, H3123, H312z, H313., H31y., H31y0, H31y1, H31yz, H31z., H32.., H320., H3200, H3201, H3202, H3203, H320z, H321., H322., H32y0, H32y2, H32yz, H32z., H36.., H37.., H38.., H39.., H3A.., H3B.., H3y.., H3y0., H3y1., H3z.., Hyu30, Hyu31, X101i, X101j, X101l, X101n, X101o, Xa35l, Xaam4, XaavA, Xabwy, Xac33, Xac8s, XaEIV, XaEIW, XaEIY, Xafex, Xafhe, XafhZ, Xafir, Xafit, Xafiu, XaIes, XaIet, XaIND, XaIql, XaIQT, XaIRO, XaIu7, XaIu8, XaIUt, XaJ4k, XaJ4l, XaJ4R, XaJDW, XaJFu, XaJlS, XaJlT, XaJlU, XaJlV, XaJlW, XaJlY, XaJYf, XaK8Q, XaK8R, XaK8S, XaK8U, XaKv8, XaKv9, XaKzy, XaLJz, XaLqj, XaN4a, XaPio, XaPls, XaPlu, XaPZH, XaPzu, XaRCG, XaRCH, XaRFy, XaW9D, XaX3c, XaXCa, XaXCb, XaXnt, XaXzy, XaY05, XaY0w, XaYbA, XaYuZ, XaYZO, XaZ6U, XaZ8t, XaZd1, XaZee, XaZoz, XaZp7, XaZp8, XaZp9, XE0tj, XE0YM, XE0YN, XE0YP, XE0ZL, XE0ZN, XE2Pp
Set to missing if none of the above hold and
- has ICD10 diagnosis of unspecified acute or chronic bronchitis (any of fields 41270, 40001 or 40002 = J40)
- has ICD9 diagnosis of unspecified acute or chronic bronchitis (field 41271 = 4909)
- has codes H3... , H32.. , H32y. in the GP data
Set to 0 otherwise.</t>
  </si>
  <si>
    <t>Set to 1 if any of the following hold:
- ever coded "angina pectoris" (I20.), "acute myocardial infarction" (I21.), "subsequent myocardial infarction" (I22.), "certain current complications following acute myocardial infarction" (I23.), "other acute ischaemic heart diseases"(I24.), "atherosclerotic heart disease" (I251), "old myocardial infarction" (I252), "ischaemic cardiomyopathy" (I255), "silent myocardial ischaemia" (I256), "other forms of chronic ischaemic heart disease" (I258), or "chronic ischaemic heart disease, unspecified" (I259), in ICD10 in-patient summary diagnoses (field 41270) or in the death register primary (field 40001) / secondary (field 40002) causes
- died of complications related to coronary bypass, angioplasty or graft (fields 40001 or 40002 = T822, Z951 or Z955)
- ever coded  "acute myocardial infarction" (410.), "other acute and subacute forms of ischaemic heart disease"(411.), "old myocardial infarction" (412.),  "angina pectoris"(413.), "other forms of chronic ischaemic heart disease" (414.) in ICD9 in-patient summary diagnoses (field 41271)
- ever coded transluminal balloon angioplasty of coronary artery (K491-K494, K498, K499), other therapeutic transluminal operations on coronary artery (K501-K504, K508, K509), off-pump coronary artery bypass grafting (K401-K404, K408, K409, K411-K414, K418, K419, K421-K424, K428, K429, K431-K434, K438, K439, K441, K442, K448, K449, K451-K456, K458, K459, K461, K462-K465, K468, K469), or percutaneous transluminal balloon angioplasty and insertion of stent into coronary artery (K751-K754, K758, K759) in OPCS4 operations code (field 41272)
- ever coded 3041-3043 in OPCS3 operations code (field 41273)
- ever self-reported to have had a heart attack or angina (field 6150 = 1 or 2,  or field 20002 = 1074 or 1075)
- ever self-reported to have had operations coded 1070, 1095 or 1523 in field 20004
Set to 0 if none of the above hold and also not coded as having aneurysm or atherosclerotic cardiovascular disease, i.e. ICD10 codes I250, I253, I254 in fields 40001, 40002, 41270, 41271</t>
  </si>
  <si>
    <t>Set to 1 if any of the following hold,
- ever coded "atopic dermatitis" (L20, L208, L209) in ICD10 in-patient summary diagnoses (field 41270) or in the death register primary (field 40001) / secondary (field 40002) causes
- ever coded "atopic dermatitis" (691, 6918, 69180) in ICD9 in-patient summary diagnoses (field 41271)
- In the GP data, ever coded as one of the following: .L23. , .L232 , .L233 , .L234 , .L23Z , M111. , M112. , M113. , M114. , M115. , M116. , M117. , M11z. , X505e , X505f , X505M , X505N , X505O , X505P , X505Q , X505R , X505S , X505T , X505U , X505V , X505Z , , X506c , XaBsL , XE1C6
Set to 0 if none of the above and none of the below hold:
- in fields 40001, 40002 or 41270, has any ICD10 for codes exfoliative dermatitis, lichen simplex chronicus, prurigo, pruritus infective dermatitis, pityriasis alba, unspecified dermatitits (L26, L28, L280-L282,  L29, L290-L293, L298, L299, L303, L305, L309) as these could be forms of atopic dermatitis, conditions following it, or symptoms of it
- in field 41271, has any ICD9 codes 690, 6909, 697, 6970, 6971, 6978, 6979, 698, 6980, 6981-6983, 6988, 6989
- ever self reported to have eczema/dermatitis (field 20002=1452) 
- ever self-reported to have hayfever/allergic rhinitis/eczema (field 6152=9)
- In the GP data, ever coded as one of the  following: .14F1 , .26C4 , .F5C4 , .L2.. , .L27. , .L28. , .L2Z. , .L318 , .L342 , .L353 , 14F1. , 26C4. , 38Vp. , 8HTu. , F4D30 , F5024 , M070. , M07y. , M07z. , M1... , M102. , M11.. , M110. , M11A. , M12z0 , M12z2 , M12z3 , M12z4 , M1535 , M1536 , M173. , M1831 , M1832 , M21A. , M2522 , m5... , Myu2. , Myu22 , X00iS , X00iT , X30Cp , X40Fx , X5040 , X504r , X505K , X505L , X5061 , X506d , X506O , X506P , X506Q , X506T , X506U , X50AK , X78z3 , Xa0p8 , Xa1dl , Xa4jb , Xa7lb , Xa7lZ , XaBml , XaBmm , Xaepv , XaINK , XaINM , XaL2Q , XaQfn , XaY4a , XaY4o , XaY4Z , XE1Av , XE1CI , XE1CW , XM1GA , XM1Pa
Missing otherwise</t>
  </si>
  <si>
    <t>Set to 1 if any of the following hold: 
- ever coded allergic rhinitis (J301-J304) in ICD10 in-patient summary diagnoses (field 41270) or in the death register primary (field 40001) / secondary (field 40002) causes
- ever coded allergic rhinitis  (477, 4770, 4778, 4779) in ICD9 in-patient summary diagnoses (field 41271)
- ever self-reported to have allergic rhinitis (field 20002=1387 or field 22126=1)
- In the GP data, coded as one of the following: 14B1. , H17.. , H170. , H171. , H1710 , H1711 , H172. , H17z. , Hyu20 , Hyu21 , 14M4. , .14B1 , .14M4 , .H28. , .H290 , .PD.. , X00l3 , X00l4 , X00l5 , X00l6 , X00l7 , X00l8 , X00l9 , X00lA , X00lB , Xa0lX , Xa7lL , Xa7lM , XaIO5 , XaIpW , XaIRZ , XaOb5 , XaOj7 , XE0Y5 , XE0Y6 , XE0Y7 , XE2QI
Set to 0 if none of the above and none of the below hold:
- in fields 40001, 40002 or 41270, has any ICD10 for code for unspecified vasomotor or allergic rhinitis (J30) 
- ever self-reported to have hayfever/allergic rhinitis/eczema (field 6152=9)
- In the GP data, ever coded as one of the  following: H1... , Hyu2. , H330. , H3300 , .H29. , X1020 , X70vw , Xa0Li , Xa0Lj , XE0Z5 , XM1Md
Set to missing otherwise.</t>
  </si>
  <si>
    <t xml:space="preserve">Set to 1 if any of the following hold: 
- ever coded Crohn's disease or ulcerative colitis (K500-K519, K523, K528) in ICD10 in-patient summary diagnoses (field 41270) or in the death register primary (field 40001) / secondary (field 40002) causes
- ever coded Crohn's disease or ulcerative colitis  (5550, 5551, 5552, 5559, 5569) in ICD9 in-patient summary diagnoses (field 41271)
- In the GP data, ever coded as one of the following: .I51. , .I511 , .I512 , .I51Z , .I52. , 8CA4W , 8Cc5. , idD.. , J08z9 , J40.. , J400. , J4000 , J4001 , J4002 , J4003 , J4004 , J4005 , J400z , J401. , J4010 , J4011 , J4012 , J401z , J402. , J40z. , J41.. , J410. , J4100 , J4101 , J4102 , J4103 , J4104 , J410z , J411. , J412. , J413. , J41y. , J41y0 , J41yz , J41z. , J436. , J4360 , J4361 , J438. , J4z6. , Jyu40 , Jyu41 , N0310 , N0311 , N0453 , N0454 , X20Pq , X300J , X301b , X302r , X302t , X302u , X302y , X3030 , X303k , X303x , X303y , X3050 , X7021 , X702C , Xa0lh , XaaSE , XabAl , XaK6C , XaK6D , XaK6E , XaXla , XaYzX , XaZ2j , XE0ae , XE0af , XE0ag , XE0cZ , XE2QL , XM0bn , XM1RP
Set to 0 if none of the above and none of the below hold:
- in fields 40001, 40002 or 41270, has any ICD10 for code for unspecified non-infective gastro-enteritis and colitis (K529) 
- in field 41271, has any ICD9 codes 558, 5589, 55899
- In the GP data, ever coded as one of the  following: .14C4 , .I5.. , .I6ZZ , J4... , J41y1 , J43.. , J437. , J43z. , J4z.. , J4z1. , J4z2. , J4z3. , J4z4. , J4z5. , J4zz. , J574C , J6A.. , Jyu4. , Jyu42 , X302j , X302q , X302s , X303e , X303f , X303j , X3047 , X304s , X30BN , X70Ft , Xa7nY , XaB5x , XaB5z , XaC1C , XaK6F , XC01B , XC0tD , XE0aj , XE0an , XE0ao , XE0cX , XE0d7 , XE0qC
Set to missing otherwise. </t>
  </si>
  <si>
    <t xml:space="preserve">Set to 1 if any of the following hold: 
- ever coded "migraine" (G43.) in ICD10 in-patient summary diagnoses (field 41270) or in the death register primary (field 40001) / secondary (field 40002) causes
- ever coded "migraine"  (346.) in ICD9 in-patient summary diagnoses (field 41271)
- self-reported to have migraine (field 20002 = 1265 or field 120016 = 1)
- In the GP data, ever coded as one of the following: 1474 , 14740 , .F351 , F260. , F261. , F2610 , F261z , F26y0 , X007J , X007K , X007L , X007M , X007N , XaXkv , 0.1474 , .8B6N , .F35. , 8B6N. , F2623 , 0.1967 , 1967 , F2622 , F2624 , F262z , F26y. , F26y0 , F26y1 , F26y2 , F26y3 , F26yz , F26z. , Fyu53 , R090D , X007O , X007S , XaJLO , K584. , Xa07H , XaXkr , F2628
Set to 0 if none of the above and none of the below hold:
- in fields 40001, 40002 or 41270, has any ICD10 code for "headache" under "symptoms, signs and abnormal clinical and laboratory findings, not elsewhere classified" (R51)
- in field 41271, has any ICD9 code for "headache" under "symptoms, signs and abnormal clinical and laboratory findings, not elsewhere classified" (7840)
- ever self-reported to have "headaches (not migraine)" (field 20002=1436)
- In the GP data, ever coded as F2611 , F2621 , .F35Z , F26.. , F262. , F2620 , F2625 , XE187
Set to missing otherwise. </t>
  </si>
  <si>
    <t>For individuals with genetic sex = male (field 22001), set to 1 if any of the following hold, 0 otherwise:
- ever coded "malignant neoplasm of prostate" (C61) or "carcinoma in situ of other and unspecified genital organs- prostate" (D075) in ICD10 in-patient summary diagnoses (field 41270), in the death register primary (field 40001) / secondary (field 40002) causes, or in the cancer register (field 40006)
- ever coded "malignant neoplasm of prostate" (1859) or "carcinoma in situ of prostate" (2334) in ICD9 in-patient summary diagnoses or in the cancer register (40013
- ever self-reported to have prostate cancer (field 20001 = 1044)</t>
  </si>
  <si>
    <t xml:space="preserve">Set to 1 if any of the following hold: 
- ever coded "non-insulin-dependent diabetes mellitus" (E110-E119) in ICD10 in-patient summary diagnoses (field 41270) or in the death register primary (field 40001) / secondary (field 40002) causes
- ever coded as having adult-onset diabetes mellitus (25000, 25010, 25020, 25090) in ICD9 in-patient summary diagnoses (field 41271)
- In the GP data, ever coded as one of the following: .66Ao , .C21. , .C2A. , .C2D. , .C2D0 , 66Ao. , 66At1 , C1001 , C1011 , C1021 , C1031 , C1041 , C1051 , C1061 , C1071 , C1072 , C1074 , C109. , C1090 , C1091 , C1092 , C1093 , C1094 , C1095 , C1096 , C1097 , C1099 , C109A , C109B , C109C , C109D , C109E , C109F , C109G , C109H , C109J , C109K , C10F. , C10F0 , C10F1 , C10F2 , C10F3 , C10F4 , C10F5 , C10F6 , C10F7 , C10F8 , C10F9 , C10FA , C10FB , C10FC , C10FD , C10FE , C10FF , C10FG , C10FH , C10FJ , C10FK , C10FL , C10FM , C10FN , C10FP , C10FQ , C10FR , C10P1 , C10y1 , C10z1 , L1806 , L180B , X40J5 , X40J6 , Xa2hA , Xaagf , XaELQ , XaEnp , XaEnq , XaF05 , XaFmA , XaFn7 , XaFn8 , XaFn9 , XaFWI , XaIfG , XaIfI , XaIrf , XaIzQ , XaIzR , XaJQp , XaKyX , XaMhK , XaX3q , XaXZR , XE10F , XE12A , XM19j
Set to 0 if none of the above and none of the below hold:
- in fields 40001, 40002 or 41270, has any ICD10 for code for unspecified diabetes mellitus (E140-E149) 
- in field 41271, has any ICD9 codes 25009, 25019, 25029, 2503, 2504, 2505, 2506, 2507, 25099
Set to missing otherwise. </t>
  </si>
  <si>
    <t>Set to 1 if any of the following hold:
- ever coded as having bipolar affective disorder (F310, F319) in ICD10 in-patient summary diagnoses (field 41270) or in the death register primary (field 40001) / secondary (field 40002) causes
-ever coded as having "manic-depressive psychosis, manic type" (2960), "manic-depressive psychosis, depressed type" (2961), "manic-depressive psychosis, other and unspecified" (2966) in ICD9 in-patient summary diagnoses (field 41271)
- ever self-reported to have bipolar disorder diagnosed by a doctor (field 20002 = 1291 or field 20544=10)
- bipolar disorder status coded non-missing (field 20122)
- bipolar disorder and major depression status field 20126 = 1 or 2
- source of bipolar disorder report (field 130893) non-misisng 
- in the GP data, ever coded as one of the following: .146D , .212V , .E22. , 146D. , 212V. , E111. , E1110 , E1111 , E1112 , E1113 , E1114 , E1115 , E1116 , E111z , E114. , E1140 , E1141 , E1142 , E1143 , E1144 , E1145 , E1146 , E114z , E115. , E1150 , E1151 , E1152 , E1153 , E1154 , E1155 , E1156 , E115z , E116. , E1160 , E1161 , E1162 , E1163 , E1164 , E1165 , E1166 , E116z , E117. , E1170 , E1171 , E1172 , E1173 , E1174 , E1175 , E1176 , E117z , E11y. , E11y0 , E11y1 , E11y3 , E11yz , Eu31. , Eu310 , Eu311 , Eu312 , Eu313 , Eu314 , Eu315 , Eu316 , Eu317 , Eu318 , Eu319 , Eu31y , Eu31z , X00SM , X00SN , XaCHo , XaIx7 , XaMwc , XaY1Y , XE1aQ , XE1ZX , ZV111 , XaB95 , Eu332 , Eu333
Controls do not have any psychiatric disorders, as defined for Anorexia Nervosa. 
Moreover, an individual is excluded from bipolar disorder controls if they have any of the following codes in the GP data: .13Y3 , .212T , .E22. , .E22Z , 13Y3. , 212T. , E11.. , Eu30. , Eu332 , Eu333 , XaA6j , XafEv , XaLIa , XE1aQ</t>
  </si>
  <si>
    <t>Set to 1 if any of the following hold:
- ever coded as having schizophrenia or schizoaffective disorder (F200-F209, F250-F259) in ICD10 in-patient summary diagnoses (field 41270) or in the death register primary (field 40001) / secondary (field 40002) causes
- ever coded as having "Schizophrenic psychosis, paranoid type" (2953) or "schizophrenic psychosis, unspecified" (2959) in ICD9 in-patient summary diagnoses (field 41271)
- ever self-reported to have schizophrenia or schizoaffective disorder diagnosed by a doctor (field 20002 = 1289 or field 20544=2)
- source of schizophrenia or schizoaffective disorder report (fields 130875, 130885) non-misisng 
- in the GP data, ever coded as one of the following: .1464 , .212W , .E21. , .E211 , .E212 , .E213 , .E214 , .E21Z , 1464. , 212W. , E10.. , E100. , E1000 , E1001 , E1002 , E1003 , E1004 , E1005 , E100z , E101. , E1010 , E1011 , E1012 , E1013 , E1014 , E1015 , E101z , E102. , E1020 , E1021 , E1022 , E1023 , E1024 , E1025 , E102z , E103. , E1030 , E1031 , E1032 , E1033 , E1034 , E1035 , E103z , E104. , E106. , E107. , E1070 , E1071 , E1072 , E1073 , E1074 , E1075 , E107z , E10y. , E10y0 , E10y1 , E10yz , E10z. , Eu20. , Eu200 , Eu201 , Eu202 , Eu203 , Eu204 , Eu205 , Eu206 , Eu20y , Eu20z , Eu25. , Eu250 , Eu251 , Eu252 , Eu25y , Eu25z , X00S8 , X00SF , X00SG , X00SH , X00SI , XaMwd , XE1aM , XE1aO , XE1Xx , XE1ZM , XE2b8 , XE2un , XE2uT , ZV110
Controls do not have any psychiatric disorders, as defined for Anorexia Nervosa. 
Moreover, an individual is excluded from schizophrenia controls if they have any of the following codes in the GP data: 13Y2. , E14z. , Eu2.. , X00S7 , X00TP , Xa1c7 , XaLIa , .13Y2 , .212T , .E2Z2 , 212T. , Eu845 , X761M</t>
  </si>
  <si>
    <t>Min</t>
  </si>
  <si>
    <t>Max</t>
  </si>
  <si>
    <t>N</t>
  </si>
  <si>
    <t>Mean</t>
  </si>
  <si>
    <t>SD</t>
  </si>
  <si>
    <t>Phenotype Measure</t>
  </si>
  <si>
    <t>Linear / Logistic</t>
  </si>
  <si>
    <t>Covariates</t>
  </si>
  <si>
    <t>Citation</t>
  </si>
  <si>
    <t>Linear</t>
  </si>
  <si>
    <t>Sex, third degree polynomial in age and their interactions, 10 PC's, platform dummies</t>
  </si>
  <si>
    <t>[1]</t>
  </si>
  <si>
    <t>Sex, age, 5 PC's, platform dummies</t>
  </si>
  <si>
    <t>Logistic</t>
  </si>
  <si>
    <t>Alzheimer's case status, age 55 or older</t>
  </si>
  <si>
    <t>[3]</t>
  </si>
  <si>
    <t>[2]</t>
  </si>
  <si>
    <t>[4]</t>
  </si>
  <si>
    <t>[5]</t>
  </si>
  <si>
    <t>[6]</t>
  </si>
  <si>
    <t>Men</t>
  </si>
  <si>
    <t>Women</t>
  </si>
  <si>
    <t>For each sex separately, height was regressed on age, age-squared and 5 PCs and the inverse normal transformed residuals were used as the phenotype data</t>
  </si>
  <si>
    <t>Age, 5 PC's, platform dummies</t>
  </si>
  <si>
    <t>Approximate US education years</t>
  </si>
  <si>
    <t>Can you clap in time with a musical beat? (yes/not sure/no)</t>
  </si>
  <si>
    <t>Age started smoking, values from 8 to 30</t>
  </si>
  <si>
    <t>Controls are former tobacco users, cases are current tobacco users. No restriction is made on the frequency of past or current smoking</t>
  </si>
  <si>
    <r>
      <t xml:space="preserve">1. Yengo, L. et al. A saturated map of common genetic variants associated with human height. </t>
    </r>
    <r>
      <rPr>
        <i/>
        <sz val="8"/>
        <color theme="1"/>
        <rFont val="Georgia"/>
        <family val="1"/>
      </rPr>
      <t>Nature</t>
    </r>
    <r>
      <rPr>
        <sz val="8"/>
        <color theme="1"/>
        <rFont val="Georgia"/>
        <family val="1"/>
      </rPr>
      <t xml:space="preserve"> </t>
    </r>
    <r>
      <rPr>
        <b/>
        <sz val="8"/>
        <color theme="1"/>
        <rFont val="Georgia"/>
        <family val="1"/>
      </rPr>
      <t>610</t>
    </r>
    <r>
      <rPr>
        <sz val="8"/>
        <color theme="1"/>
        <rFont val="Georgia"/>
        <family val="1"/>
      </rPr>
      <t>, 704–712 (2022).</t>
    </r>
  </si>
  <si>
    <r>
      <t xml:space="preserve">2. Wightman, D. P. et al. A genome-wide association study with 1,126,563 individuals identifies new risk loci for Alzheimer’s disease. </t>
    </r>
    <r>
      <rPr>
        <i/>
        <sz val="8"/>
        <color theme="1"/>
        <rFont val="Georgia"/>
        <family val="1"/>
      </rPr>
      <t>Nat. Genet.</t>
    </r>
    <r>
      <rPr>
        <sz val="8"/>
        <color theme="1"/>
        <rFont val="Georgia"/>
        <family val="1"/>
      </rPr>
      <t xml:space="preserve"> </t>
    </r>
    <r>
      <rPr>
        <b/>
        <sz val="8"/>
        <color theme="1"/>
        <rFont val="Georgia"/>
        <family val="1"/>
      </rPr>
      <t>53</t>
    </r>
    <r>
      <rPr>
        <sz val="8"/>
        <color theme="1"/>
        <rFont val="Georgia"/>
        <family val="1"/>
      </rPr>
      <t>, 1276–1282 (2021).</t>
    </r>
  </si>
  <si>
    <r>
      <t>3. Okbay, A. et al. Polygenic prediction of educational attainment within and between families from genome-wide association analyses in 3 million individuals.</t>
    </r>
    <r>
      <rPr>
        <i/>
        <sz val="8"/>
        <color theme="1"/>
        <rFont val="Georgia"/>
        <family val="1"/>
      </rPr>
      <t xml:space="preserve"> Nat. Genet. </t>
    </r>
    <r>
      <rPr>
        <b/>
        <sz val="8"/>
        <color theme="1"/>
        <rFont val="Georgia"/>
        <family val="1"/>
      </rPr>
      <t>54</t>
    </r>
    <r>
      <rPr>
        <sz val="8"/>
        <color theme="1"/>
        <rFont val="Georgia"/>
        <family val="1"/>
      </rPr>
      <t>, 437–449 (2022).</t>
    </r>
  </si>
  <si>
    <t>Intercept</t>
  </si>
  <si>
    <t>Doherty</t>
  </si>
  <si>
    <t>Demontis</t>
  </si>
  <si>
    <t>Barban</t>
  </si>
  <si>
    <t>Mills</t>
  </si>
  <si>
    <t>Bellenguez</t>
  </si>
  <si>
    <t>Wightman</t>
  </si>
  <si>
    <t>Duncan</t>
  </si>
  <si>
    <t>Watson</t>
  </si>
  <si>
    <t>Grove</t>
  </si>
  <si>
    <t>Liu</t>
  </si>
  <si>
    <t>Ferreira</t>
  </si>
  <si>
    <t>Tsuo</t>
  </si>
  <si>
    <t>Walters</t>
  </si>
  <si>
    <t>Mullins</t>
  </si>
  <si>
    <t>Stahl</t>
  </si>
  <si>
    <t>SinnottArmstrong</t>
  </si>
  <si>
    <t>Locke</t>
  </si>
  <si>
    <t>Evangelou</t>
  </si>
  <si>
    <t>Zhang</t>
  </si>
  <si>
    <t>Nelson</t>
  </si>
  <si>
    <t>Nikpay</t>
  </si>
  <si>
    <t>Aragam</t>
  </si>
  <si>
    <t>Stringer</t>
  </si>
  <si>
    <t>Trampush</t>
  </si>
  <si>
    <t>GERA</t>
  </si>
  <si>
    <t>OkbayExcl23andMe</t>
  </si>
  <si>
    <t>vandenBerg</t>
  </si>
  <si>
    <t>Wood</t>
  </si>
  <si>
    <t>Jansen</t>
  </si>
  <si>
    <t>Day</t>
  </si>
  <si>
    <t>Perry</t>
  </si>
  <si>
    <t>Gormley</t>
  </si>
  <si>
    <t>Hautakangas</t>
  </si>
  <si>
    <t>Hysi</t>
  </si>
  <si>
    <t>Mathieson</t>
  </si>
  <si>
    <t>deMoor</t>
  </si>
  <si>
    <t>Schumacher</t>
  </si>
  <si>
    <t>Linner</t>
  </si>
  <si>
    <t>Trubetskoy</t>
  </si>
  <si>
    <t>Mahajan</t>
  </si>
  <si>
    <t>Scott</t>
  </si>
  <si>
    <t>Wang</t>
  </si>
  <si>
    <t>Saunders</t>
  </si>
  <si>
    <t>Saunders excl UKB</t>
  </si>
  <si>
    <t>Graham</t>
  </si>
  <si>
    <t>Graham excl UKB</t>
  </si>
  <si>
    <t>Tsuo excl UKB</t>
  </si>
  <si>
    <t>23andMe - male</t>
  </si>
  <si>
    <t>23andMe - female</t>
  </si>
  <si>
    <t>Evangelou excl UKB</t>
  </si>
  <si>
    <t>Wray excl UKB</t>
  </si>
  <si>
    <t>Okbay excl 23andMe &amp; AddHealth</t>
  </si>
  <si>
    <t>Okbay excl 23andMe &amp; ALSPAC</t>
  </si>
  <si>
    <t>Okbay excl 23andMe &amp; EstBB</t>
  </si>
  <si>
    <t>Okbay excl 23andMe &amp; ELSA</t>
  </si>
  <si>
    <t>Okbay excl 23andMe &amp; FinnGen</t>
  </si>
  <si>
    <t>Okbay excl 23andMe &amp; GS</t>
  </si>
  <si>
    <t>Okbay excl 23andMe &amp; HRS</t>
  </si>
  <si>
    <t>Okbay excl 23andMe &amp; MCTFR</t>
  </si>
  <si>
    <t>Okbay excl 23andMe &amp; NCDS</t>
  </si>
  <si>
    <t>Okbay excl 23andMe &amp; STR</t>
  </si>
  <si>
    <t>Okbay excl 23andMe &amp; UKB</t>
  </si>
  <si>
    <t>Okbay excl 23andMe &amp; WLS</t>
  </si>
  <si>
    <t>Yengo</t>
  </si>
  <si>
    <t>Yengo excl UKB</t>
  </si>
  <si>
    <t>Okbay1kG excl 23andMe &amp; UKB &amp; ALSPAC</t>
  </si>
  <si>
    <t>Okbay1kG excl 23andMe &amp; UKB &amp; FinnGen</t>
  </si>
  <si>
    <t>Okbay1kG excl 23andMe &amp; UKB &amp; HRS</t>
  </si>
  <si>
    <t>Okbay1kG excl 23andMe &amp; UKB</t>
  </si>
  <si>
    <t>Okbay1kG excl 23andMe &amp; UKB &amp; MCTFR</t>
  </si>
  <si>
    <t>Okbay1kG excl 23andMe &amp; UKB &amp; STR</t>
  </si>
  <si>
    <t>GWAS</t>
  </si>
  <si>
    <t># SNPs</t>
  </si>
  <si>
    <t>Mean χ2</t>
  </si>
  <si>
    <t>GWAS1</t>
  </si>
  <si>
    <t>GWAS2</t>
  </si>
  <si>
    <t>Demontis2023</t>
  </si>
  <si>
    <t>NA</t>
  </si>
  <si>
    <t>Tsuo (all ancestry) excl UKB</t>
  </si>
  <si>
    <t>23andMe-male</t>
  </si>
  <si>
    <t>23andMe-female</t>
  </si>
  <si>
    <t>UKB2-women</t>
  </si>
  <si>
    <t>UKB1-women</t>
  </si>
  <si>
    <t>UKB3-women</t>
  </si>
  <si>
    <t>UKB3-men</t>
  </si>
  <si>
    <t>UKB2-men</t>
  </si>
  <si>
    <t>UKB1-men</t>
  </si>
  <si>
    <t>UKB2 - women</t>
  </si>
  <si>
    <t>UKB1 - women</t>
  </si>
  <si>
    <t>UKB3 - women</t>
  </si>
  <si>
    <t>UKB3 - men</t>
  </si>
  <si>
    <t>UKB2 - men</t>
  </si>
  <si>
    <t>UKB1 - men</t>
  </si>
  <si>
    <t>Barban - women</t>
  </si>
  <si>
    <t>Barban - men</t>
  </si>
  <si>
    <t>Okbay-1kG excl 23andMe &amp; UKB &amp; STR</t>
  </si>
  <si>
    <t>Okbay-1kG excl 23andMe &amp; UKB &amp; MCTFR</t>
  </si>
  <si>
    <t>Okbay-1kG excl 23andMe &amp; UKB &amp; HRS</t>
  </si>
  <si>
    <t>Okbay-1kG excl 23andMe &amp; UKB &amp; FinnGen</t>
  </si>
  <si>
    <t>Okbay-1kG excl 23andMe &amp; UKB &amp; ALSPAC</t>
  </si>
  <si>
    <t xml:space="preserve">Okbay-1kG excl 23andMe &amp; UKB </t>
  </si>
  <si>
    <r>
      <rPr>
        <b/>
        <i/>
        <sz val="8"/>
        <color theme="1"/>
        <rFont val="Georgia"/>
        <family val="1"/>
      </rPr>
      <t>h</t>
    </r>
    <r>
      <rPr>
        <b/>
        <vertAlign val="superscript"/>
        <sz val="8"/>
        <color theme="1"/>
        <rFont val="Georgia"/>
        <family val="1"/>
      </rPr>
      <t>2</t>
    </r>
  </si>
  <si>
    <r>
      <t>λ</t>
    </r>
    <r>
      <rPr>
        <b/>
        <vertAlign val="subscript"/>
        <sz val="8"/>
        <color theme="1"/>
        <rFont val="Georgia"/>
        <family val="1"/>
      </rPr>
      <t>GC</t>
    </r>
  </si>
  <si>
    <t>Okbay excl 23andMe &amp; AH</t>
  </si>
  <si>
    <t>Okbay excl 23andMe</t>
  </si>
  <si>
    <t xml:space="preserve">Dataset </t>
  </si>
  <si>
    <t>Subsample</t>
  </si>
  <si>
    <t>Full name</t>
  </si>
  <si>
    <t>Dataset 
profile</t>
  </si>
  <si>
    <t>Genotyping platform</t>
  </si>
  <si>
    <t>Imputation software and reference panel</t>
  </si>
  <si>
    <t>MAF</t>
  </si>
  <si>
    <t>Call rate</t>
  </si>
  <si>
    <r>
      <t xml:space="preserve">HWE </t>
    </r>
    <r>
      <rPr>
        <b/>
        <i/>
        <sz val="8"/>
        <rFont val="Georgia"/>
        <family val="1"/>
      </rPr>
      <t>P</t>
    </r>
    <r>
      <rPr>
        <b/>
        <sz val="8"/>
        <rFont val="Georgia"/>
        <family val="1"/>
      </rPr>
      <t>-value</t>
    </r>
  </si>
  <si>
    <t>Other exclusions</t>
  </si>
  <si>
    <t>Software</t>
  </si>
  <si>
    <t>Reference panel</t>
  </si>
  <si>
    <t>Release</t>
  </si>
  <si>
    <t>Sample</t>
  </si>
  <si>
    <t>Add Health</t>
  </si>
  <si>
    <t>National Longitudinal Study of Adolescent to Adult Health</t>
  </si>
  <si>
    <t>Illumina Omni 1.1 and 2.5</t>
  </si>
  <si>
    <r>
      <t>10</t>
    </r>
    <r>
      <rPr>
        <vertAlign val="superscript"/>
        <sz val="8"/>
        <color theme="1"/>
        <rFont val="Georgia"/>
        <family val="1"/>
      </rPr>
      <t>-5</t>
    </r>
  </si>
  <si>
    <t>1) Allele mismatch with reference panel
2) ID mismatch with reference panel
3) Palindromic SNPs with MAF&gt;0.4
4) Duplicates</t>
  </si>
  <si>
    <t>0.95 (per chromosome)</t>
  </si>
  <si>
    <t xml:space="preserve">1) Genetic-ancestry outliers
2) Sex mismatch
3) Duplicates
4) Autosomal Hetero/Homozygosity Outliers
</t>
  </si>
  <si>
    <t>Michigan Server/Minimac3</t>
  </si>
  <si>
    <t>HRC</t>
  </si>
  <si>
    <t>All</t>
  </si>
  <si>
    <t>Dunedin</t>
  </si>
  <si>
    <t>Dunedin Multidisciplinary Health and Development Study</t>
  </si>
  <si>
    <t>Illumina HumanOmni Express 12 BeadChip</t>
  </si>
  <si>
    <r>
      <t xml:space="preserve">1) Autosomal hetero/homozygosity outliers (plink </t>
    </r>
    <r>
      <rPr>
        <i/>
        <sz val="8"/>
        <color theme="1"/>
        <rFont val="Georgia"/>
        <family val="1"/>
      </rPr>
      <t>F</t>
    </r>
    <r>
      <rPr>
        <sz val="8"/>
        <color theme="1"/>
        <rFont val="Georgia"/>
        <family val="1"/>
      </rPr>
      <t>&lt; -0.03 or</t>
    </r>
    <r>
      <rPr>
        <i/>
        <sz val="8"/>
        <color theme="1"/>
        <rFont val="Georgia"/>
        <family val="1"/>
      </rPr>
      <t xml:space="preserve"> F</t>
    </r>
    <r>
      <rPr>
        <sz val="8"/>
        <color theme="1"/>
        <rFont val="Georgia"/>
        <family val="1"/>
      </rPr>
      <t xml:space="preserve">&gt;0.03
</t>
    </r>
    <r>
      <rPr>
        <sz val="8"/>
        <color theme="1"/>
        <rFont val="Georgia"/>
        <family val="1"/>
      </rPr>
      <t xml:space="preserve">
</t>
    </r>
  </si>
  <si>
    <t>Estonian Genome Center, University of Tartu</t>
  </si>
  <si>
    <t>BEAGLE v2.1.2</t>
  </si>
  <si>
    <t>Estonian WGS Reference</t>
  </si>
  <si>
    <t>Mitt et al, EJHG 2017</t>
  </si>
  <si>
    <t>Eur</t>
  </si>
  <si>
    <t>English Longitudinal Study of Ageing</t>
  </si>
  <si>
    <t>Illumina Omni 2.5–8</t>
  </si>
  <si>
    <t>E-Risk</t>
  </si>
  <si>
    <t>Environmental Risk Longitudinal Twin Study</t>
  </si>
  <si>
    <r>
      <t xml:space="preserve">1) Autosomal hetero/homozygosity outliers (plink </t>
    </r>
    <r>
      <rPr>
        <i/>
        <sz val="8"/>
        <color theme="1"/>
        <rFont val="Georgia"/>
        <family val="1"/>
      </rPr>
      <t>F</t>
    </r>
    <r>
      <rPr>
        <sz val="8"/>
        <color theme="1"/>
        <rFont val="Georgia"/>
        <family val="1"/>
      </rPr>
      <t>&lt; -0.03 or</t>
    </r>
    <r>
      <rPr>
        <i/>
        <sz val="8"/>
        <color theme="1"/>
        <rFont val="Georgia"/>
        <family val="1"/>
      </rPr>
      <t xml:space="preserve"> F</t>
    </r>
    <r>
      <rPr>
        <sz val="8"/>
        <color theme="1"/>
        <rFont val="Georgia"/>
        <family val="1"/>
      </rPr>
      <t xml:space="preserve">&gt;0.03
2) Genetic ancestry outliers (plink </t>
    </r>
    <r>
      <rPr>
        <i/>
        <sz val="8"/>
        <color theme="1"/>
        <rFont val="Georgia"/>
        <family val="1"/>
      </rPr>
      <t>Z</t>
    </r>
    <r>
      <rPr>
        <sz val="8"/>
        <color theme="1"/>
        <rFont val="Georgia"/>
        <family val="1"/>
      </rPr>
      <t xml:space="preserve">&lt; -5)
</t>
    </r>
  </si>
  <si>
    <t>Health and Retirement Study</t>
  </si>
  <si>
    <t>HumanOmni2.5-4v1, HumanOmni2.5-8v1, HumanOmni2.5-8v1.1</t>
  </si>
  <si>
    <r>
      <t>10</t>
    </r>
    <r>
      <rPr>
        <vertAlign val="superscript"/>
        <sz val="8"/>
        <color theme="1"/>
        <rFont val="Georgia"/>
        <family val="1"/>
      </rPr>
      <t>-4</t>
    </r>
  </si>
  <si>
    <t>1) Chromosomal anomalies
2) First-degree relatives</t>
  </si>
  <si>
    <t>Minimac3</t>
  </si>
  <si>
    <t xml:space="preserve">1000 Genomes </t>
  </si>
  <si>
    <t>p3v5</t>
  </si>
  <si>
    <t>Minnesota Center for Twin and Family Research</t>
  </si>
  <si>
    <t xml:space="preserve">Illumina 660W-Quad </t>
  </si>
  <si>
    <t>1) Palindromic SNPs with MAF&gt;0.4
2) ID mismatch with reference panel</t>
  </si>
  <si>
    <t>Twingene</t>
  </si>
  <si>
    <t>Swedish Twin Registry</t>
  </si>
  <si>
    <t>Illumina
Human Omni Express</t>
  </si>
  <si>
    <r>
      <t xml:space="preserve">1) Sex mismatch 
2) Autosomal hetero/homozygosity outliers (plink </t>
    </r>
    <r>
      <rPr>
        <i/>
        <sz val="8"/>
        <color theme="1"/>
        <rFont val="Georgia"/>
        <family val="1"/>
      </rPr>
      <t>F</t>
    </r>
    <r>
      <rPr>
        <sz val="8"/>
        <color theme="1"/>
        <rFont val="Georgia"/>
        <family val="1"/>
      </rPr>
      <t>&lt; -0.03 or</t>
    </r>
    <r>
      <rPr>
        <i/>
        <sz val="8"/>
        <color theme="1"/>
        <rFont val="Georgia"/>
        <family val="1"/>
      </rPr>
      <t xml:space="preserve"> F</t>
    </r>
    <r>
      <rPr>
        <sz val="8"/>
        <color theme="1"/>
        <rFont val="Georgia"/>
        <family val="1"/>
      </rPr>
      <t xml:space="preserve">&gt;0.05
3) Genetic ancestry outliers (plink </t>
    </r>
    <r>
      <rPr>
        <i/>
        <sz val="8"/>
        <color theme="1"/>
        <rFont val="Georgia"/>
        <family val="1"/>
      </rPr>
      <t>Z</t>
    </r>
    <r>
      <rPr>
        <sz val="8"/>
        <color theme="1"/>
        <rFont val="Georgia"/>
        <family val="1"/>
      </rPr>
      <t xml:space="preserve">&lt; -5)
</t>
    </r>
  </si>
  <si>
    <r>
      <t xml:space="preserve">1) Sex mismatch 
2) Autosomal hetero/homozygosity outliers (plink </t>
    </r>
    <r>
      <rPr>
        <i/>
        <sz val="8"/>
        <color theme="1"/>
        <rFont val="Georgia"/>
        <family val="1"/>
      </rPr>
      <t>F</t>
    </r>
    <r>
      <rPr>
        <sz val="8"/>
        <color theme="1"/>
        <rFont val="Georgia"/>
        <family val="1"/>
      </rPr>
      <t>&lt; -0.04 or</t>
    </r>
    <r>
      <rPr>
        <i/>
        <sz val="8"/>
        <color theme="1"/>
        <rFont val="Georgia"/>
        <family val="1"/>
      </rPr>
      <t xml:space="preserve"> F</t>
    </r>
    <r>
      <rPr>
        <sz val="8"/>
        <color theme="1"/>
        <rFont val="Georgia"/>
        <family val="1"/>
      </rPr>
      <t xml:space="preserve">&gt;0.03
3) Genetic ancestry outliers (plink </t>
    </r>
    <r>
      <rPr>
        <i/>
        <sz val="8"/>
        <color theme="1"/>
        <rFont val="Georgia"/>
        <family val="1"/>
      </rPr>
      <t>Z</t>
    </r>
    <r>
      <rPr>
        <sz val="8"/>
        <color theme="1"/>
        <rFont val="Georgia"/>
        <family val="1"/>
      </rPr>
      <t xml:space="preserve">&lt; -5)
</t>
    </r>
  </si>
  <si>
    <t>Illumina Global Screening 650K</t>
  </si>
  <si>
    <t>TexasTwins</t>
  </si>
  <si>
    <t>Texas Twin Project</t>
  </si>
  <si>
    <t>[9]</t>
  </si>
  <si>
    <t>Infinium PsychArray-24 BeadChip</t>
  </si>
  <si>
    <t>1) Sex mismatch
2) Restricted to self-reported non-Hispanic European ancestries</t>
  </si>
  <si>
    <t>UKB</t>
  </si>
  <si>
    <t>UK Biobank (Full Release)</t>
  </si>
  <si>
    <t>[10]</t>
  </si>
  <si>
    <t xml:space="preserve">UK BiLEVE Axiom Array and Applied Biosystems UK Biobank Axiom Array </t>
  </si>
  <si>
    <t>IMPUTE4</t>
  </si>
  <si>
    <t>HRC2.0 for primary imputation, UK10K + 1000 Genomes Phase 3 for remaining sites</t>
  </si>
  <si>
    <t>Wisconsin Longitudinal Study</t>
  </si>
  <si>
    <t>[11]</t>
  </si>
  <si>
    <t xml:space="preserve">Illumina HumanOmniExpress BeadChip </t>
  </si>
  <si>
    <t>IMPUTE v2.3.2</t>
  </si>
  <si>
    <t>p3v4</t>
  </si>
  <si>
    <r>
      <rPr>
        <i/>
        <sz val="8"/>
        <color theme="1"/>
        <rFont val="Georgia"/>
        <family val="1"/>
      </rPr>
      <t>Notes:</t>
    </r>
    <r>
      <rPr>
        <sz val="8"/>
        <color theme="1"/>
        <rFont val="Georgia"/>
        <family val="1"/>
      </rPr>
      <t xml:space="preserve"> "Call rate" under SNP-level quality controls refers to the minimum percentage of successfully genotyped SNPs required for the SNP to be included in the set of genotyped SNPs. "Call rate" under subject-level exclusions is the minimum fraction of SNPs successfully genotyped in order for the subject to be retained in the sample. "HWE": Hardy-Weinberg equilibrium. "MAF": Minor allele frequency.</t>
    </r>
  </si>
  <si>
    <t>Health and Retirement Study (HRS)</t>
  </si>
  <si>
    <t xml:space="preserve">Wisconsin Longitudinal Study (WLS) </t>
  </si>
  <si>
    <t>Handling of repeated measures</t>
  </si>
  <si>
    <t>Residualize within wave, then take mean</t>
  </si>
  <si>
    <t xml:space="preserve">Alzheimer's </t>
  </si>
  <si>
    <t>Maximum</t>
  </si>
  <si>
    <t>"About how old were you when you started smoking?"</t>
  </si>
  <si>
    <t>"How old were you when you started smoking regularly?"</t>
  </si>
  <si>
    <t>Have you ever had bipolar disorder? Yes/No</t>
  </si>
  <si>
    <t>Blood Lipids - Total cholesterol</t>
  </si>
  <si>
    <t>Blood Lipids - Triglycerides</t>
  </si>
  <si>
    <t>"In which organ or part of your body did this cancer occur" Breast Cancer Code (10)</t>
  </si>
  <si>
    <t>Based on answer to the following two questions: "Has a medical professional ever said you have cancer?" and "Organ or part of graduate's body where first cancer or malignant tumor occurred." Defined conditional on "Yes" to the first question in any of the waves and reporting "Breast" to the second question.</t>
  </si>
  <si>
    <t>Based on the following two questions: "Did you have a heart attack or myocardial infarction" and "Do you currently have any angina or chest pains due to your heart" Yes to either of the two is considered as a case and control otherwise</t>
  </si>
  <si>
    <t>"Did you have a heart attach or myocardial infarction?" Yes / No</t>
  </si>
  <si>
    <t xml:space="preserve">"How often do you have trouble falling asleep -- would you say most of the time, sometimes, or rarely or never?" Respondents reporting having trouble falling asleep sometimes or most of the time are set to cases while those reporting rarely or never are set to controls </t>
  </si>
  <si>
    <t>"Did you have two weeks or more when nearly every night you had trouble falling asleep?"</t>
  </si>
  <si>
    <t>Have you had persistent headaches? Yes/No</t>
  </si>
  <si>
    <t>"Are you usually able to see well enough to recognize a friend on the other side of the street without glasses or contact lenses?" Yes/No</t>
  </si>
  <si>
    <t>Based on answer to the following two questions: "Has a medical professional ever said you have cancer?" and "Organ or part of graduate's body where first cancer or malignant tumor occurred." Defined conditional on "Yes" to the first question in any of the waves and reporting "neoplasm or prostate" to the second question.</t>
  </si>
  <si>
    <t>"Has a doctor ever told you that you have diabetes or high blood sugar?" Yes/No</t>
  </si>
  <si>
    <t>Based on answer to the following two questions: "Has a doctor ever told Participant they have diabetes?" and "Type of diabetes participant was diagnosed with"; Defined conditional to "Yes" to the first question in any of the waves and reporting "Type-II diabetes" to the second question.</t>
  </si>
  <si>
    <t>Blood Lipids - HDL cholesterol</t>
  </si>
  <si>
    <t>Blood Lipids - LDL cholesterol</t>
  </si>
  <si>
    <t>"Do you have any of the following health problems"; Respondents who reported having having high-cholestrol are cases</t>
  </si>
  <si>
    <t>"Has a medical professional ever said you have high cholesterol?" Respondents who reported having having high-cholestrol are cases</t>
  </si>
  <si>
    <t xml:space="preserve">Coronary Artery Disease </t>
  </si>
  <si>
    <t>Dataset</t>
  </si>
  <si>
    <t>#SNPs before QC</t>
  </si>
  <si>
    <t>#1 Missing values</t>
  </si>
  <si>
    <t>#2 Invalid values</t>
  </si>
  <si>
    <r>
      <t xml:space="preserve">#3 MAF, imputation accuracy, HWE </t>
    </r>
    <r>
      <rPr>
        <b/>
        <i/>
        <sz val="8"/>
        <color theme="1"/>
        <rFont val="Georgia"/>
        <family val="1"/>
      </rPr>
      <t>P</t>
    </r>
    <r>
      <rPr>
        <b/>
        <sz val="8"/>
        <color theme="1"/>
        <rFont val="Georgia"/>
        <family val="1"/>
      </rPr>
      <t>-value, call rate</t>
    </r>
  </si>
  <si>
    <t>#4 SE ratio</t>
  </si>
  <si>
    <t>#5 Non-autosomal marker/ INDEL</t>
  </si>
  <si>
    <t>#6 Invalid or duplicated position / Allele mismatch</t>
  </si>
  <si>
    <t xml:space="preserve">#SNPs after QC </t>
  </si>
  <si>
    <t>Height - Men</t>
  </si>
  <si>
    <t>Height - Women</t>
  </si>
  <si>
    <t>Schziophrenia</t>
  </si>
  <si>
    <r>
      <t>Mills</t>
    </r>
    <r>
      <rPr>
        <vertAlign val="superscript"/>
        <sz val="8"/>
        <color theme="1"/>
        <rFont val="Georgia"/>
        <family val="1"/>
      </rPr>
      <t>1</t>
    </r>
  </si>
  <si>
    <r>
      <t>Furberg</t>
    </r>
    <r>
      <rPr>
        <vertAlign val="superscript"/>
        <sz val="8"/>
        <color theme="1"/>
        <rFont val="Georgia"/>
        <family val="1"/>
      </rPr>
      <t>2</t>
    </r>
  </si>
  <si>
    <r>
      <t>Liu</t>
    </r>
    <r>
      <rPr>
        <vertAlign val="superscript"/>
        <sz val="8"/>
        <color theme="1"/>
        <rFont val="Georgia"/>
        <family val="1"/>
      </rPr>
      <t>3</t>
    </r>
    <r>
      <rPr>
        <sz val="8"/>
        <color theme="1"/>
        <rFont val="Georgia"/>
        <family val="1"/>
      </rPr>
      <t xml:space="preserve"> excl 23andMe</t>
    </r>
  </si>
  <si>
    <r>
      <t>Liu</t>
    </r>
    <r>
      <rPr>
        <vertAlign val="superscript"/>
        <sz val="8"/>
        <color theme="1"/>
        <rFont val="Georgia"/>
        <family val="1"/>
      </rPr>
      <t>3</t>
    </r>
    <r>
      <rPr>
        <sz val="8"/>
        <color theme="1"/>
        <rFont val="Georgia"/>
        <family val="1"/>
      </rPr>
      <t xml:space="preserve"> excl 23andMe &amp; UKB</t>
    </r>
  </si>
  <si>
    <r>
      <t>Saunders</t>
    </r>
    <r>
      <rPr>
        <vertAlign val="superscript"/>
        <sz val="8"/>
        <color theme="1"/>
        <rFont val="Georgia"/>
        <family val="1"/>
      </rPr>
      <t>4</t>
    </r>
    <r>
      <rPr>
        <sz val="8"/>
        <color theme="1"/>
        <rFont val="Georgia"/>
        <family val="1"/>
      </rPr>
      <t xml:space="preserve"> excl 23andMe</t>
    </r>
  </si>
  <si>
    <r>
      <t>Saunders</t>
    </r>
    <r>
      <rPr>
        <vertAlign val="superscript"/>
        <sz val="8"/>
        <color theme="1"/>
        <rFont val="Georgia"/>
        <family val="1"/>
      </rPr>
      <t>4</t>
    </r>
    <r>
      <rPr>
        <sz val="8"/>
        <color theme="1"/>
        <rFont val="Georgia"/>
        <family val="1"/>
      </rPr>
      <t xml:space="preserve"> excl 23andMe &amp; UKB</t>
    </r>
  </si>
  <si>
    <r>
      <t>Walters</t>
    </r>
    <r>
      <rPr>
        <vertAlign val="superscript"/>
        <sz val="8"/>
        <color theme="1"/>
        <rFont val="Georgia"/>
        <family val="1"/>
      </rPr>
      <t>5</t>
    </r>
  </si>
  <si>
    <t>Alcohol Use Disorder</t>
  </si>
  <si>
    <r>
      <t>Bellenguez</t>
    </r>
    <r>
      <rPr>
        <vertAlign val="superscript"/>
        <sz val="8"/>
        <color theme="1"/>
        <rFont val="Georgia"/>
        <family val="1"/>
      </rPr>
      <t>6</t>
    </r>
  </si>
  <si>
    <r>
      <t>Wightman</t>
    </r>
    <r>
      <rPr>
        <vertAlign val="superscript"/>
        <sz val="8"/>
        <color theme="1"/>
        <rFont val="Georgia"/>
        <family val="1"/>
      </rPr>
      <t>7</t>
    </r>
    <r>
      <rPr>
        <sz val="8"/>
        <color theme="1"/>
        <rFont val="Georgia"/>
        <family val="1"/>
      </rPr>
      <t xml:space="preserve"> excl 23andMe</t>
    </r>
  </si>
  <si>
    <r>
      <t>Duncan</t>
    </r>
    <r>
      <rPr>
        <vertAlign val="superscript"/>
        <sz val="8"/>
        <color theme="1"/>
        <rFont val="Georgia"/>
        <family val="1"/>
      </rPr>
      <t>8</t>
    </r>
  </si>
  <si>
    <r>
      <t>Watson</t>
    </r>
    <r>
      <rPr>
        <vertAlign val="superscript"/>
        <sz val="8"/>
        <color theme="1"/>
        <rFont val="Georgia"/>
        <family val="1"/>
      </rPr>
      <t>9</t>
    </r>
  </si>
  <si>
    <r>
      <t>Tsuo</t>
    </r>
    <r>
      <rPr>
        <vertAlign val="superscript"/>
        <sz val="8"/>
        <color theme="1"/>
        <rFont val="Georgia"/>
        <family val="1"/>
      </rPr>
      <t>10</t>
    </r>
    <r>
      <rPr>
        <sz val="8"/>
        <color theme="1"/>
        <rFont val="Georgia"/>
        <family val="1"/>
      </rPr>
      <t xml:space="preserve"> (all ancestry)</t>
    </r>
  </si>
  <si>
    <r>
      <t>Tsuo</t>
    </r>
    <r>
      <rPr>
        <vertAlign val="superscript"/>
        <sz val="8"/>
        <color theme="1"/>
        <rFont val="Georgia"/>
        <family val="1"/>
      </rPr>
      <t>10</t>
    </r>
    <r>
      <rPr>
        <sz val="8"/>
        <color theme="1"/>
        <rFont val="Georgia"/>
        <family val="1"/>
      </rPr>
      <t xml:space="preserve"> (all ancestry) excl UKB</t>
    </r>
  </si>
  <si>
    <r>
      <t>Demontis</t>
    </r>
    <r>
      <rPr>
        <vertAlign val="superscript"/>
        <sz val="8"/>
        <color theme="1"/>
        <rFont val="Georgia"/>
        <family val="1"/>
      </rPr>
      <t>11</t>
    </r>
  </si>
  <si>
    <r>
      <t>Grove</t>
    </r>
    <r>
      <rPr>
        <vertAlign val="superscript"/>
        <sz val="8"/>
        <color theme="1"/>
        <rFont val="Georgia"/>
        <family val="1"/>
      </rPr>
      <t>12</t>
    </r>
  </si>
  <si>
    <r>
      <t>Mullins</t>
    </r>
    <r>
      <rPr>
        <vertAlign val="superscript"/>
        <sz val="8"/>
        <color theme="1"/>
        <rFont val="Georgia"/>
        <family val="1"/>
      </rPr>
      <t>13</t>
    </r>
  </si>
  <si>
    <r>
      <t>Stahl</t>
    </r>
    <r>
      <rPr>
        <vertAlign val="superscript"/>
        <sz val="8"/>
        <color theme="1"/>
        <rFont val="Georgia"/>
        <family val="1"/>
      </rPr>
      <t>14</t>
    </r>
  </si>
  <si>
    <r>
      <t>Graham</t>
    </r>
    <r>
      <rPr>
        <vertAlign val="superscript"/>
        <sz val="8"/>
        <color theme="1"/>
        <rFont val="Georgia"/>
        <family val="1"/>
      </rPr>
      <t>15</t>
    </r>
  </si>
  <si>
    <r>
      <t>Graham</t>
    </r>
    <r>
      <rPr>
        <vertAlign val="superscript"/>
        <sz val="8"/>
        <color theme="1"/>
        <rFont val="Georgia"/>
        <family val="1"/>
      </rPr>
      <t>15</t>
    </r>
    <r>
      <rPr>
        <sz val="8"/>
        <color theme="1"/>
        <rFont val="Georgia"/>
        <family val="1"/>
      </rPr>
      <t xml:space="preserve"> excl UKB</t>
    </r>
  </si>
  <si>
    <r>
      <t>Sinnott-Armstrong</t>
    </r>
    <r>
      <rPr>
        <vertAlign val="superscript"/>
        <sz val="8"/>
        <color theme="1"/>
        <rFont val="Georgia"/>
        <family val="1"/>
      </rPr>
      <t>16</t>
    </r>
  </si>
  <si>
    <r>
      <t>Evangelou</t>
    </r>
    <r>
      <rPr>
        <vertAlign val="superscript"/>
        <sz val="8"/>
        <color theme="1"/>
        <rFont val="Georgia"/>
        <family val="1"/>
      </rPr>
      <t>17</t>
    </r>
  </si>
  <si>
    <r>
      <t>Evangelou</t>
    </r>
    <r>
      <rPr>
        <vertAlign val="superscript"/>
        <sz val="8"/>
        <color theme="1"/>
        <rFont val="Georgia"/>
        <family val="1"/>
      </rPr>
      <t>17</t>
    </r>
    <r>
      <rPr>
        <sz val="8"/>
        <color theme="1"/>
        <rFont val="Georgia"/>
        <family val="1"/>
      </rPr>
      <t xml:space="preserve"> excl UKB</t>
    </r>
  </si>
  <si>
    <r>
      <t>Zhang</t>
    </r>
    <r>
      <rPr>
        <vertAlign val="superscript"/>
        <sz val="8"/>
        <color theme="1"/>
        <rFont val="Georgia"/>
        <family val="1"/>
      </rPr>
      <t>18</t>
    </r>
  </si>
  <si>
    <r>
      <t>Mathieson</t>
    </r>
    <r>
      <rPr>
        <vertAlign val="superscript"/>
        <sz val="8"/>
        <color theme="1"/>
        <rFont val="Georgia"/>
        <family val="1"/>
      </rPr>
      <t>19</t>
    </r>
  </si>
  <si>
    <t>Childlessness</t>
  </si>
  <si>
    <r>
      <t>Aragam</t>
    </r>
    <r>
      <rPr>
        <vertAlign val="superscript"/>
        <sz val="8"/>
        <color theme="1"/>
        <rFont val="Georgia"/>
        <family val="1"/>
      </rPr>
      <t>20</t>
    </r>
  </si>
  <si>
    <r>
      <t>Nelson</t>
    </r>
    <r>
      <rPr>
        <vertAlign val="superscript"/>
        <sz val="8"/>
        <color theme="1"/>
        <rFont val="Georgia"/>
        <family val="1"/>
      </rPr>
      <t>21</t>
    </r>
  </si>
  <si>
    <r>
      <t>Nikpay</t>
    </r>
    <r>
      <rPr>
        <vertAlign val="superscript"/>
        <sz val="8"/>
        <color theme="1"/>
        <rFont val="Georgia"/>
        <family val="1"/>
      </rPr>
      <t>22</t>
    </r>
  </si>
  <si>
    <r>
      <t>Okbay</t>
    </r>
    <r>
      <rPr>
        <vertAlign val="superscript"/>
        <sz val="8"/>
        <color theme="1"/>
        <rFont val="Georgia"/>
        <family val="1"/>
      </rPr>
      <t>23</t>
    </r>
    <r>
      <rPr>
        <sz val="8"/>
        <color theme="1"/>
        <rFont val="Georgia"/>
        <family val="1"/>
      </rPr>
      <t xml:space="preserve"> excl 23andMe</t>
    </r>
  </si>
  <si>
    <r>
      <t>Okbay</t>
    </r>
    <r>
      <rPr>
        <vertAlign val="superscript"/>
        <sz val="8"/>
        <color theme="1"/>
        <rFont val="Georgia"/>
        <family val="1"/>
      </rPr>
      <t>23</t>
    </r>
    <r>
      <rPr>
        <sz val="8"/>
        <color theme="1"/>
        <rFont val="Georgia"/>
        <family val="1"/>
      </rPr>
      <t xml:space="preserve"> excl 23andMe &amp; AH</t>
    </r>
  </si>
  <si>
    <r>
      <t>Okbay</t>
    </r>
    <r>
      <rPr>
        <vertAlign val="superscript"/>
        <sz val="8"/>
        <color theme="1"/>
        <rFont val="Georgia"/>
        <family val="1"/>
      </rPr>
      <t>23</t>
    </r>
    <r>
      <rPr>
        <sz val="8"/>
        <color theme="1"/>
        <rFont val="Georgia"/>
        <family val="1"/>
      </rPr>
      <t xml:space="preserve"> excl 23andMe &amp; ALSPAC</t>
    </r>
  </si>
  <si>
    <r>
      <t>Okbay</t>
    </r>
    <r>
      <rPr>
        <vertAlign val="superscript"/>
        <sz val="8"/>
        <color theme="1"/>
        <rFont val="Georgia"/>
        <family val="1"/>
      </rPr>
      <t>23</t>
    </r>
    <r>
      <rPr>
        <sz val="8"/>
        <color theme="1"/>
        <rFont val="Georgia"/>
        <family val="1"/>
      </rPr>
      <t xml:space="preserve"> excl 23andMe &amp; EBB</t>
    </r>
  </si>
  <si>
    <r>
      <t>Okbay</t>
    </r>
    <r>
      <rPr>
        <vertAlign val="superscript"/>
        <sz val="8"/>
        <color theme="1"/>
        <rFont val="Georgia"/>
        <family val="1"/>
      </rPr>
      <t>23</t>
    </r>
    <r>
      <rPr>
        <sz val="8"/>
        <color theme="1"/>
        <rFont val="Georgia"/>
        <family val="1"/>
      </rPr>
      <t xml:space="preserve"> excl 23andMe &amp; ELSA</t>
    </r>
  </si>
  <si>
    <r>
      <t>Okbay</t>
    </r>
    <r>
      <rPr>
        <vertAlign val="superscript"/>
        <sz val="8"/>
        <color theme="1"/>
        <rFont val="Georgia"/>
        <family val="1"/>
      </rPr>
      <t>23</t>
    </r>
    <r>
      <rPr>
        <sz val="8"/>
        <color theme="1"/>
        <rFont val="Georgia"/>
        <family val="1"/>
      </rPr>
      <t xml:space="preserve"> excl 23andMe &amp; FinnGen</t>
    </r>
  </si>
  <si>
    <r>
      <t>Okbay</t>
    </r>
    <r>
      <rPr>
        <vertAlign val="superscript"/>
        <sz val="8"/>
        <color theme="1"/>
        <rFont val="Georgia"/>
        <family val="1"/>
      </rPr>
      <t>23</t>
    </r>
    <r>
      <rPr>
        <sz val="8"/>
        <color theme="1"/>
        <rFont val="Georgia"/>
        <family val="1"/>
      </rPr>
      <t xml:space="preserve"> excl 23andMe &amp; GS</t>
    </r>
  </si>
  <si>
    <r>
      <t>Okbay</t>
    </r>
    <r>
      <rPr>
        <vertAlign val="superscript"/>
        <sz val="8"/>
        <color theme="1"/>
        <rFont val="Georgia"/>
        <family val="1"/>
      </rPr>
      <t>23</t>
    </r>
    <r>
      <rPr>
        <sz val="8"/>
        <color theme="1"/>
        <rFont val="Georgia"/>
        <family val="1"/>
      </rPr>
      <t xml:space="preserve"> excl 23andMe &amp; HRS</t>
    </r>
  </si>
  <si>
    <r>
      <t>Okbay</t>
    </r>
    <r>
      <rPr>
        <vertAlign val="superscript"/>
        <sz val="8"/>
        <color theme="1"/>
        <rFont val="Georgia"/>
        <family val="1"/>
      </rPr>
      <t>23</t>
    </r>
    <r>
      <rPr>
        <sz val="8"/>
        <color theme="1"/>
        <rFont val="Georgia"/>
        <family val="1"/>
      </rPr>
      <t xml:space="preserve"> excl 23andMe &amp; MCS</t>
    </r>
  </si>
  <si>
    <r>
      <t>Okbay</t>
    </r>
    <r>
      <rPr>
        <vertAlign val="superscript"/>
        <sz val="8"/>
        <color theme="1"/>
        <rFont val="Georgia"/>
        <family val="1"/>
      </rPr>
      <t>23</t>
    </r>
    <r>
      <rPr>
        <sz val="8"/>
        <color theme="1"/>
        <rFont val="Georgia"/>
        <family val="1"/>
      </rPr>
      <t xml:space="preserve"> excl 23andMe &amp; NCDS</t>
    </r>
  </si>
  <si>
    <r>
      <t>Okbay</t>
    </r>
    <r>
      <rPr>
        <vertAlign val="superscript"/>
        <sz val="8"/>
        <color theme="1"/>
        <rFont val="Georgia"/>
        <family val="1"/>
      </rPr>
      <t>23</t>
    </r>
    <r>
      <rPr>
        <sz val="8"/>
        <color theme="1"/>
        <rFont val="Georgia"/>
        <family val="1"/>
      </rPr>
      <t xml:space="preserve"> excl 23andMe &amp; STR</t>
    </r>
  </si>
  <si>
    <r>
      <t>Okbay</t>
    </r>
    <r>
      <rPr>
        <vertAlign val="superscript"/>
        <sz val="8"/>
        <color theme="1"/>
        <rFont val="Georgia"/>
        <family val="1"/>
      </rPr>
      <t>23</t>
    </r>
    <r>
      <rPr>
        <sz val="8"/>
        <color theme="1"/>
        <rFont val="Georgia"/>
        <family val="1"/>
      </rPr>
      <t xml:space="preserve"> excl 23andMe &amp; UKB</t>
    </r>
  </si>
  <si>
    <r>
      <t>Okbay</t>
    </r>
    <r>
      <rPr>
        <vertAlign val="superscript"/>
        <sz val="8"/>
        <color theme="1"/>
        <rFont val="Georgia"/>
        <family val="1"/>
      </rPr>
      <t>23</t>
    </r>
    <r>
      <rPr>
        <sz val="8"/>
        <color theme="1"/>
        <rFont val="Georgia"/>
        <family val="1"/>
      </rPr>
      <t xml:space="preserve"> excl 23andMe &amp; WLS</t>
    </r>
  </si>
  <si>
    <r>
      <t>Yengo</t>
    </r>
    <r>
      <rPr>
        <vertAlign val="superscript"/>
        <sz val="8"/>
        <color theme="1"/>
        <rFont val="Georgia"/>
        <family val="1"/>
      </rPr>
      <t>24</t>
    </r>
    <r>
      <rPr>
        <sz val="8"/>
        <color theme="1"/>
        <rFont val="Georgia"/>
        <family val="1"/>
      </rPr>
      <t xml:space="preserve"> excl 23andMe</t>
    </r>
  </si>
  <si>
    <r>
      <t>Yengo</t>
    </r>
    <r>
      <rPr>
        <vertAlign val="superscript"/>
        <sz val="8"/>
        <color theme="1"/>
        <rFont val="Georgia"/>
        <family val="1"/>
      </rPr>
      <t>24</t>
    </r>
    <r>
      <rPr>
        <sz val="8"/>
        <color theme="1"/>
        <rFont val="Georgia"/>
        <family val="1"/>
      </rPr>
      <t xml:space="preserve"> excl 23andMe &amp; UKB</t>
    </r>
  </si>
  <si>
    <r>
      <t>Liu</t>
    </r>
    <r>
      <rPr>
        <vertAlign val="superscript"/>
        <sz val="8"/>
        <color theme="1"/>
        <rFont val="Georgia"/>
        <family val="1"/>
      </rPr>
      <t>25</t>
    </r>
  </si>
  <si>
    <r>
      <t>Jansen</t>
    </r>
    <r>
      <rPr>
        <vertAlign val="superscript"/>
        <sz val="8"/>
        <color theme="1"/>
        <rFont val="Georgia"/>
        <family val="1"/>
      </rPr>
      <t>26</t>
    </r>
    <r>
      <rPr>
        <sz val="8"/>
        <color theme="1"/>
        <rFont val="Georgia"/>
        <family val="1"/>
      </rPr>
      <t xml:space="preserve"> excl 23andMe</t>
    </r>
  </si>
  <si>
    <r>
      <t>Gormley</t>
    </r>
    <r>
      <rPr>
        <vertAlign val="superscript"/>
        <sz val="8"/>
        <color theme="1"/>
        <rFont val="Georgia"/>
        <family val="1"/>
      </rPr>
      <t>27</t>
    </r>
  </si>
  <si>
    <r>
      <t>Hautakangas</t>
    </r>
    <r>
      <rPr>
        <vertAlign val="superscript"/>
        <sz val="8"/>
        <color theme="1"/>
        <rFont val="Georgia"/>
        <family val="1"/>
      </rPr>
      <t>28</t>
    </r>
  </si>
  <si>
    <r>
      <t>Hysi</t>
    </r>
    <r>
      <rPr>
        <vertAlign val="superscript"/>
        <sz val="8"/>
        <color theme="1"/>
        <rFont val="Georgia"/>
        <family val="1"/>
      </rPr>
      <t>29</t>
    </r>
  </si>
  <si>
    <t>Number Ever Born</t>
  </si>
  <si>
    <r>
      <t>Wang</t>
    </r>
    <r>
      <rPr>
        <vertAlign val="superscript"/>
        <sz val="8"/>
        <color theme="1"/>
        <rFont val="Georgia"/>
        <family val="1"/>
      </rPr>
      <t>30</t>
    </r>
  </si>
  <si>
    <r>
      <t>Schumacher</t>
    </r>
    <r>
      <rPr>
        <vertAlign val="superscript"/>
        <sz val="8"/>
        <color theme="1"/>
        <rFont val="Georgia"/>
        <family val="1"/>
      </rPr>
      <t>31</t>
    </r>
  </si>
  <si>
    <r>
      <t>Trubetskoy</t>
    </r>
    <r>
      <rPr>
        <vertAlign val="superscript"/>
        <sz val="8"/>
        <color theme="1"/>
        <rFont val="Georgia"/>
        <family val="1"/>
      </rPr>
      <t>32</t>
    </r>
  </si>
  <si>
    <r>
      <t>Okbay</t>
    </r>
    <r>
      <rPr>
        <vertAlign val="superscript"/>
        <sz val="8"/>
        <color theme="1"/>
        <rFont val="Georgia"/>
        <family val="1"/>
      </rPr>
      <t>33</t>
    </r>
    <r>
      <rPr>
        <sz val="8"/>
        <color theme="1"/>
        <rFont val="Georgia"/>
        <family val="1"/>
      </rPr>
      <t xml:space="preserve"> 1kG excl 23andMe &amp; UKB</t>
    </r>
  </si>
  <si>
    <r>
      <t>Okbay</t>
    </r>
    <r>
      <rPr>
        <vertAlign val="superscript"/>
        <sz val="8"/>
        <color theme="1"/>
        <rFont val="Georgia"/>
        <family val="1"/>
      </rPr>
      <t>33</t>
    </r>
    <r>
      <rPr>
        <sz val="8"/>
        <color theme="1"/>
        <rFont val="Georgia"/>
        <family val="1"/>
      </rPr>
      <t xml:space="preserve"> 1kG excl 23andMe &amp; UKB &amp; ALSPAC</t>
    </r>
  </si>
  <si>
    <r>
      <t>Okbay</t>
    </r>
    <r>
      <rPr>
        <vertAlign val="superscript"/>
        <sz val="8"/>
        <color theme="1"/>
        <rFont val="Georgia"/>
        <family val="1"/>
      </rPr>
      <t>33</t>
    </r>
    <r>
      <rPr>
        <sz val="8"/>
        <color theme="1"/>
        <rFont val="Georgia"/>
        <family val="1"/>
      </rPr>
      <t xml:space="preserve"> 1kG excl 23andMe &amp; UKB &amp; FinnGen</t>
    </r>
  </si>
  <si>
    <r>
      <t>Okbay</t>
    </r>
    <r>
      <rPr>
        <vertAlign val="superscript"/>
        <sz val="8"/>
        <color theme="1"/>
        <rFont val="Georgia"/>
        <family val="1"/>
      </rPr>
      <t>33</t>
    </r>
    <r>
      <rPr>
        <sz val="8"/>
        <color theme="1"/>
        <rFont val="Georgia"/>
        <family val="1"/>
      </rPr>
      <t xml:space="preserve"> 1kG excl 23andMe &amp; UKB &amp; HRS</t>
    </r>
  </si>
  <si>
    <r>
      <t>Okbay</t>
    </r>
    <r>
      <rPr>
        <vertAlign val="superscript"/>
        <sz val="8"/>
        <color theme="1"/>
        <rFont val="Georgia"/>
        <family val="1"/>
      </rPr>
      <t>33</t>
    </r>
    <r>
      <rPr>
        <sz val="8"/>
        <color theme="1"/>
        <rFont val="Georgia"/>
        <family val="1"/>
      </rPr>
      <t xml:space="preserve"> 1kG excl 23andMe &amp; UKB &amp; MCTFR</t>
    </r>
  </si>
  <si>
    <r>
      <t>Okbay</t>
    </r>
    <r>
      <rPr>
        <vertAlign val="superscript"/>
        <sz val="8"/>
        <color theme="1"/>
        <rFont val="Georgia"/>
        <family val="1"/>
      </rPr>
      <t>33</t>
    </r>
    <r>
      <rPr>
        <sz val="8"/>
        <color theme="1"/>
        <rFont val="Georgia"/>
        <family val="1"/>
      </rPr>
      <t xml:space="preserve"> 1kG excl 23andMe &amp; UKB &amp; STR</t>
    </r>
  </si>
  <si>
    <r>
      <t>Mahajan</t>
    </r>
    <r>
      <rPr>
        <vertAlign val="superscript"/>
        <sz val="8"/>
        <color theme="1"/>
        <rFont val="Georgia"/>
        <family val="1"/>
      </rPr>
      <t>34</t>
    </r>
  </si>
  <si>
    <r>
      <t>Scott</t>
    </r>
    <r>
      <rPr>
        <vertAlign val="superscript"/>
        <sz val="8"/>
        <color theme="1"/>
        <rFont val="Georgia"/>
        <family val="1"/>
      </rPr>
      <t>35</t>
    </r>
  </si>
  <si>
    <t>References</t>
  </si>
  <si>
    <r>
      <t xml:space="preserve">Furberg, H. </t>
    </r>
    <r>
      <rPr>
        <i/>
        <sz val="8"/>
        <color theme="1"/>
        <rFont val="Georgia"/>
        <family val="1"/>
      </rPr>
      <t>et al.</t>
    </r>
    <r>
      <rPr>
        <sz val="8"/>
        <color theme="1"/>
        <rFont val="Georgia"/>
        <family val="1"/>
      </rPr>
      <t xml:space="preserve"> Genome-wide meta-analyses identify multiple loci associated with smoking behavior. </t>
    </r>
    <r>
      <rPr>
        <i/>
        <sz val="8"/>
        <color theme="1"/>
        <rFont val="Georgia"/>
        <family val="1"/>
      </rPr>
      <t>Nat. Genet.</t>
    </r>
    <r>
      <rPr>
        <sz val="8"/>
        <color theme="1"/>
        <rFont val="Georgia"/>
        <family val="1"/>
      </rPr>
      <t xml:space="preserve"> </t>
    </r>
    <r>
      <rPr>
        <b/>
        <sz val="8"/>
        <color theme="1"/>
        <rFont val="Georgia"/>
        <family val="1"/>
      </rPr>
      <t>42</t>
    </r>
    <r>
      <rPr>
        <sz val="8"/>
        <color theme="1"/>
        <rFont val="Georgia"/>
        <family val="1"/>
      </rPr>
      <t>, 441–447 (2010).</t>
    </r>
  </si>
  <si>
    <r>
      <t xml:space="preserve">Liu, M. </t>
    </r>
    <r>
      <rPr>
        <i/>
        <sz val="8"/>
        <color theme="1"/>
        <rFont val="Georgia"/>
        <family val="1"/>
      </rPr>
      <t>et al.</t>
    </r>
    <r>
      <rPr>
        <sz val="8"/>
        <color theme="1"/>
        <rFont val="Georgia"/>
        <family val="1"/>
      </rPr>
      <t xml:space="preserve"> Association studies of up to 1.2 million individuals yield new insights into the genetic etiology of tobacco and alcohol use. </t>
    </r>
    <r>
      <rPr>
        <i/>
        <sz val="8"/>
        <color theme="1"/>
        <rFont val="Georgia"/>
        <family val="1"/>
      </rPr>
      <t>Nat. Genet.</t>
    </r>
    <r>
      <rPr>
        <sz val="8"/>
        <color theme="1"/>
        <rFont val="Georgia"/>
        <family val="1"/>
      </rPr>
      <t xml:space="preserve"> </t>
    </r>
    <r>
      <rPr>
        <b/>
        <sz val="8"/>
        <color theme="1"/>
        <rFont val="Georgia"/>
        <family val="1"/>
      </rPr>
      <t>51</t>
    </r>
    <r>
      <rPr>
        <sz val="8"/>
        <color theme="1"/>
        <rFont val="Georgia"/>
        <family val="1"/>
      </rPr>
      <t>, 237–244 (2019).</t>
    </r>
  </si>
  <si>
    <r>
      <t xml:space="preserve">Saunders, G. R. B. </t>
    </r>
    <r>
      <rPr>
        <i/>
        <sz val="8"/>
        <color theme="1"/>
        <rFont val="Georgia"/>
        <family val="1"/>
      </rPr>
      <t>et al.</t>
    </r>
    <r>
      <rPr>
        <sz val="8"/>
        <color theme="1"/>
        <rFont val="Georgia"/>
        <family val="1"/>
      </rPr>
      <t xml:space="preserve"> Genetic diversity fuels gene discovery for tobacco and alcohol use. </t>
    </r>
    <r>
      <rPr>
        <i/>
        <sz val="8"/>
        <color theme="1"/>
        <rFont val="Georgia"/>
        <family val="1"/>
      </rPr>
      <t>Nat. 2022 6127941</t>
    </r>
    <r>
      <rPr>
        <sz val="8"/>
        <color theme="1"/>
        <rFont val="Georgia"/>
        <family val="1"/>
      </rPr>
      <t xml:space="preserve"> </t>
    </r>
    <r>
      <rPr>
        <b/>
        <sz val="8"/>
        <color theme="1"/>
        <rFont val="Georgia"/>
        <family val="1"/>
      </rPr>
      <t>612</t>
    </r>
    <r>
      <rPr>
        <sz val="8"/>
        <color theme="1"/>
        <rFont val="Georgia"/>
        <family val="1"/>
      </rPr>
      <t>, 720–724 (2022).</t>
    </r>
  </si>
  <si>
    <r>
      <t xml:space="preserve">Walters, R. K. </t>
    </r>
    <r>
      <rPr>
        <i/>
        <sz val="8"/>
        <color theme="1"/>
        <rFont val="Georgia"/>
        <family val="1"/>
      </rPr>
      <t>et al.</t>
    </r>
    <r>
      <rPr>
        <sz val="8"/>
        <color theme="1"/>
        <rFont val="Georgia"/>
        <family val="1"/>
      </rPr>
      <t xml:space="preserve"> Transancestral GWAS of alcohol dependence reveals common genetic underpinnings with psychiatric disorders. </t>
    </r>
    <r>
      <rPr>
        <i/>
        <sz val="8"/>
        <color theme="1"/>
        <rFont val="Georgia"/>
        <family val="1"/>
      </rPr>
      <t>Nat. Neurosci.</t>
    </r>
    <r>
      <rPr>
        <sz val="8"/>
        <color theme="1"/>
        <rFont val="Georgia"/>
        <family val="1"/>
      </rPr>
      <t xml:space="preserve"> </t>
    </r>
    <r>
      <rPr>
        <b/>
        <sz val="8"/>
        <color theme="1"/>
        <rFont val="Georgia"/>
        <family val="1"/>
      </rPr>
      <t>21</t>
    </r>
    <r>
      <rPr>
        <sz val="8"/>
        <color theme="1"/>
        <rFont val="Georgia"/>
        <family val="1"/>
      </rPr>
      <t>, 1656–1669 (2018).</t>
    </r>
  </si>
  <si>
    <r>
      <t xml:space="preserve">Bellenguez, C. </t>
    </r>
    <r>
      <rPr>
        <i/>
        <sz val="8"/>
        <color theme="1"/>
        <rFont val="Georgia"/>
        <family val="1"/>
      </rPr>
      <t>et al.</t>
    </r>
    <r>
      <rPr>
        <sz val="8"/>
        <color theme="1"/>
        <rFont val="Georgia"/>
        <family val="1"/>
      </rPr>
      <t xml:space="preserve"> New insights into the genetic etiology of Alzheimer’s disease and related dementias. </t>
    </r>
    <r>
      <rPr>
        <i/>
        <sz val="8"/>
        <color theme="1"/>
        <rFont val="Georgia"/>
        <family val="1"/>
      </rPr>
      <t>Nat. Genet.</t>
    </r>
    <r>
      <rPr>
        <sz val="8"/>
        <color theme="1"/>
        <rFont val="Georgia"/>
        <family val="1"/>
      </rPr>
      <t xml:space="preserve"> </t>
    </r>
    <r>
      <rPr>
        <b/>
        <sz val="8"/>
        <color theme="1"/>
        <rFont val="Georgia"/>
        <family val="1"/>
      </rPr>
      <t>54</t>
    </r>
    <r>
      <rPr>
        <sz val="8"/>
        <color theme="1"/>
        <rFont val="Georgia"/>
        <family val="1"/>
      </rPr>
      <t>, 412–436 (2022).</t>
    </r>
  </si>
  <si>
    <r>
      <t xml:space="preserve">Wightman, D. P. </t>
    </r>
    <r>
      <rPr>
        <i/>
        <sz val="8"/>
        <color theme="1"/>
        <rFont val="Georgia"/>
        <family val="1"/>
      </rPr>
      <t>et al.</t>
    </r>
    <r>
      <rPr>
        <sz val="8"/>
        <color theme="1"/>
        <rFont val="Georgia"/>
        <family val="1"/>
      </rPr>
      <t xml:space="preserve"> A genome-wide association study with 1,126,563 individuals identifies new risk loci for Alzheimer’s disease. </t>
    </r>
    <r>
      <rPr>
        <i/>
        <sz val="8"/>
        <color theme="1"/>
        <rFont val="Georgia"/>
        <family val="1"/>
      </rPr>
      <t>Nat. Genet. 2021 539</t>
    </r>
    <r>
      <rPr>
        <sz val="8"/>
        <color theme="1"/>
        <rFont val="Georgia"/>
        <family val="1"/>
      </rPr>
      <t xml:space="preserve"> </t>
    </r>
    <r>
      <rPr>
        <b/>
        <sz val="8"/>
        <color theme="1"/>
        <rFont val="Georgia"/>
        <family val="1"/>
      </rPr>
      <t>53</t>
    </r>
    <r>
      <rPr>
        <sz val="8"/>
        <color theme="1"/>
        <rFont val="Georgia"/>
        <family val="1"/>
      </rPr>
      <t>, 1276–1282 (2021).</t>
    </r>
  </si>
  <si>
    <r>
      <t xml:space="preserve">Duncan, L. </t>
    </r>
    <r>
      <rPr>
        <i/>
        <sz val="8"/>
        <color theme="1"/>
        <rFont val="Georgia"/>
        <family val="1"/>
      </rPr>
      <t>et al.</t>
    </r>
    <r>
      <rPr>
        <sz val="8"/>
        <color theme="1"/>
        <rFont val="Georgia"/>
        <family val="1"/>
      </rPr>
      <t xml:space="preserve"> Significant Locus and Metabolic Genetic Correlations Revealed in Genome-Wide Association Study of Anorexia Nervosa. </t>
    </r>
    <r>
      <rPr>
        <i/>
        <sz val="8"/>
        <color theme="1"/>
        <rFont val="Georgia"/>
        <family val="1"/>
      </rPr>
      <t>Am. J. Psychiatry</t>
    </r>
    <r>
      <rPr>
        <sz val="8"/>
        <color theme="1"/>
        <rFont val="Georgia"/>
        <family val="1"/>
      </rPr>
      <t xml:space="preserve"> </t>
    </r>
    <r>
      <rPr>
        <b/>
        <sz val="8"/>
        <color theme="1"/>
        <rFont val="Georgia"/>
        <family val="1"/>
      </rPr>
      <t>174</t>
    </r>
    <r>
      <rPr>
        <sz val="8"/>
        <color theme="1"/>
        <rFont val="Georgia"/>
        <family val="1"/>
      </rPr>
      <t>, 850–858 (2017).</t>
    </r>
  </si>
  <si>
    <r>
      <t xml:space="preserve">Watson, H. J. </t>
    </r>
    <r>
      <rPr>
        <i/>
        <sz val="8"/>
        <color theme="1"/>
        <rFont val="Georgia"/>
        <family val="1"/>
      </rPr>
      <t>et al.</t>
    </r>
    <r>
      <rPr>
        <sz val="8"/>
        <color theme="1"/>
        <rFont val="Georgia"/>
        <family val="1"/>
      </rPr>
      <t xml:space="preserve"> Genome-wide association study identifies eight risk loci and implicates metabo-psychiatric origins for anorexia nervosa. </t>
    </r>
    <r>
      <rPr>
        <i/>
        <sz val="8"/>
        <color theme="1"/>
        <rFont val="Georgia"/>
        <family val="1"/>
      </rPr>
      <t>Nat. Genet.</t>
    </r>
    <r>
      <rPr>
        <sz val="8"/>
        <color theme="1"/>
        <rFont val="Georgia"/>
        <family val="1"/>
      </rPr>
      <t xml:space="preserve"> </t>
    </r>
    <r>
      <rPr>
        <b/>
        <sz val="8"/>
        <color theme="1"/>
        <rFont val="Georgia"/>
        <family val="1"/>
      </rPr>
      <t>51</t>
    </r>
    <r>
      <rPr>
        <sz val="8"/>
        <color theme="1"/>
        <rFont val="Georgia"/>
        <family val="1"/>
      </rPr>
      <t>, 1207–1214 (2019).</t>
    </r>
  </si>
  <si>
    <r>
      <t xml:space="preserve">Tsuo, K. </t>
    </r>
    <r>
      <rPr>
        <i/>
        <sz val="8"/>
        <color theme="1"/>
        <rFont val="Georgia"/>
        <family val="1"/>
      </rPr>
      <t>et al.</t>
    </r>
    <r>
      <rPr>
        <sz val="8"/>
        <color theme="1"/>
        <rFont val="Georgia"/>
        <family val="1"/>
      </rPr>
      <t xml:space="preserve"> Multi-ancestry meta-analysis of asthma identifies novel associations and highlights the value of increased power and diversity. </t>
    </r>
    <r>
      <rPr>
        <i/>
        <sz val="8"/>
        <color theme="1"/>
        <rFont val="Georgia"/>
        <family val="1"/>
      </rPr>
      <t>Cell Genomics</t>
    </r>
    <r>
      <rPr>
        <sz val="8"/>
        <color theme="1"/>
        <rFont val="Georgia"/>
        <family val="1"/>
      </rPr>
      <t xml:space="preserve"> </t>
    </r>
    <r>
      <rPr>
        <b/>
        <sz val="8"/>
        <color theme="1"/>
        <rFont val="Georgia"/>
        <family val="1"/>
      </rPr>
      <t>2</t>
    </r>
    <r>
      <rPr>
        <sz val="8"/>
        <color theme="1"/>
        <rFont val="Georgia"/>
        <family val="1"/>
      </rPr>
      <t>, (2022).</t>
    </r>
  </si>
  <si>
    <r>
      <t xml:space="preserve">Demontis, D. </t>
    </r>
    <r>
      <rPr>
        <i/>
        <sz val="8"/>
        <color theme="1"/>
        <rFont val="Georgia"/>
        <family val="1"/>
      </rPr>
      <t>et al.</t>
    </r>
    <r>
      <rPr>
        <sz val="8"/>
        <color theme="1"/>
        <rFont val="Georgia"/>
        <family val="1"/>
      </rPr>
      <t xml:space="preserve"> Genome-wide analyses of ADHD identify 27 risk loci, refine the genetic architecture and implicate several cognitive domains. </t>
    </r>
    <r>
      <rPr>
        <i/>
        <sz val="8"/>
        <color theme="1"/>
        <rFont val="Georgia"/>
        <family val="1"/>
      </rPr>
      <t>Nat. Genet.</t>
    </r>
    <r>
      <rPr>
        <sz val="8"/>
        <color theme="1"/>
        <rFont val="Georgia"/>
        <family val="1"/>
      </rPr>
      <t xml:space="preserve"> </t>
    </r>
    <r>
      <rPr>
        <b/>
        <sz val="8"/>
        <color theme="1"/>
        <rFont val="Georgia"/>
        <family val="1"/>
      </rPr>
      <t>55</t>
    </r>
    <r>
      <rPr>
        <sz val="8"/>
        <color theme="1"/>
        <rFont val="Georgia"/>
        <family val="1"/>
      </rPr>
      <t>, 198–208 (2023).</t>
    </r>
  </si>
  <si>
    <r>
      <t xml:space="preserve">Grove, J. </t>
    </r>
    <r>
      <rPr>
        <i/>
        <sz val="8"/>
        <color theme="1"/>
        <rFont val="Georgia"/>
        <family val="1"/>
      </rPr>
      <t>et al.</t>
    </r>
    <r>
      <rPr>
        <sz val="8"/>
        <color theme="1"/>
        <rFont val="Georgia"/>
        <family val="1"/>
      </rPr>
      <t xml:space="preserve"> Identification of common genetic risk variants for autism spectrum disorder. </t>
    </r>
    <r>
      <rPr>
        <i/>
        <sz val="8"/>
        <color theme="1"/>
        <rFont val="Georgia"/>
        <family val="1"/>
      </rPr>
      <t>Nat. Genet.</t>
    </r>
    <r>
      <rPr>
        <sz val="8"/>
        <color theme="1"/>
        <rFont val="Georgia"/>
        <family val="1"/>
      </rPr>
      <t xml:space="preserve"> (2019) doi:10.1038/s41588-019-0344-8.</t>
    </r>
  </si>
  <si>
    <r>
      <t xml:space="preserve">Mullins, N. </t>
    </r>
    <r>
      <rPr>
        <i/>
        <sz val="8"/>
        <color theme="1"/>
        <rFont val="Georgia"/>
        <family val="1"/>
      </rPr>
      <t>et al.</t>
    </r>
    <r>
      <rPr>
        <sz val="8"/>
        <color theme="1"/>
        <rFont val="Georgia"/>
        <family val="1"/>
      </rPr>
      <t xml:space="preserve"> Genome-wide association study of more than 40,000 bipolar disorder cases provides new insights into the underlying biology. </t>
    </r>
    <r>
      <rPr>
        <i/>
        <sz val="8"/>
        <color theme="1"/>
        <rFont val="Georgia"/>
        <family val="1"/>
      </rPr>
      <t>Nat. Genet. 2021 536</t>
    </r>
    <r>
      <rPr>
        <sz val="8"/>
        <color theme="1"/>
        <rFont val="Georgia"/>
        <family val="1"/>
      </rPr>
      <t xml:space="preserve"> </t>
    </r>
    <r>
      <rPr>
        <b/>
        <sz val="8"/>
        <color theme="1"/>
        <rFont val="Georgia"/>
        <family val="1"/>
      </rPr>
      <t>53</t>
    </r>
    <r>
      <rPr>
        <sz val="8"/>
        <color theme="1"/>
        <rFont val="Georgia"/>
        <family val="1"/>
      </rPr>
      <t>, 817–829 (2021).</t>
    </r>
  </si>
  <si>
    <r>
      <t xml:space="preserve">Stahl, E. A. </t>
    </r>
    <r>
      <rPr>
        <i/>
        <sz val="8"/>
        <color theme="1"/>
        <rFont val="Georgia"/>
        <family val="1"/>
      </rPr>
      <t>et al.</t>
    </r>
    <r>
      <rPr>
        <sz val="8"/>
        <color theme="1"/>
        <rFont val="Georgia"/>
        <family val="1"/>
      </rPr>
      <t xml:space="preserve"> Genome-wide association study meta-analysis identifies seven new rheumatoid arthritis risk loci. </t>
    </r>
    <r>
      <rPr>
        <i/>
        <sz val="8"/>
        <color theme="1"/>
        <rFont val="Georgia"/>
        <family val="1"/>
      </rPr>
      <t>Nat. Genet.</t>
    </r>
    <r>
      <rPr>
        <sz val="8"/>
        <color theme="1"/>
        <rFont val="Georgia"/>
        <family val="1"/>
      </rPr>
      <t xml:space="preserve"> </t>
    </r>
    <r>
      <rPr>
        <b/>
        <sz val="8"/>
        <color theme="1"/>
        <rFont val="Georgia"/>
        <family val="1"/>
      </rPr>
      <t>42</t>
    </r>
    <r>
      <rPr>
        <sz val="8"/>
        <color theme="1"/>
        <rFont val="Georgia"/>
        <family val="1"/>
      </rPr>
      <t>, 508–514 (2010).</t>
    </r>
  </si>
  <si>
    <r>
      <t xml:space="preserve">Graham, S. E. </t>
    </r>
    <r>
      <rPr>
        <i/>
        <sz val="8"/>
        <color theme="1"/>
        <rFont val="Georgia"/>
        <family val="1"/>
      </rPr>
      <t>et al.</t>
    </r>
    <r>
      <rPr>
        <sz val="8"/>
        <color theme="1"/>
        <rFont val="Georgia"/>
        <family val="1"/>
      </rPr>
      <t xml:space="preserve"> The power of genetic diversity in genome-wide association studies of lipids. </t>
    </r>
    <r>
      <rPr>
        <i/>
        <sz val="8"/>
        <color theme="1"/>
        <rFont val="Georgia"/>
        <family val="1"/>
      </rPr>
      <t>Nature</t>
    </r>
    <r>
      <rPr>
        <sz val="8"/>
        <color theme="1"/>
        <rFont val="Georgia"/>
        <family val="1"/>
      </rPr>
      <t xml:space="preserve"> </t>
    </r>
    <r>
      <rPr>
        <b/>
        <sz val="8"/>
        <color theme="1"/>
        <rFont val="Georgia"/>
        <family val="1"/>
      </rPr>
      <t>600</t>
    </r>
    <r>
      <rPr>
        <sz val="8"/>
        <color theme="1"/>
        <rFont val="Georgia"/>
        <family val="1"/>
      </rPr>
      <t>, 675–679 (2021).</t>
    </r>
  </si>
  <si>
    <r>
      <t xml:space="preserve">Sinnott-Armstrong, N. </t>
    </r>
    <r>
      <rPr>
        <i/>
        <sz val="8"/>
        <color theme="1"/>
        <rFont val="Georgia"/>
        <family val="1"/>
      </rPr>
      <t>et al.</t>
    </r>
    <r>
      <rPr>
        <sz val="8"/>
        <color theme="1"/>
        <rFont val="Georgia"/>
        <family val="1"/>
      </rPr>
      <t xml:space="preserve"> Genetics of 35 blood and urine biomarkers in the UK Biobank. </t>
    </r>
    <r>
      <rPr>
        <i/>
        <sz val="8"/>
        <color theme="1"/>
        <rFont val="Georgia"/>
        <family val="1"/>
      </rPr>
      <t>Nat. Genet. 2021 532</t>
    </r>
    <r>
      <rPr>
        <sz val="8"/>
        <color theme="1"/>
        <rFont val="Georgia"/>
        <family val="1"/>
      </rPr>
      <t xml:space="preserve"> </t>
    </r>
    <r>
      <rPr>
        <b/>
        <sz val="8"/>
        <color theme="1"/>
        <rFont val="Georgia"/>
        <family val="1"/>
      </rPr>
      <t>53</t>
    </r>
    <r>
      <rPr>
        <sz val="8"/>
        <color theme="1"/>
        <rFont val="Georgia"/>
        <family val="1"/>
      </rPr>
      <t>, 185–194 (2021).</t>
    </r>
  </si>
  <si>
    <r>
      <t xml:space="preserve">Evangelou, E. </t>
    </r>
    <r>
      <rPr>
        <i/>
        <sz val="8"/>
        <color theme="1"/>
        <rFont val="Georgia"/>
        <family val="1"/>
      </rPr>
      <t>et al.</t>
    </r>
    <r>
      <rPr>
        <sz val="8"/>
        <color theme="1"/>
        <rFont val="Georgia"/>
        <family val="1"/>
      </rPr>
      <t xml:space="preserve"> Genetic analysis of over 1 million people identifies 535 new loci associated with blood pressure traits. </t>
    </r>
    <r>
      <rPr>
        <i/>
        <sz val="8"/>
        <color theme="1"/>
        <rFont val="Georgia"/>
        <family val="1"/>
      </rPr>
      <t>Nat. Genet. 2018 5010</t>
    </r>
    <r>
      <rPr>
        <sz val="8"/>
        <color theme="1"/>
        <rFont val="Georgia"/>
        <family val="1"/>
      </rPr>
      <t xml:space="preserve"> </t>
    </r>
    <r>
      <rPr>
        <b/>
        <sz val="8"/>
        <color theme="1"/>
        <rFont val="Georgia"/>
        <family val="1"/>
      </rPr>
      <t>50</t>
    </r>
    <r>
      <rPr>
        <sz val="8"/>
        <color theme="1"/>
        <rFont val="Georgia"/>
        <family val="1"/>
      </rPr>
      <t>, 1412–1425 (2018).</t>
    </r>
  </si>
  <si>
    <r>
      <t xml:space="preserve">Zhang, H. </t>
    </r>
    <r>
      <rPr>
        <i/>
        <sz val="8"/>
        <color theme="1"/>
        <rFont val="Georgia"/>
        <family val="1"/>
      </rPr>
      <t>et al.</t>
    </r>
    <r>
      <rPr>
        <sz val="8"/>
        <color theme="1"/>
        <rFont val="Georgia"/>
        <family val="1"/>
      </rPr>
      <t xml:space="preserve"> Genome-wide association study identifies 32 novel breast cancer susceptibility loci from overall and subtype-specific analyses. </t>
    </r>
    <r>
      <rPr>
        <i/>
        <sz val="8"/>
        <color theme="1"/>
        <rFont val="Georgia"/>
        <family val="1"/>
      </rPr>
      <t>Nat. Genet. 2020 526</t>
    </r>
    <r>
      <rPr>
        <sz val="8"/>
        <color theme="1"/>
        <rFont val="Georgia"/>
        <family val="1"/>
      </rPr>
      <t xml:space="preserve"> </t>
    </r>
    <r>
      <rPr>
        <b/>
        <sz val="8"/>
        <color theme="1"/>
        <rFont val="Georgia"/>
        <family val="1"/>
      </rPr>
      <t>52</t>
    </r>
    <r>
      <rPr>
        <sz val="8"/>
        <color theme="1"/>
        <rFont val="Georgia"/>
        <family val="1"/>
      </rPr>
      <t>, 572–581 (2020).</t>
    </r>
  </si>
  <si>
    <r>
      <t xml:space="preserve">Mathieson, I. </t>
    </r>
    <r>
      <rPr>
        <i/>
        <sz val="8"/>
        <color theme="1"/>
        <rFont val="Georgia"/>
        <family val="1"/>
      </rPr>
      <t>et al.</t>
    </r>
    <r>
      <rPr>
        <sz val="8"/>
        <color theme="1"/>
        <rFont val="Georgia"/>
        <family val="1"/>
      </rPr>
      <t xml:space="preserve"> Genome-wide analysis identifies genetic effects on reproductive success and ongoing natural selection at the FADS locus. </t>
    </r>
    <r>
      <rPr>
        <i/>
        <sz val="8"/>
        <color theme="1"/>
        <rFont val="Georgia"/>
        <family val="1"/>
      </rPr>
      <t>Nat. Hum. Behav.</t>
    </r>
    <r>
      <rPr>
        <sz val="8"/>
        <color theme="1"/>
        <rFont val="Georgia"/>
        <family val="1"/>
      </rPr>
      <t xml:space="preserve"> </t>
    </r>
    <r>
      <rPr>
        <b/>
        <sz val="8"/>
        <color theme="1"/>
        <rFont val="Georgia"/>
        <family val="1"/>
      </rPr>
      <t>7</t>
    </r>
    <r>
      <rPr>
        <sz val="8"/>
        <color theme="1"/>
        <rFont val="Georgia"/>
        <family val="1"/>
      </rPr>
      <t>, 790–801 (2023).</t>
    </r>
  </si>
  <si>
    <r>
      <t xml:space="preserve">Aragam, K. G. </t>
    </r>
    <r>
      <rPr>
        <i/>
        <sz val="8"/>
        <color theme="1"/>
        <rFont val="Georgia"/>
        <family val="1"/>
      </rPr>
      <t>et al.</t>
    </r>
    <r>
      <rPr>
        <sz val="8"/>
        <color theme="1"/>
        <rFont val="Georgia"/>
        <family val="1"/>
      </rPr>
      <t xml:space="preserve"> Discovery and systematic characterization of risk variants and genes for coronary artery disease in over a million participants. </t>
    </r>
    <r>
      <rPr>
        <i/>
        <sz val="8"/>
        <color theme="1"/>
        <rFont val="Georgia"/>
        <family val="1"/>
      </rPr>
      <t>Nat. Genet.</t>
    </r>
    <r>
      <rPr>
        <sz val="8"/>
        <color theme="1"/>
        <rFont val="Georgia"/>
        <family val="1"/>
      </rPr>
      <t xml:space="preserve"> </t>
    </r>
    <r>
      <rPr>
        <b/>
        <sz val="8"/>
        <color theme="1"/>
        <rFont val="Georgia"/>
        <family val="1"/>
      </rPr>
      <t>54</t>
    </r>
    <r>
      <rPr>
        <sz val="8"/>
        <color theme="1"/>
        <rFont val="Georgia"/>
        <family val="1"/>
      </rPr>
      <t>, 1803–1815 (2022).</t>
    </r>
  </si>
  <si>
    <r>
      <t xml:space="preserve">Nelson, C. P. </t>
    </r>
    <r>
      <rPr>
        <i/>
        <sz val="8"/>
        <color theme="1"/>
        <rFont val="Georgia"/>
        <family val="1"/>
      </rPr>
      <t>et al.</t>
    </r>
    <r>
      <rPr>
        <sz val="8"/>
        <color theme="1"/>
        <rFont val="Georgia"/>
        <family val="1"/>
      </rPr>
      <t xml:space="preserve"> Association analyses based on false discovery rate implicate new loci for coronary artery disease. </t>
    </r>
    <r>
      <rPr>
        <i/>
        <sz val="8"/>
        <color theme="1"/>
        <rFont val="Georgia"/>
        <family val="1"/>
      </rPr>
      <t>Nat. Genet.</t>
    </r>
    <r>
      <rPr>
        <sz val="8"/>
        <color theme="1"/>
        <rFont val="Georgia"/>
        <family val="1"/>
      </rPr>
      <t xml:space="preserve"> (2017).</t>
    </r>
  </si>
  <si>
    <r>
      <t xml:space="preserve">Nikpay, M. </t>
    </r>
    <r>
      <rPr>
        <i/>
        <sz val="8"/>
        <color theme="1"/>
        <rFont val="Georgia"/>
        <family val="1"/>
      </rPr>
      <t>et al.</t>
    </r>
    <r>
      <rPr>
        <sz val="8"/>
        <color theme="1"/>
        <rFont val="Georgia"/>
        <family val="1"/>
      </rPr>
      <t xml:space="preserve"> A comprehensive 1000 Genomes-based genome-wide association meta-analysis of coronary artery disease. </t>
    </r>
    <r>
      <rPr>
        <i/>
        <sz val="8"/>
        <color theme="1"/>
        <rFont val="Georgia"/>
        <family val="1"/>
      </rPr>
      <t>Nat. Genet.</t>
    </r>
    <r>
      <rPr>
        <sz val="8"/>
        <color theme="1"/>
        <rFont val="Georgia"/>
        <family val="1"/>
      </rPr>
      <t xml:space="preserve"> </t>
    </r>
    <r>
      <rPr>
        <b/>
        <sz val="8"/>
        <color theme="1"/>
        <rFont val="Georgia"/>
        <family val="1"/>
      </rPr>
      <t>47</t>
    </r>
    <r>
      <rPr>
        <sz val="8"/>
        <color theme="1"/>
        <rFont val="Georgia"/>
        <family val="1"/>
      </rPr>
      <t>, 1121–1130 (2015).</t>
    </r>
  </si>
  <si>
    <r>
      <t xml:space="preserve">Okbay, A. </t>
    </r>
    <r>
      <rPr>
        <i/>
        <sz val="8"/>
        <color theme="1"/>
        <rFont val="Georgia"/>
        <family val="1"/>
      </rPr>
      <t>et al.</t>
    </r>
    <r>
      <rPr>
        <sz val="8"/>
        <color theme="1"/>
        <rFont val="Georgia"/>
        <family val="1"/>
      </rPr>
      <t xml:space="preserve"> Polygenic prediction of educational attainment within and between families from genome-wide association analyses in 3 million individuals. </t>
    </r>
    <r>
      <rPr>
        <i/>
        <sz val="8"/>
        <color theme="1"/>
        <rFont val="Georgia"/>
        <family val="1"/>
      </rPr>
      <t>Nat. Genet.</t>
    </r>
    <r>
      <rPr>
        <sz val="8"/>
        <color theme="1"/>
        <rFont val="Georgia"/>
        <family val="1"/>
      </rPr>
      <t xml:space="preserve"> </t>
    </r>
    <r>
      <rPr>
        <b/>
        <sz val="8"/>
        <color theme="1"/>
        <rFont val="Georgia"/>
        <family val="1"/>
      </rPr>
      <t>54</t>
    </r>
    <r>
      <rPr>
        <sz val="8"/>
        <color theme="1"/>
        <rFont val="Georgia"/>
        <family val="1"/>
      </rPr>
      <t>, 437–449 (2022).</t>
    </r>
  </si>
  <si>
    <r>
      <t xml:space="preserve">Yengo, L. </t>
    </r>
    <r>
      <rPr>
        <i/>
        <sz val="8"/>
        <color theme="1"/>
        <rFont val="Georgia"/>
        <family val="1"/>
      </rPr>
      <t>et al.</t>
    </r>
    <r>
      <rPr>
        <sz val="8"/>
        <color theme="1"/>
        <rFont val="Georgia"/>
        <family val="1"/>
      </rPr>
      <t xml:space="preserve"> A saturated map of common genetic variants associated with human height. </t>
    </r>
    <r>
      <rPr>
        <i/>
        <sz val="8"/>
        <color theme="1"/>
        <rFont val="Georgia"/>
        <family val="1"/>
      </rPr>
      <t>Nat. 2022 6107933</t>
    </r>
    <r>
      <rPr>
        <sz val="8"/>
        <color theme="1"/>
        <rFont val="Georgia"/>
        <family val="1"/>
      </rPr>
      <t xml:space="preserve"> </t>
    </r>
    <r>
      <rPr>
        <b/>
        <sz val="8"/>
        <color theme="1"/>
        <rFont val="Georgia"/>
        <family val="1"/>
      </rPr>
      <t>610</t>
    </r>
    <r>
      <rPr>
        <sz val="8"/>
        <color theme="1"/>
        <rFont val="Georgia"/>
        <family val="1"/>
      </rPr>
      <t>, 704–712 (2022).</t>
    </r>
  </si>
  <si>
    <r>
      <t xml:space="preserve">Liu, J. Z. </t>
    </r>
    <r>
      <rPr>
        <i/>
        <sz val="8"/>
        <color theme="1"/>
        <rFont val="Georgia"/>
        <family val="1"/>
      </rPr>
      <t>et al.</t>
    </r>
    <r>
      <rPr>
        <sz val="8"/>
        <color theme="1"/>
        <rFont val="Georgia"/>
        <family val="1"/>
      </rPr>
      <t xml:space="preserve"> Association analyses identify 38 susceptibility loci for inflammatory bowel disease and highlight shared genetic risk across populations. </t>
    </r>
    <r>
      <rPr>
        <i/>
        <sz val="8"/>
        <color theme="1"/>
        <rFont val="Georgia"/>
        <family val="1"/>
      </rPr>
      <t>Nat. Genet.</t>
    </r>
    <r>
      <rPr>
        <sz val="8"/>
        <color theme="1"/>
        <rFont val="Georgia"/>
        <family val="1"/>
      </rPr>
      <t xml:space="preserve"> </t>
    </r>
    <r>
      <rPr>
        <b/>
        <sz val="8"/>
        <color theme="1"/>
        <rFont val="Georgia"/>
        <family val="1"/>
      </rPr>
      <t>47</t>
    </r>
    <r>
      <rPr>
        <sz val="8"/>
        <color theme="1"/>
        <rFont val="Georgia"/>
        <family val="1"/>
      </rPr>
      <t>, 979–986 (2015).</t>
    </r>
  </si>
  <si>
    <r>
      <t xml:space="preserve">Jansen, P. R. </t>
    </r>
    <r>
      <rPr>
        <i/>
        <sz val="8"/>
        <color theme="1"/>
        <rFont val="Georgia"/>
        <family val="1"/>
      </rPr>
      <t>et al.</t>
    </r>
    <r>
      <rPr>
        <sz val="8"/>
        <color theme="1"/>
        <rFont val="Georgia"/>
        <family val="1"/>
      </rPr>
      <t xml:space="preserve"> Genome-wide analysis of insomnia in 1,331,010 individuals identifies new risk loci and functional pathways. </t>
    </r>
    <r>
      <rPr>
        <i/>
        <sz val="8"/>
        <color theme="1"/>
        <rFont val="Georgia"/>
        <family val="1"/>
      </rPr>
      <t>Nat. Genet.</t>
    </r>
    <r>
      <rPr>
        <sz val="8"/>
        <color theme="1"/>
        <rFont val="Georgia"/>
        <family val="1"/>
      </rPr>
      <t xml:space="preserve"> </t>
    </r>
    <r>
      <rPr>
        <b/>
        <sz val="8"/>
        <color theme="1"/>
        <rFont val="Georgia"/>
        <family val="1"/>
      </rPr>
      <t>51</t>
    </r>
    <r>
      <rPr>
        <sz val="8"/>
        <color theme="1"/>
        <rFont val="Georgia"/>
        <family val="1"/>
      </rPr>
      <t>, 394–403 (2019).</t>
    </r>
  </si>
  <si>
    <r>
      <t xml:space="preserve">Gormley, P. </t>
    </r>
    <r>
      <rPr>
        <i/>
        <sz val="8"/>
        <color theme="1"/>
        <rFont val="Georgia"/>
        <family val="1"/>
      </rPr>
      <t>et al.</t>
    </r>
    <r>
      <rPr>
        <sz val="8"/>
        <color theme="1"/>
        <rFont val="Georgia"/>
        <family val="1"/>
      </rPr>
      <t xml:space="preserve"> Meta-analysis of 375,000 individuals identifies 38 susceptibility loci for migraine. </t>
    </r>
    <r>
      <rPr>
        <i/>
        <sz val="8"/>
        <color theme="1"/>
        <rFont val="Georgia"/>
        <family val="1"/>
      </rPr>
      <t>Nat. Genet.</t>
    </r>
    <r>
      <rPr>
        <sz val="8"/>
        <color theme="1"/>
        <rFont val="Georgia"/>
        <family val="1"/>
      </rPr>
      <t xml:space="preserve"> </t>
    </r>
    <r>
      <rPr>
        <b/>
        <sz val="8"/>
        <color theme="1"/>
        <rFont val="Georgia"/>
        <family val="1"/>
      </rPr>
      <t>48</t>
    </r>
    <r>
      <rPr>
        <sz val="8"/>
        <color theme="1"/>
        <rFont val="Georgia"/>
        <family val="1"/>
      </rPr>
      <t>, 856–866 (2016).</t>
    </r>
  </si>
  <si>
    <r>
      <t xml:space="preserve">Hautakangas, H. </t>
    </r>
    <r>
      <rPr>
        <i/>
        <sz val="8"/>
        <color theme="1"/>
        <rFont val="Georgia"/>
        <family val="1"/>
      </rPr>
      <t>et al.</t>
    </r>
    <r>
      <rPr>
        <sz val="8"/>
        <color theme="1"/>
        <rFont val="Georgia"/>
        <family val="1"/>
      </rPr>
      <t xml:space="preserve"> Genome-wide analysis of 102,084 migraine cases identifies 123 risk loci and subtype-specific risk alleles. </t>
    </r>
    <r>
      <rPr>
        <i/>
        <sz val="8"/>
        <color theme="1"/>
        <rFont val="Georgia"/>
        <family val="1"/>
      </rPr>
      <t>Nat. Genet. 2022 542</t>
    </r>
    <r>
      <rPr>
        <sz val="8"/>
        <color theme="1"/>
        <rFont val="Georgia"/>
        <family val="1"/>
      </rPr>
      <t xml:space="preserve"> </t>
    </r>
    <r>
      <rPr>
        <b/>
        <sz val="8"/>
        <color theme="1"/>
        <rFont val="Georgia"/>
        <family val="1"/>
      </rPr>
      <t>54</t>
    </r>
    <r>
      <rPr>
        <sz val="8"/>
        <color theme="1"/>
        <rFont val="Georgia"/>
        <family val="1"/>
      </rPr>
      <t>, 152–160 (2022).</t>
    </r>
  </si>
  <si>
    <r>
      <t xml:space="preserve">Hysi, P. G. </t>
    </r>
    <r>
      <rPr>
        <i/>
        <sz val="8"/>
        <color theme="1"/>
        <rFont val="Georgia"/>
        <family val="1"/>
      </rPr>
      <t>et al.</t>
    </r>
    <r>
      <rPr>
        <sz val="8"/>
        <color theme="1"/>
        <rFont val="Georgia"/>
        <family val="1"/>
      </rPr>
      <t xml:space="preserve"> Meta-analysis of 542,934 subjects of European ancestry identifies new genes and mechanisms predisposing to refractive error and myopia. </t>
    </r>
    <r>
      <rPr>
        <i/>
        <sz val="8"/>
        <color theme="1"/>
        <rFont val="Georgia"/>
        <family val="1"/>
      </rPr>
      <t>Nat. Genet.</t>
    </r>
    <r>
      <rPr>
        <sz val="8"/>
        <color theme="1"/>
        <rFont val="Georgia"/>
        <family val="1"/>
      </rPr>
      <t xml:space="preserve"> </t>
    </r>
    <r>
      <rPr>
        <b/>
        <sz val="8"/>
        <color theme="1"/>
        <rFont val="Georgia"/>
        <family val="1"/>
      </rPr>
      <t>52</t>
    </r>
    <r>
      <rPr>
        <sz val="8"/>
        <color theme="1"/>
        <rFont val="Georgia"/>
        <family val="1"/>
      </rPr>
      <t>, 401–407 (2020).</t>
    </r>
  </si>
  <si>
    <r>
      <t xml:space="preserve">Wang, Z. </t>
    </r>
    <r>
      <rPr>
        <i/>
        <sz val="8"/>
        <color theme="1"/>
        <rFont val="Georgia"/>
        <family val="1"/>
      </rPr>
      <t>et al.</t>
    </r>
    <r>
      <rPr>
        <sz val="8"/>
        <color theme="1"/>
        <rFont val="Georgia"/>
        <family val="1"/>
      </rPr>
      <t xml:space="preserve"> Genome-wide association analyses of physical activity and sedentary behavior provide insights into underlying mechanisms and roles in disease prevention. </t>
    </r>
    <r>
      <rPr>
        <i/>
        <sz val="8"/>
        <color theme="1"/>
        <rFont val="Georgia"/>
        <family val="1"/>
      </rPr>
      <t>Nat. Genet.</t>
    </r>
    <r>
      <rPr>
        <sz val="8"/>
        <color theme="1"/>
        <rFont val="Georgia"/>
        <family val="1"/>
      </rPr>
      <t xml:space="preserve"> </t>
    </r>
    <r>
      <rPr>
        <b/>
        <sz val="8"/>
        <color theme="1"/>
        <rFont val="Georgia"/>
        <family val="1"/>
      </rPr>
      <t>54</t>
    </r>
    <r>
      <rPr>
        <sz val="8"/>
        <color theme="1"/>
        <rFont val="Georgia"/>
        <family val="1"/>
      </rPr>
      <t>, 1332–1344 (2022).</t>
    </r>
  </si>
  <si>
    <r>
      <t xml:space="preserve">Schumacher, F. R. </t>
    </r>
    <r>
      <rPr>
        <i/>
        <sz val="8"/>
        <color theme="1"/>
        <rFont val="Georgia"/>
        <family val="1"/>
      </rPr>
      <t>et al.</t>
    </r>
    <r>
      <rPr>
        <sz val="8"/>
        <color theme="1"/>
        <rFont val="Georgia"/>
        <family val="1"/>
      </rPr>
      <t xml:space="preserve"> Association analyses of more than 140,000 men identify 63 new prostate cancer susceptibility loci. </t>
    </r>
    <r>
      <rPr>
        <i/>
        <sz val="8"/>
        <color theme="1"/>
        <rFont val="Georgia"/>
        <family val="1"/>
      </rPr>
      <t>Nat. Genet.</t>
    </r>
    <r>
      <rPr>
        <sz val="8"/>
        <color theme="1"/>
        <rFont val="Georgia"/>
        <family val="1"/>
      </rPr>
      <t xml:space="preserve"> </t>
    </r>
    <r>
      <rPr>
        <b/>
        <sz val="8"/>
        <color theme="1"/>
        <rFont val="Georgia"/>
        <family val="1"/>
      </rPr>
      <t>50</t>
    </r>
    <r>
      <rPr>
        <sz val="8"/>
        <color theme="1"/>
        <rFont val="Georgia"/>
        <family val="1"/>
      </rPr>
      <t>, 928–936 (2018).</t>
    </r>
  </si>
  <si>
    <r>
      <t xml:space="preserve">Trubetskoy, V. </t>
    </r>
    <r>
      <rPr>
        <i/>
        <sz val="8"/>
        <color theme="1"/>
        <rFont val="Georgia"/>
        <family val="1"/>
      </rPr>
      <t>et al.</t>
    </r>
    <r>
      <rPr>
        <sz val="8"/>
        <color theme="1"/>
        <rFont val="Georgia"/>
        <family val="1"/>
      </rPr>
      <t xml:space="preserve"> Mapping genomic loci implicates genes and synaptic biology in schizophrenia. </t>
    </r>
    <r>
      <rPr>
        <i/>
        <sz val="8"/>
        <color theme="1"/>
        <rFont val="Georgia"/>
        <family val="1"/>
      </rPr>
      <t>Nat. 2022 6047906</t>
    </r>
    <r>
      <rPr>
        <sz val="8"/>
        <color theme="1"/>
        <rFont val="Georgia"/>
        <family val="1"/>
      </rPr>
      <t xml:space="preserve"> </t>
    </r>
    <r>
      <rPr>
        <b/>
        <sz val="8"/>
        <color theme="1"/>
        <rFont val="Georgia"/>
        <family val="1"/>
      </rPr>
      <t>604</t>
    </r>
    <r>
      <rPr>
        <sz val="8"/>
        <color theme="1"/>
        <rFont val="Georgia"/>
        <family val="1"/>
      </rPr>
      <t>, 502–508 (2022).</t>
    </r>
  </si>
  <si>
    <r>
      <t xml:space="preserve">Okbay, A. </t>
    </r>
    <r>
      <rPr>
        <i/>
        <sz val="8"/>
        <color theme="1"/>
        <rFont val="Georgia"/>
        <family val="1"/>
      </rPr>
      <t>et al.</t>
    </r>
    <r>
      <rPr>
        <sz val="8"/>
        <color theme="1"/>
        <rFont val="Georgia"/>
        <family val="1"/>
      </rPr>
      <t xml:space="preserve"> Genetic variants associated with subjective well-being, depressive symptoms, and neuroticism identified through genome-wide analyses. </t>
    </r>
    <r>
      <rPr>
        <i/>
        <sz val="8"/>
        <color theme="1"/>
        <rFont val="Georgia"/>
        <family val="1"/>
      </rPr>
      <t>Nat. Genet.</t>
    </r>
    <r>
      <rPr>
        <sz val="8"/>
        <color theme="1"/>
        <rFont val="Georgia"/>
        <family val="1"/>
      </rPr>
      <t xml:space="preserve"> </t>
    </r>
    <r>
      <rPr>
        <b/>
        <sz val="8"/>
        <color theme="1"/>
        <rFont val="Georgia"/>
        <family val="1"/>
      </rPr>
      <t>48</t>
    </r>
    <r>
      <rPr>
        <sz val="8"/>
        <color theme="1"/>
        <rFont val="Georgia"/>
        <family val="1"/>
      </rPr>
      <t>, 624–633 (2016).</t>
    </r>
  </si>
  <si>
    <r>
      <t xml:space="preserve">Mahajan, A. </t>
    </r>
    <r>
      <rPr>
        <i/>
        <sz val="8"/>
        <color theme="1"/>
        <rFont val="Georgia"/>
        <family val="1"/>
      </rPr>
      <t>et al.</t>
    </r>
    <r>
      <rPr>
        <sz val="8"/>
        <color theme="1"/>
        <rFont val="Georgia"/>
        <family val="1"/>
      </rPr>
      <t xml:space="preserve"> Multi-ancestry genetic study of type 2 diabetes highlights the power of diverse populations for discovery and translation. </t>
    </r>
    <r>
      <rPr>
        <i/>
        <sz val="8"/>
        <color theme="1"/>
        <rFont val="Georgia"/>
        <family val="1"/>
      </rPr>
      <t>Nat. Genet. 2022 545</t>
    </r>
    <r>
      <rPr>
        <sz val="8"/>
        <color theme="1"/>
        <rFont val="Georgia"/>
        <family val="1"/>
      </rPr>
      <t xml:space="preserve"> </t>
    </r>
    <r>
      <rPr>
        <b/>
        <sz val="8"/>
        <color theme="1"/>
        <rFont val="Georgia"/>
        <family val="1"/>
      </rPr>
      <t>54</t>
    </r>
    <r>
      <rPr>
        <sz val="8"/>
        <color theme="1"/>
        <rFont val="Georgia"/>
        <family val="1"/>
      </rPr>
      <t>, 560–572 (2022).</t>
    </r>
  </si>
  <si>
    <r>
      <t xml:space="preserve">Scott, R. A. </t>
    </r>
    <r>
      <rPr>
        <i/>
        <sz val="8"/>
        <color theme="1"/>
        <rFont val="Georgia"/>
        <family val="1"/>
      </rPr>
      <t>et al.</t>
    </r>
    <r>
      <rPr>
        <sz val="8"/>
        <color theme="1"/>
        <rFont val="Georgia"/>
        <family val="1"/>
      </rPr>
      <t xml:space="preserve"> An Expanded Genome-Wide Association Study of Type 2 Diabetes in Europeans. </t>
    </r>
    <r>
      <rPr>
        <i/>
        <sz val="8"/>
        <color theme="1"/>
        <rFont val="Georgia"/>
        <family val="1"/>
      </rPr>
      <t>Diabetes</t>
    </r>
    <r>
      <rPr>
        <sz val="8"/>
        <color theme="1"/>
        <rFont val="Georgia"/>
        <family val="1"/>
      </rPr>
      <t xml:space="preserve"> </t>
    </r>
    <r>
      <rPr>
        <b/>
        <sz val="8"/>
        <color theme="1"/>
        <rFont val="Georgia"/>
        <family val="1"/>
      </rPr>
      <t>66</t>
    </r>
    <r>
      <rPr>
        <sz val="8"/>
        <color theme="1"/>
        <rFont val="Georgia"/>
        <family val="1"/>
      </rPr>
      <t>, 2888–2902 (2017).</t>
    </r>
  </si>
  <si>
    <t>"In which organ or part of your body did this cancer occur?" Prostate Cancer Code (41)</t>
  </si>
  <si>
    <t>UK Biobank - 3rd partition (UKB3)</t>
  </si>
  <si>
    <t>v1  ΔR2 (95% CI)</t>
  </si>
  <si>
    <t>3.31% 
(2.71% to 3.92%)</t>
  </si>
  <si>
    <t>36.53% 
(35.22% to 37.86%)</t>
  </si>
  <si>
    <t xml:space="preserve"> </t>
  </si>
  <si>
    <t>14.11% 
(12.93% to 15.25%)</t>
  </si>
  <si>
    <t>1.44% 
(0.99% to 1.96%)</t>
  </si>
  <si>
    <t>1.76% 
(1.31% to 2.23%)</t>
  </si>
  <si>
    <t>1.49% 
(1.06% to 1.95%)</t>
  </si>
  <si>
    <t>0.97% 
(0.66% to 1.30%)</t>
  </si>
  <si>
    <t>0.99% 
(0.04% to 3.31%)</t>
  </si>
  <si>
    <t>4.44% 
(3.76% to 5.20%)</t>
  </si>
  <si>
    <t>7.31% 
(6.48% to 8.20%)</t>
  </si>
  <si>
    <t>2.08% 
(1.61% to 2.60%)</t>
  </si>
  <si>
    <t>1.57% 
(1.19% to 2.03%)</t>
  </si>
  <si>
    <t>0.85% 
(0.54% to 1.22%)</t>
  </si>
  <si>
    <t>0.46% 
(0.16% to 0.92%)</t>
  </si>
  <si>
    <t>0.82% 
(0.54% to 1.18%)</t>
  </si>
  <si>
    <t>1.48% 
(1.07% to 1.94%)</t>
  </si>
  <si>
    <t>1.36% 
(0.99% to 1.77%)</t>
  </si>
  <si>
    <t>0.26% 
(0.09% to 0.50%)</t>
  </si>
  <si>
    <t>2.67% 
(2.13% to 3.24%)</t>
  </si>
  <si>
    <t>1.07% 
(0.06% to 3.08%)</t>
  </si>
  <si>
    <t>0.10% 
(0.00% to 1.58%)</t>
  </si>
  <si>
    <t>1.65% 
(1.22% to 2.15%)</t>
  </si>
  <si>
    <t>1.51% 
(1.15% to 1.96%)</t>
  </si>
  <si>
    <t>0.34% 
(0.00% to 2.29%)</t>
  </si>
  <si>
    <t>0.11% 
(0.02% to 0.30%)</t>
  </si>
  <si>
    <t>0.51% 
(0.02% to 1.66%)</t>
  </si>
  <si>
    <t>0.92% 
(0.53% to 1.42%)</t>
  </si>
  <si>
    <t>1.54% 
(1.19% to 1.98%)</t>
  </si>
  <si>
    <t>36.10% 
(34.34% to 38.10%)</t>
  </si>
  <si>
    <t>8.66% 
(7.52% to 9.81%)</t>
  </si>
  <si>
    <t>1.82% 
(1.30% to 2.49%)</t>
  </si>
  <si>
    <t>1.26% 
(0.67% to 2.04%)</t>
  </si>
  <si>
    <t>0.97% 
(0.55% to 1.50%)</t>
  </si>
  <si>
    <t>1.59% 
(1.13% to 2.18%)</t>
  </si>
  <si>
    <t>0.53% 
(0.07% to 1.34%)</t>
  </si>
  <si>
    <t>0.63% 
(0.31% to 1.07%)</t>
  </si>
  <si>
    <t>0.68% 
(0.32% to 1.20%)</t>
  </si>
  <si>
    <t>2.10% 
(1.55% to 2.75%)</t>
  </si>
  <si>
    <t>ΔR2 (95% CI)</t>
  </si>
  <si>
    <t>12.70%
(11.63% to 13.78%)</t>
  </si>
  <si>
    <t>26.34%
(24.87% to 27.73%)</t>
  </si>
  <si>
    <t>10.13%
(9.11% to 11.20)</t>
  </si>
  <si>
    <t>0.40%
(0.16% to 0.78%)</t>
  </si>
  <si>
    <t>0.09%
(0.00% to 0.32%)</t>
  </si>
  <si>
    <t>1.05%
(0.64% to 1.53%)</t>
  </si>
  <si>
    <t>0.24%
(0.00 to 1.66%)</t>
  </si>
  <si>
    <t>0.93%
(0.48% to 1.46%)</t>
  </si>
  <si>
    <t>1.57%
(1.15% to 2.08%)</t>
  </si>
  <si>
    <t>1.33%
(0.95% to 1.82%)</t>
  </si>
  <si>
    <t>4.91%
(4.11% to 5.72%)</t>
  </si>
  <si>
    <t>1.47%
(1.05% to 1.92%)</t>
  </si>
  <si>
    <t>3.03%
(2.36% to 3.73%)</t>
  </si>
  <si>
    <t>1.41%
(1.02% to 1.89%)</t>
  </si>
  <si>
    <t>1.58%
(1.15% to 2.08%)</t>
  </si>
  <si>
    <t>0.89%
(0.57% to 1.32%)</t>
  </si>
  <si>
    <t>0.54%
(0.23% to 1.01%)</t>
  </si>
  <si>
    <t>2.77%
(2.21% to 3.44%)</t>
  </si>
  <si>
    <t>0.84%
(0.54% to 1.22%)</t>
  </si>
  <si>
    <t>1.38%
(0.99% to 1.83%)</t>
  </si>
  <si>
    <t>0.13%
(0.02% to 0.34%)</t>
  </si>
  <si>
    <t>2.49%
(1.91% to 3.13%)</t>
  </si>
  <si>
    <t xml:space="preserve">N/A </t>
  </si>
  <si>
    <t>13.55%
(12.29% to 14.90%)</t>
  </si>
  <si>
    <t>27.13%
(25.41% to 28.74%)</t>
  </si>
  <si>
    <t>7.71%
(6.67% to 8.85%)</t>
  </si>
  <si>
    <t>6.17%
(5.27% to 7.13%)</t>
  </si>
  <si>
    <t>1.92%
(1.37% to 2.51%)</t>
  </si>
  <si>
    <t>8.47%
(6.85% to 10.14%)</t>
  </si>
  <si>
    <t>0.53%
(0.17% to 1.09%)</t>
  </si>
  <si>
    <t>0.26%
(0.08% to 0.53%)</t>
  </si>
  <si>
    <t>1.17%
(0.75% to 1.68%)</t>
  </si>
  <si>
    <t>2.06%
(0.98% to 3.73%)</t>
  </si>
  <si>
    <t>2.12%
(1.19% to 3.16%)</t>
  </si>
  <si>
    <t>1.53%
(1.06% to 2.05%)</t>
  </si>
  <si>
    <t>1.91%
(1.35% to 2.53%)</t>
  </si>
  <si>
    <t>4.25%
(3.44% to 5.09%)</t>
  </si>
  <si>
    <t>1.11%
(0.53% to 1.95%)</t>
  </si>
  <si>
    <t>0.76%
(0.43% to 1.15%)</t>
  </si>
  <si>
    <t>3.32%
(2.65% to 4.08%)</t>
  </si>
  <si>
    <t>1.90%
(1.40% to 2.51%)</t>
  </si>
  <si>
    <t>0.34%
(0.13% to 0.63%)</t>
  </si>
  <si>
    <t>2.83%
(2.17% to 3.53%)</t>
  </si>
  <si>
    <t>1.15%
(0.78% to 1.70%)</t>
  </si>
  <si>
    <t>0.75%
(0.43% to 1.13%)</t>
  </si>
  <si>
    <t>0.03%
(0.00% to 0.17%)</t>
  </si>
  <si>
    <t>1.49%
(0.97% to 2.07%)</t>
  </si>
  <si>
    <t>New in v2?</t>
  </si>
  <si>
    <t>Updated in v2?</t>
  </si>
  <si>
    <t>43.21% 
(42.74% to 43.59%)</t>
  </si>
  <si>
    <t>23.31%
 (22.87% to 23.72%)</t>
  </si>
  <si>
    <t>21.67%
 (21.27% to 22.08%)</t>
  </si>
  <si>
    <t>21.81% 
(21.37% to 22.22%)</t>
  </si>
  <si>
    <t>21.75% 
(21.34% to 22.11%)</t>
  </si>
  <si>
    <t>16.53% 
(16.15% to 16.88%)</t>
  </si>
  <si>
    <t>11.61% 
(11.30% to 11.88%)</t>
  </si>
  <si>
    <t>11.15% 
(10.87% to 11.45%)</t>
  </si>
  <si>
    <t>11.89%
 (11.57% to 12.18%)</t>
  </si>
  <si>
    <t>1.82%
 (1.67% to 1.99%)</t>
  </si>
  <si>
    <t>8.10% 
(7.72% to 8.48%)</t>
  </si>
  <si>
    <t>13.39% 
(13.08% to 13.69%)</t>
  </si>
  <si>
    <t>3.46% 
(3.17% to 3.74%)</t>
  </si>
  <si>
    <t>12.39%
 (11.96% to 12.83%)</t>
  </si>
  <si>
    <t>3.87% 
(3.65% to 4.08%)</t>
  </si>
  <si>
    <t>0.70%
 (0.58% to 0.82%)</t>
  </si>
  <si>
    <t>0.29% 
(0.23% to 0.35%)</t>
  </si>
  <si>
    <t>2.64% 
(2.48% to 2.82%)</t>
  </si>
  <si>
    <t>4.17% 
(3.97% to 4.37%)</t>
  </si>
  <si>
    <t>2.08% 
(1.87% to 2.29%)</t>
  </si>
  <si>
    <t>0.83%
 (0.74% to 0.92%)</t>
  </si>
  <si>
    <t>2.15% 
(2.00% to 2.30%)</t>
  </si>
  <si>
    <t>2.35% 
(2.19% to 2.52%)</t>
  </si>
  <si>
    <t>0.21% 
(0.16% to 0.26%)</t>
  </si>
  <si>
    <t>1.45% 
(1.32% to 1.57%)</t>
  </si>
  <si>
    <t>1.82%
 (1.62% to 2.05%)</t>
  </si>
  <si>
    <t>4.66% 
(4.45% to 4.87%)</t>
  </si>
  <si>
    <t>3.48%
 (3.29% to 3.65%)</t>
  </si>
  <si>
    <t>0.67%
 (0.54% to 0.80%)</t>
  </si>
  <si>
    <t>0.65%
 (0.52% to 0.79%)</t>
  </si>
  <si>
    <t>5.00% 
(4.77% to 5.21%)</t>
  </si>
  <si>
    <t>3.92%
 (3.70% to 4.15%)</t>
  </si>
  <si>
    <t>0.98% 
(0.89% to 1.08%)</t>
  </si>
  <si>
    <t>1.62%
 (1.50% to 1.75%)</t>
  </si>
  <si>
    <t>1.43%
 (1.17% to 1.69%)</t>
  </si>
  <si>
    <t>0.07%
 (0.01% to 0.18%)</t>
  </si>
  <si>
    <t>0.02% 
(0.00% to 0.07%)</t>
  </si>
  <si>
    <t>0.01% 
(0.00% to 0.07%)</t>
  </si>
  <si>
    <t>1.52%
 (1.19% to 1.84%)</t>
  </si>
  <si>
    <t>1.99%
 (1.84% to 2.13%)</t>
  </si>
  <si>
    <t>1.36% 
(1.25% to 1.48%)</t>
  </si>
  <si>
    <t>1.51%
 (1.15% to 1.87%)</t>
  </si>
  <si>
    <t>1.13% 
(0.93% to 1.34%)</t>
  </si>
  <si>
    <t>0.67% 
(0.53% to 0.83%)</t>
  </si>
  <si>
    <t>1.30% 
(1.10% to 1.52%)</t>
  </si>
  <si>
    <t>2.28% 
(2.13% to 2.43%)</t>
  </si>
  <si>
    <t>1.34% 
(1.17% to 1.50%)</t>
  </si>
  <si>
    <t>13.05%
(12.74% to 13.37%)</t>
  </si>
  <si>
    <t>32.56%
(32.12% to 32.96%)</t>
  </si>
  <si>
    <t>7.86%
(7.50% to 8.22%)</t>
  </si>
  <si>
    <t>10.5%
(10.22% to 10.77%)</t>
  </si>
  <si>
    <t>1.15%
(0.99% to 1.32%)</t>
  </si>
  <si>
    <t>8.78%
(8.39% to 9.13%)</t>
  </si>
  <si>
    <t>0.89%
(0.76% to 1.03%)</t>
  </si>
  <si>
    <t>1.08%
(0.88% to 1.29%)</t>
  </si>
  <si>
    <t>1.61%
(1.48% to 1.73%)</t>
  </si>
  <si>
    <t>1.18%
(1.08% to 1.29%)</t>
  </si>
  <si>
    <t>1.27%
(1.07% to 1.48%)</t>
  </si>
  <si>
    <t>2.02%
(1.76% to 2.28%)</t>
  </si>
  <si>
    <t>1.93%
(1.79% to 2.06%)</t>
  </si>
  <si>
    <t>1.60%
(1.47% to 1.75%)</t>
  </si>
  <si>
    <t>4.25%
(4.05% to 4.43%)</t>
  </si>
  <si>
    <t>2.19%
(2.05% to 2.34%)</t>
  </si>
  <si>
    <t>0.59%
(0.51% to 0.68%)</t>
  </si>
  <si>
    <t>4.51%
(4.18% to 4.85%)</t>
  </si>
  <si>
    <t>3.83%
(3.63% to 4.02%)</t>
  </si>
  <si>
    <t>0.65%
(0.52% to 0.80%)</t>
  </si>
  <si>
    <t>0.67%
(0.53% to 0.81%)</t>
  </si>
  <si>
    <t>4.41%
(4.20% to 4.63%)</t>
  </si>
  <si>
    <t>2.55%
(2.39% to 2.72%)</t>
  </si>
  <si>
    <t>1%
(0.90% to 1.10%)</t>
  </si>
  <si>
    <t>1.53%
(1.41% to 1.65%)</t>
  </si>
  <si>
    <t>1.38%
(1.20% to 1.60%)</t>
  </si>
  <si>
    <t>Based on answer to the the following question " Has a medical professional ever said you have high blood pressure?"; Yes/ No</t>
  </si>
  <si>
    <t>23andMe, Kunkle</t>
  </si>
  <si>
    <t>23andMe, Wightman et al excl 23andMe, Bellenguez et al., Kunkle et al.</t>
  </si>
  <si>
    <t>23andMe, Bellenguez et al., Kunkle et al.</t>
  </si>
  <si>
    <t>12.51% 
(12.22% to 12.81%)</t>
  </si>
  <si>
    <t>7.46%
 (7.04% to 7.85%)</t>
  </si>
  <si>
    <t>5.44% 
(5.21% to 5.66%)</t>
  </si>
  <si>
    <t>2.90% 
(2.48% to 3.34%)</t>
  </si>
  <si>
    <t>Set to 1 if any of the following hold, 
- ever coded "degenerative myopia" or "myopia" (H442, H521) in ICD10 in-patient summary diagnoses (field 41270) or in the death register primary (field 40001) / secondary (field 40002) causes
- ever coded "myopia"  (3671) in ICD9 in-patient summary diagnoses (field 41271)
- ever self-reported to wears glasses or contact lenses because of myopia (field 6147 = 1)
- ever self-reported to have myopia diagnosis (field 20262 ==1 or 2)
- In the GP data, ever coded as one of the following: F4021 , F471. , X00cl , X00g3 , X00g4 , X00g5 , X00g6 , X75oH , X75oI , X75oJ , XaE5J , .F562 , F4025 , F4710
Set to 0 if none of the above hold and
- answered "no" to the question "Do you wear glasses or contact lenses to correct your vision?" (field 2207=0) or 
- wears glasses/contact lenses but not for myopia (field 6147 is non-missing and not equal to 1) or
- self-reported to have non-myopia diagnosis (field 20262=0)</t>
  </si>
  <si>
    <t>1.96% 
(1.37% to 2.66%)</t>
  </si>
  <si>
    <t>0.99% 
(0.27% to 2.10%)</t>
  </si>
  <si>
    <t>0.33% 
(0.12% to 0.66%)</t>
  </si>
  <si>
    <t>1.28% 
(0.58% to 2.26%)</t>
  </si>
  <si>
    <t>13.64% 
(12.52% to 14.69%)</t>
  </si>
  <si>
    <t xml:space="preserve">6.43% 
(5.20% to 7.74%)  </t>
  </si>
  <si>
    <t>1.29% 
(0.87% to 1.81%)</t>
  </si>
  <si>
    <t>13.31% 
(12.01% to 14.44%)</t>
  </si>
  <si>
    <t>6.22% 
(5.33% to 7.22%)</t>
  </si>
  <si>
    <t>7.27% 
(6.31% to 8.40%)</t>
  </si>
  <si>
    <t>1.04% 
(0.65% to 1.54%)</t>
  </si>
  <si>
    <t>7.74% 
(6.67% to 8.79%)</t>
  </si>
  <si>
    <t>11.60% 
(9.70% to 13.59%)</t>
  </si>
  <si>
    <t>0.78% 
(0.37% to 1.37%)</t>
  </si>
  <si>
    <t>0.04% 
(0.00% to 0.31%)</t>
  </si>
  <si>
    <t>2.30% 
(1.67% to 3.01%)</t>
  </si>
  <si>
    <t>2.58% 
(1.25% to 4.28%)</t>
  </si>
  <si>
    <t>0.79% 
(0.45% to 1.24%)</t>
  </si>
  <si>
    <t>0.90% 
(0.34% to 1.71%)</t>
  </si>
  <si>
    <t>4.79% 
(3.49% to 6.25%)</t>
  </si>
  <si>
    <t>3.78% 
(3.02% to 4.58%)</t>
  </si>
  <si>
    <t>5.87% 
(4.88% to 6.83%)</t>
  </si>
  <si>
    <t>2.01% 
(1.47% to 2.72%)</t>
  </si>
  <si>
    <t>0.38% 
(0.15% to 0.71%)</t>
  </si>
  <si>
    <t>3.31% 
(2.63% to 4.09%)</t>
  </si>
  <si>
    <t>0.99% 
(0.60% to 1.47%)</t>
  </si>
  <si>
    <t>0.84% 
(0.50% to 1.26%)</t>
  </si>
  <si>
    <t>0.03% 
(0.00% to 0.17%)</t>
  </si>
  <si>
    <t>1.34% 
(0.87% to 1.88%)</t>
  </si>
  <si>
    <t>3.09% 
(1.90% to 4.38%)</t>
  </si>
  <si>
    <t>4.78% 
(3.94% to 5.70%)</t>
  </si>
  <si>
    <t>0.92% 
(0.34% to 1.77%)</t>
  </si>
  <si>
    <t xml:space="preserve">10.34% 
(9.07% to 11.57%)  </t>
  </si>
  <si>
    <t>2.87% 
(1.66% to 4.34%)</t>
  </si>
  <si>
    <t>5.27% 
(4.57% to 6.09%)</t>
  </si>
  <si>
    <t>Kunkle</t>
  </si>
  <si>
    <t>UKB1, UKB2, UKB3, Locke et al.</t>
  </si>
  <si>
    <t>UKB2, UKB3, Locke et al.</t>
  </si>
  <si>
    <t xml:space="preserve"> UKB1, UKB3, Locke et al.</t>
  </si>
  <si>
    <t>UKB1, UKB2, Locke et al.</t>
  </si>
  <si>
    <t>Wightman et al excl 23andMe</t>
  </si>
  <si>
    <t>23andMe, UKB1, UKB2, UKB3, Tsuo et al. all-ancestry excl UKB</t>
  </si>
  <si>
    <t>23andMe, UKB1, UKB3, Tsuo et al. all-ancestry excl UKB</t>
  </si>
  <si>
    <t>23andMe, UKB1, UKB2, Tsuo et al. all-ancestry excl UKB</t>
  </si>
  <si>
    <t>23andMe, UKB2, UKB3, Tsuo et al. all-ancestry excl UKB</t>
  </si>
  <si>
    <t>UKB1, UKB2, UKB3, Tsuo et al. all-ancestry excl UKB</t>
  </si>
  <si>
    <t>UKB2, UKB3, Tsuo et al. all-ancestry excl UKB</t>
  </si>
  <si>
    <t>UKB1, UKB3, Tsuo et al. all-ancestry excl UKB</t>
  </si>
  <si>
    <t>UKB1, UKB2, Tsuo et al. all-ancestry excl UKB</t>
  </si>
  <si>
    <t>Nelson et al., Aragam et al. EUR-ancestry</t>
  </si>
  <si>
    <t>Aragam et al. EUR-ancestry</t>
  </si>
  <si>
    <t>Mahajan et al. 2022 EUR-ancestry</t>
  </si>
  <si>
    <t>23andMe, Wang et al. EUR-ancestry</t>
  </si>
  <si>
    <t>GSOEP</t>
  </si>
  <si>
    <t>MCS</t>
  </si>
  <si>
    <t>MIDUS</t>
  </si>
  <si>
    <t>Millennium Cohort Study</t>
  </si>
  <si>
    <t>Infinium Global Screening Array-24 v1.0</t>
  </si>
  <si>
    <t>1) Withdrawn consent
2) Excess heterozygosity (3 SD from the mean)
3) Sex mismatch (females with an F value &gt; 0.2 and males with an F value &lt; 0.8)</t>
  </si>
  <si>
    <r>
      <t>10</t>
    </r>
    <r>
      <rPr>
        <vertAlign val="superscript"/>
        <sz val="8"/>
        <color theme="1"/>
        <rFont val="Georgia"/>
        <family val="1"/>
      </rPr>
      <t>-6</t>
    </r>
  </si>
  <si>
    <t xml:space="preserve">Pre-imputation SNP level exclusions </t>
  </si>
  <si>
    <t>TOPMed Server/ Minimac4</t>
  </si>
  <si>
    <t>TOPmed</t>
  </si>
  <si>
    <t>Pre-imputation subject level exclusions</t>
  </si>
  <si>
    <t>1958 National Child Development Study</t>
  </si>
  <si>
    <t>Illumina 1.2M
Illumina Human 660-Quad
Infinium HumanHap 550K v1.1
Infinium HumanHap 550K v3
Affymetrix v6</t>
  </si>
  <si>
    <t>1) Withdrawn consent
2) Excess heterozygosity (3 SD from the mean)
3) Sex mismatch (females with an F value &gt; 0.2 and males with an F value &lt; 0.8)
4) Related to another individual in the sample (king-cutoff 0.0884))</t>
  </si>
  <si>
    <t>Infinium Global Screening Array-24 v3.0</t>
  </si>
  <si>
    <t>YATSS &amp; STAGE &amp; CATSS</t>
  </si>
  <si>
    <t>SALTY</t>
  </si>
  <si>
    <t>&gt; 0.0001 in each cohort, 
&gt; 0.001 in merged data</t>
  </si>
  <si>
    <r>
      <t>&gt;10</t>
    </r>
    <r>
      <rPr>
        <vertAlign val="superscript"/>
        <sz val="8"/>
        <color theme="1"/>
        <rFont val="Georgia"/>
        <family val="1"/>
      </rPr>
      <t xml:space="preserve">-10 </t>
    </r>
    <r>
      <rPr>
        <sz val="8"/>
        <color theme="1"/>
        <rFont val="Georgia"/>
        <family val="1"/>
      </rPr>
      <t>(YATSS &amp; CATSS)
&gt;10</t>
    </r>
    <r>
      <rPr>
        <vertAlign val="superscript"/>
        <sz val="8"/>
        <color theme="1"/>
        <rFont val="Georgia"/>
        <family val="1"/>
      </rPr>
      <t>-15</t>
    </r>
    <r>
      <rPr>
        <sz val="8"/>
        <color theme="1"/>
        <rFont val="Georgia"/>
        <family val="1"/>
      </rPr>
      <t xml:space="preserve"> (STAGE)
&gt; 10</t>
    </r>
    <r>
      <rPr>
        <vertAlign val="superscript"/>
        <sz val="8"/>
        <color theme="1"/>
        <rFont val="Georgia"/>
        <family val="1"/>
      </rPr>
      <t xml:space="preserve">-10 </t>
    </r>
    <r>
      <rPr>
        <sz val="8"/>
        <color theme="1"/>
        <rFont val="Georgia"/>
        <family val="1"/>
      </rPr>
      <t>in merged data</t>
    </r>
  </si>
  <si>
    <t>&gt;0.95 in each cohort and in merged data</t>
  </si>
  <si>
    <r>
      <t xml:space="preserve">1) Sex mismatch 
2) Autosomal hetero/homozygosity outliers (plink </t>
    </r>
    <r>
      <rPr>
        <i/>
        <sz val="8"/>
        <color theme="1"/>
        <rFont val="Georgia"/>
        <family val="1"/>
      </rPr>
      <t>F</t>
    </r>
    <r>
      <rPr>
        <sz val="8"/>
        <color theme="1"/>
        <rFont val="Georgia"/>
        <family val="1"/>
      </rPr>
      <t>&lt; -0.13 or</t>
    </r>
    <r>
      <rPr>
        <i/>
        <sz val="8"/>
        <color theme="1"/>
        <rFont val="Georgia"/>
        <family val="1"/>
      </rPr>
      <t xml:space="preserve"> F</t>
    </r>
    <r>
      <rPr>
        <sz val="8"/>
        <color theme="1"/>
        <rFont val="Georgia"/>
        <family val="1"/>
      </rPr>
      <t xml:space="preserve">&gt;0.13
</t>
    </r>
  </si>
  <si>
    <t>TOPMed Server/Minimac4</t>
  </si>
  <si>
    <t xml:space="preserve">1) SNPs with significant MAF difference across cohorts (P-value for pairwise equality of MAF&lt;0.001)
2) Allele mismatch with reference panel
3) ID mismatch with reference panel
4) Palindromic SNPs with MAF&gt;0.4
5) Duplicated SNPID or BP position
</t>
  </si>
  <si>
    <t>InfiniumPsychArray-24 v1.1</t>
  </si>
  <si>
    <t>r2</t>
  </si>
  <si>
    <t>Difference between systolic and diastolic blood pressure</t>
  </si>
  <si>
    <t>"Has a doctor ever told you that you have Alzheimer's disease?" (waves 10-14). Excluded if current wave conflicts with information given in a prior wave</t>
  </si>
  <si>
    <t>"Has any biological parent or sibling had Alzheimer's disease?"</t>
  </si>
  <si>
    <t>Number of children ever fathered/given birth to, excluded if younger than 45 for women, 55 for men</t>
  </si>
  <si>
    <t>Total number of children ever reported since 1975,, excluded if younger than 45 for women, 55 for men</t>
  </si>
  <si>
    <t>(i) "Have you ever smoked cigarettes?" Yes/No
(ii) "Do you smoke cigarettes now" Yes/No
In each wave, set to 1 if response to question (i) is Yes and response to question (ii) is No; Set to 0 if response to both questions is Yes</t>
  </si>
  <si>
    <t>Set to 1 if ever smoker is 1 in any wave, but reports to be a non-smoker in the latest non-missing observation.</t>
  </si>
  <si>
    <t>Midlife in the United States</t>
  </si>
  <si>
    <t>Avon Longitudinal Study of Parents and Children</t>
  </si>
  <si>
    <t>Generation Scotland</t>
  </si>
  <si>
    <t>German Socioeconomic Panel (Gene-SOEP)</t>
  </si>
  <si>
    <r>
      <t xml:space="preserve">N </t>
    </r>
    <r>
      <rPr>
        <b/>
        <sz val="8"/>
        <color theme="1"/>
        <rFont val="Georgia"/>
        <family val="1"/>
      </rPr>
      <t>PGI</t>
    </r>
  </si>
  <si>
    <t>TwinLife</t>
  </si>
  <si>
    <t>INFO</t>
  </si>
  <si>
    <t>Phased?</t>
  </si>
  <si>
    <t>No</t>
  </si>
  <si>
    <t>Yes</t>
  </si>
  <si>
    <t>Finnish Biobanks</t>
  </si>
  <si>
    <t>δ/ψ</t>
  </si>
  <si>
    <t>ψ</t>
  </si>
  <si>
    <t>δ</t>
  </si>
  <si>
    <t>CPD6</t>
  </si>
  <si>
    <t>FINSAT1</t>
  </si>
  <si>
    <t>FINSAT2</t>
  </si>
  <si>
    <t>FINSAT3</t>
  </si>
  <si>
    <t>FINSAT4</t>
  </si>
  <si>
    <r>
      <t xml:space="preserve">median </t>
    </r>
    <r>
      <rPr>
        <b/>
        <i/>
        <sz val="8"/>
        <color theme="1"/>
        <rFont val="Georgia"/>
        <family val="1"/>
      </rPr>
      <t>N</t>
    </r>
    <r>
      <rPr>
        <b/>
        <i/>
        <vertAlign val="subscript"/>
        <sz val="8"/>
        <color theme="1"/>
        <rFont val="Georgia"/>
        <family val="1"/>
      </rPr>
      <t>eff</t>
    </r>
  </si>
  <si>
    <r>
      <t xml:space="preserve">min </t>
    </r>
    <r>
      <rPr>
        <b/>
        <i/>
        <sz val="8"/>
        <color theme="1"/>
        <rFont val="Georgia"/>
        <family val="1"/>
      </rPr>
      <t>N</t>
    </r>
    <r>
      <rPr>
        <b/>
        <i/>
        <vertAlign val="subscript"/>
        <sz val="8"/>
        <color theme="1"/>
        <rFont val="Georgia"/>
        <family val="1"/>
      </rPr>
      <t>eff</t>
    </r>
  </si>
  <si>
    <r>
      <t xml:space="preserve">max </t>
    </r>
    <r>
      <rPr>
        <b/>
        <i/>
        <sz val="8"/>
        <color theme="1"/>
        <rFont val="Georgia"/>
        <family val="1"/>
      </rPr>
      <t>N</t>
    </r>
    <r>
      <rPr>
        <b/>
        <i/>
        <vertAlign val="subscript"/>
        <sz val="8"/>
        <color theme="1"/>
        <rFont val="Georgia"/>
        <family val="1"/>
      </rPr>
      <t>eff</t>
    </r>
  </si>
  <si>
    <r>
      <t xml:space="preserve">#SNPs with </t>
    </r>
    <r>
      <rPr>
        <b/>
        <i/>
        <sz val="8"/>
        <color theme="1"/>
        <rFont val="Georgia"/>
        <family val="1"/>
      </rPr>
      <t>N</t>
    </r>
    <r>
      <rPr>
        <b/>
        <sz val="8"/>
        <color theme="1"/>
        <rFont val="Georgia"/>
        <family val="1"/>
      </rPr>
      <t xml:space="preserve">&lt;0.8 median </t>
    </r>
    <r>
      <rPr>
        <b/>
        <i/>
        <sz val="8"/>
        <color theme="1"/>
        <rFont val="Georgia"/>
        <family val="1"/>
      </rPr>
      <t>N</t>
    </r>
    <r>
      <rPr>
        <b/>
        <i/>
        <vertAlign val="subscript"/>
        <sz val="8"/>
        <color theme="1"/>
        <rFont val="Georgia"/>
        <family val="1"/>
      </rPr>
      <t>eff</t>
    </r>
  </si>
  <si>
    <t>STR-Twingene</t>
  </si>
  <si>
    <t>STR-SALTY</t>
  </si>
  <si>
    <t>STR - YATSS &amp; STAGE &amp; CATSS</t>
  </si>
  <si>
    <t>ACTIVITY</t>
  </si>
  <si>
    <t>ADHD</t>
  </si>
  <si>
    <t>ADVENTURE</t>
  </si>
  <si>
    <t>AFB</t>
  </si>
  <si>
    <t>AFS</t>
  </si>
  <si>
    <t>ALLERGYPOLLEN</t>
  </si>
  <si>
    <t>ALZ</t>
  </si>
  <si>
    <t>ANOREX</t>
  </si>
  <si>
    <t>ASD</t>
  </si>
  <si>
    <t>ASI</t>
  </si>
  <si>
    <t>ASTECZRHI</t>
  </si>
  <si>
    <t>ASTHMA</t>
  </si>
  <si>
    <t>AUDIT</t>
  </si>
  <si>
    <t>BIPOLAR</t>
  </si>
  <si>
    <t>BL_CHOL</t>
  </si>
  <si>
    <t>BL_HDL</t>
  </si>
  <si>
    <t>BL_LDL</t>
  </si>
  <si>
    <t>BL_nonHDL</t>
  </si>
  <si>
    <t>BL_TRYG</t>
  </si>
  <si>
    <t>BMI</t>
  </si>
  <si>
    <t>BPdia</t>
  </si>
  <si>
    <t>BPpulse</t>
  </si>
  <si>
    <t>BPsys</t>
  </si>
  <si>
    <t>BRCA</t>
  </si>
  <si>
    <t>CAD</t>
  </si>
  <si>
    <t>CANNABIS</t>
  </si>
  <si>
    <t>CP</t>
  </si>
  <si>
    <t>CPD</t>
  </si>
  <si>
    <t>DEP</t>
  </si>
  <si>
    <t>DPW</t>
  </si>
  <si>
    <t>EA</t>
  </si>
  <si>
    <t>EVERSMOKE</t>
  </si>
  <si>
    <t>EXTRA</t>
  </si>
  <si>
    <t>FAMSAT</t>
  </si>
  <si>
    <t>FRIENDSAT</t>
  </si>
  <si>
    <t>HAYFEVER</t>
  </si>
  <si>
    <t>HEIGHT</t>
  </si>
  <si>
    <t>HIGHMATH</t>
  </si>
  <si>
    <t>IBD</t>
  </si>
  <si>
    <t>INSOMNIA</t>
  </si>
  <si>
    <t>LEFTOUT</t>
  </si>
  <si>
    <t>MENARCHE</t>
  </si>
  <si>
    <t>MIGRAINE</t>
  </si>
  <si>
    <t>MORNING</t>
  </si>
  <si>
    <t>NARCIS</t>
  </si>
  <si>
    <t>NEARSIGHTED</t>
  </si>
  <si>
    <t>NEBwomen</t>
  </si>
  <si>
    <t>NEURO</t>
  </si>
  <si>
    <t>OPEN</t>
  </si>
  <si>
    <t>PRCA</t>
  </si>
  <si>
    <t>READING</t>
  </si>
  <si>
    <t>RELIGATT</t>
  </si>
  <si>
    <t>RHYTHM</t>
  </si>
  <si>
    <t>RISK</t>
  </si>
  <si>
    <t>SCZ</t>
  </si>
  <si>
    <t>SELFHEALTH</t>
  </si>
  <si>
    <t>SELFMATH</t>
  </si>
  <si>
    <t>SMCESS</t>
  </si>
  <si>
    <t>SWB</t>
  </si>
  <si>
    <t>T2D</t>
  </si>
  <si>
    <t>Illumina HumanHap550 quad chip
Illumina human660W-quad array</t>
  </si>
  <si>
    <r>
      <t>Children: 5×10</t>
    </r>
    <r>
      <rPr>
        <vertAlign val="superscript"/>
        <sz val="8"/>
        <color theme="1"/>
        <rFont val="Georgia"/>
        <family val="1"/>
      </rPr>
      <t xml:space="preserve">-7
</t>
    </r>
    <r>
      <rPr>
        <sz val="8"/>
        <color theme="1"/>
        <rFont val="Georgia"/>
        <family val="1"/>
      </rPr>
      <t>Mothers: 10</t>
    </r>
    <r>
      <rPr>
        <vertAlign val="superscript"/>
        <sz val="8"/>
        <color theme="1"/>
        <rFont val="Georgia"/>
        <family val="1"/>
      </rPr>
      <t>-6</t>
    </r>
  </si>
  <si>
    <t>Children: 0.97
Mothers: 0.95</t>
  </si>
  <si>
    <t xml:space="preserve">1) Variants that do not overlap between mothers and children datasets
</t>
  </si>
  <si>
    <t xml:space="preserve">0.95 in mothers &amp; children, then 0.99 in the merged data
</t>
  </si>
  <si>
    <t>ShapeIT (v2.r644) &amp; Michigan Server</t>
  </si>
  <si>
    <t xml:space="preserve">1) Sex mismatch
2) Autosomal Hetero/Homozygosity Outliers
3) Insufficient sample replication (IBD &lt; 0.8)
4) Individuals of non-European ancestries
5) Indeterminate X chromosome heterozygosity (mothers)
6) ID mismatches in merged data
7) Cryptic relatedness (Children: IBD&gt;0.1, Mothers: IBD&gt;0.125)
</t>
  </si>
  <si>
    <r>
      <t xml:space="preserve">1) Autosomal hetero/homozygosity outliers (plink </t>
    </r>
    <r>
      <rPr>
        <i/>
        <sz val="8"/>
        <color theme="1"/>
        <rFont val="Georgia"/>
        <family val="1"/>
      </rPr>
      <t>F</t>
    </r>
    <r>
      <rPr>
        <sz val="8"/>
        <color theme="1"/>
        <rFont val="Georgia"/>
        <family val="1"/>
      </rPr>
      <t>&lt; -0.03 or</t>
    </r>
    <r>
      <rPr>
        <i/>
        <sz val="8"/>
        <color theme="1"/>
        <rFont val="Georgia"/>
        <family val="1"/>
      </rPr>
      <t xml:space="preserve"> F</t>
    </r>
    <r>
      <rPr>
        <sz val="8"/>
        <color theme="1"/>
        <rFont val="Georgia"/>
        <family val="1"/>
      </rPr>
      <t xml:space="preserve">&gt;0.03
2) Genetic ancestry outliers (plink </t>
    </r>
    <r>
      <rPr>
        <i/>
        <sz val="8"/>
        <color theme="1"/>
        <rFont val="Georgia"/>
        <family val="1"/>
      </rPr>
      <t>Z</t>
    </r>
    <r>
      <rPr>
        <sz val="8"/>
        <color theme="1"/>
        <rFont val="Georgia"/>
        <family val="1"/>
      </rPr>
      <t xml:space="preserve">&lt; -5)
3) Sex mismatch
4) Mendelian errors
</t>
    </r>
  </si>
  <si>
    <t>Illumina HumanOmni ExpressExome8V.1-2_A
Illumina HumanOmniExpressExome-8V.1_A</t>
  </si>
  <si>
    <t>Illumina HumanOmni Express 24 BeadChip arrays versions 1.1 and 1.2</t>
  </si>
  <si>
    <t xml:space="preserve"> Illumina Infinium Global Screening Array-24 v3.0 BeadChips</t>
  </si>
  <si>
    <t>0.50 (per chromosome)</t>
  </si>
  <si>
    <t>The German Twin Family Panel</t>
  </si>
  <si>
    <r>
      <t>10</t>
    </r>
    <r>
      <rPr>
        <vertAlign val="superscript"/>
        <sz val="8"/>
        <color theme="1"/>
        <rFont val="Georgia"/>
        <family val="1"/>
      </rPr>
      <t>-3</t>
    </r>
  </si>
  <si>
    <t>1) Individuals of non-EUR ancestries</t>
  </si>
  <si>
    <r>
      <t xml:space="preserve">1) Autosomal hetero/homozygosity outliers (plink </t>
    </r>
    <r>
      <rPr>
        <i/>
        <sz val="8"/>
        <color theme="1"/>
        <rFont val="Georgia"/>
        <family val="1"/>
      </rPr>
      <t>F</t>
    </r>
    <r>
      <rPr>
        <sz val="8"/>
        <color theme="1"/>
        <rFont val="Georgia"/>
        <family val="1"/>
      </rPr>
      <t>&lt; -1.5 or</t>
    </r>
    <r>
      <rPr>
        <i/>
        <sz val="8"/>
        <color theme="1"/>
        <rFont val="Georgia"/>
        <family val="1"/>
      </rPr>
      <t xml:space="preserve"> F</t>
    </r>
    <r>
      <rPr>
        <sz val="8"/>
        <color theme="1"/>
        <rFont val="Georgia"/>
        <family val="1"/>
      </rPr>
      <t xml:space="preserve">&gt;1)
2) Sex mismatch
3) Individuals of non-EUR ancestries
</t>
    </r>
  </si>
  <si>
    <t xml:space="preserve">Illumina Global Screening Array GSA+MD-24v3.0-Psych-24v1.1 </t>
  </si>
  <si>
    <t>1) Sex mismatch
2) Autosomal hetero/homozygosity outliers (plink F&lt; -0.2 or F&gt;0.2)</t>
  </si>
  <si>
    <t>Eagle v.2.4.1 &amp; Minimac4</t>
  </si>
  <si>
    <t>95% CI</t>
  </si>
  <si>
    <t>Population Association (ψ)</t>
  </si>
  <si>
    <t>δ:ψ Ratio</t>
  </si>
  <si>
    <t>(0.99, 1.11)</t>
  </si>
  <si>
    <t>(0.90, 0.94)</t>
  </si>
  <si>
    <t>(0.92, 1.00)</t>
  </si>
  <si>
    <t>(0.97, 1.03)</t>
  </si>
  <si>
    <t>(0.98, 1.05)</t>
  </si>
  <si>
    <t>(0.97, 1.04)</t>
  </si>
  <si>
    <t>(0.92, 1.01)</t>
  </si>
  <si>
    <t>(0.98, 1.09)</t>
  </si>
  <si>
    <t>(0.95, 1.05)</t>
  </si>
  <si>
    <t>(0.40, 1.39)</t>
  </si>
  <si>
    <t>(0.76, 0.92)</t>
  </si>
  <si>
    <t>(0.46, 0.54)</t>
  </si>
  <si>
    <t>(0.31, 0.58)</t>
  </si>
  <si>
    <t>(0.91, 1.05)</t>
  </si>
  <si>
    <t>(0.61, 0.79)</t>
  </si>
  <si>
    <t>(0.53, 1.09)</t>
  </si>
  <si>
    <t>(0.71, 0.87)</t>
  </si>
  <si>
    <t>(0.87, 1.57)</t>
  </si>
  <si>
    <t>(0.85, 1.58)</t>
  </si>
  <si>
    <t>(0.92, 1.08)</t>
  </si>
  <si>
    <t>(0.91, 1.11)</t>
  </si>
  <si>
    <t>(0.47, 0.80)</t>
  </si>
  <si>
    <t>(0.90, 1.18)</t>
  </si>
  <si>
    <t>(0.86, 1.35)</t>
  </si>
  <si>
    <t>(0.75, 1.01)</t>
  </si>
  <si>
    <t>(0.62, 0.93)</t>
  </si>
  <si>
    <t>(0.65, 1.26)</t>
  </si>
  <si>
    <t>(0.44, 1.19)</t>
  </si>
  <si>
    <t>(0.72, 1.17)</t>
  </si>
  <si>
    <t>(0.80, 1.05)</t>
  </si>
  <si>
    <t>(0.68, 1.06)</t>
  </si>
  <si>
    <t>(0.89, 1.07)</t>
  </si>
  <si>
    <t>(0.57, 1.16)</t>
  </si>
  <si>
    <t>(0.74, 1.01)</t>
  </si>
  <si>
    <t>(0.93, 1.78)</t>
  </si>
  <si>
    <t>(0.73, 0.94)</t>
  </si>
  <si>
    <t>(0.42, 1.06)</t>
  </si>
  <si>
    <t>(-0.99, 3.70)</t>
  </si>
  <si>
    <t>(0.89, 1.05)</t>
  </si>
  <si>
    <t>(0.70, 1.16)</t>
  </si>
  <si>
    <t>(0.36, 0.91)</t>
  </si>
  <si>
    <t>Illumina HumanOmniExpress-24v1-0_a, Illumina HumanOmniExpress-24-v1-1-a</t>
  </si>
  <si>
    <t xml:space="preserve">1) Non-EUR ancestries
2) Individuals with less than five rows in the health record database over 15 years
3) One MZ twin per pair
4) Autosomal Hetero/Homozygosity Outliers (&gt;3SD)
</t>
  </si>
  <si>
    <t xml:space="preserve">Illumina Global Screening Array (GSA) v1.0, v2.0, and v2.0_EST </t>
  </si>
  <si>
    <t>Harris, K. M., Halpern, C. T., Haberstick, B. C. &amp; Smolen, A. The National Longitudinal Study of Adolescent Health (Add Health) sibling pairs data. Twin Res. Hum. Genet. 16, 391–8 (2013).</t>
  </si>
  <si>
    <t>Poulton, R., Moffitt, T. E. &amp; Silva, P. A. The Dunedin Multidisciplinary Health and Development Study: overview of the first 40 years, with an eye to the future. Social Psychiatry and Psychiatric Epidemiology 50, 679–693 (2015).</t>
  </si>
  <si>
    <t>Steptoe, A., Breeze, E., Banks, J. &amp; Nazroo, J. Cohort Profile: The English Longitudinal Study of Ageing. Int. J. Epidemiol. 42, 1640–1648 (2013).</t>
  </si>
  <si>
    <t>Miller, M. B. et al. The Minnesota Center for Twin and Family Research genome-wide association study. Twin Res. Hum. Genet. 15, 767–774 (2012)</t>
  </si>
  <si>
    <t>[7]</t>
  </si>
  <si>
    <t>Magnusson, P. K. E. et al. The Swedish Twin Registry: establishment of a biobank and other recent developments. Twin Res. Hum. Genet. 16, 317–329 (2013)</t>
  </si>
  <si>
    <t>[8]</t>
  </si>
  <si>
    <t>Zagai, U., Lichtenstein, P., Pedersen, N. L. &amp; Magnusson, P. K. E. The Swedish Twin Registry: Content and Management as a Research Infrastructure. Twin Res. Hum. Genet. 1–9 (2019). doi:10.1017/thg.2019.99</t>
  </si>
  <si>
    <t>Bycroft, C. et al. The UK Biobank resource with deep phenotyping and genomic data. Nature 562, 203–209 (2018).</t>
  </si>
  <si>
    <t>Herd, P., Carr, D. &amp; Roan, C. Cohort profile: Wisconsin longitudinal study (WLS). Int. J. Epidemiol. 43, 34–41 (2014).</t>
  </si>
  <si>
    <t>[12]</t>
  </si>
  <si>
    <t>Wisconsin Longitudinal Study. Quality Control Report for Genotypic Data. Available at: https://www.ssc.wisc.edu/wlsresearch/documentation/GWAS/Herd_QC_report.pdf. (Accessed: 3rd March 2021)</t>
  </si>
  <si>
    <t>Sullivan, A., Brown, M., Hamer, M. &amp; Ploubidis, G. B. Cohort Profile Update: The 1970 British Cohort Study (BCS70). Int. J. Epidemiol. 52, e179–e186 (2023).</t>
  </si>
  <si>
    <t>FINBB</t>
  </si>
  <si>
    <t>Sonnega, A. et al. Cohort profile: the Health and Retirement Study (HRS). Int. J. Epidemiol. 43, 576–585 (2014)</t>
  </si>
  <si>
    <t>[13]</t>
  </si>
  <si>
    <t>[14]</t>
  </si>
  <si>
    <t>[15]</t>
  </si>
  <si>
    <t>[16]</t>
  </si>
  <si>
    <t>[17]</t>
  </si>
  <si>
    <t>[18]</t>
  </si>
  <si>
    <t>[19]</t>
  </si>
  <si>
    <t>[20]</t>
  </si>
  <si>
    <t>[21]</t>
  </si>
  <si>
    <t>See [22]</t>
  </si>
  <si>
    <t>[22]</t>
  </si>
  <si>
    <r>
      <t xml:space="preserve">Milani, L. </t>
    </r>
    <r>
      <rPr>
        <i/>
        <sz val="8"/>
        <color theme="1"/>
        <rFont val="Georgia"/>
        <family val="1"/>
      </rPr>
      <t>et al.</t>
    </r>
    <r>
      <rPr>
        <sz val="8"/>
        <color theme="1"/>
        <rFont val="Georgia"/>
        <family val="1"/>
      </rPr>
      <t xml:space="preserve"> From Biobanking to Personalized Medicine: the journey of the Estonian Biobank. </t>
    </r>
    <r>
      <rPr>
        <i/>
        <sz val="8"/>
        <color theme="1"/>
        <rFont val="Georgia"/>
        <family val="1"/>
      </rPr>
      <t>medRxiv</t>
    </r>
    <r>
      <rPr>
        <sz val="8"/>
        <color theme="1"/>
        <rFont val="Georgia"/>
        <family val="1"/>
      </rPr>
      <t xml:space="preserve"> doi:10.1101/2024.09.22.24313964.</t>
    </r>
  </si>
  <si>
    <r>
      <t xml:space="preserve">Moffitt, T. E. </t>
    </r>
    <r>
      <rPr>
        <i/>
        <sz val="8"/>
        <color theme="1"/>
        <rFont val="Georgia"/>
        <family val="1"/>
      </rPr>
      <t>et al.</t>
    </r>
    <r>
      <rPr>
        <sz val="8"/>
        <color theme="1"/>
        <rFont val="Georgia"/>
        <family val="1"/>
      </rPr>
      <t xml:space="preserve"> Teen-aged mothers in contemporary Britain. </t>
    </r>
    <r>
      <rPr>
        <i/>
        <sz val="8"/>
        <color theme="1"/>
        <rFont val="Georgia"/>
        <family val="1"/>
      </rPr>
      <t>J. Child Psychol. Psychiatry</t>
    </r>
    <r>
      <rPr>
        <sz val="8"/>
        <color theme="1"/>
        <rFont val="Georgia"/>
        <family val="1"/>
      </rPr>
      <t xml:space="preserve"> </t>
    </r>
    <r>
      <rPr>
        <b/>
        <sz val="8"/>
        <color theme="1"/>
        <rFont val="Georgia"/>
        <family val="1"/>
      </rPr>
      <t>43</t>
    </r>
    <r>
      <rPr>
        <sz val="8"/>
        <color theme="1"/>
        <rFont val="Georgia"/>
        <family val="1"/>
      </rPr>
      <t>, 727–742 (2002).</t>
    </r>
  </si>
  <si>
    <r>
      <t xml:space="preserve">Milbourn, H. </t>
    </r>
    <r>
      <rPr>
        <i/>
        <sz val="8"/>
        <color theme="1"/>
        <rFont val="Georgia"/>
        <family val="1"/>
      </rPr>
      <t>et al.</t>
    </r>
    <r>
      <rPr>
        <sz val="8"/>
        <color theme="1"/>
        <rFont val="Georgia"/>
        <family val="1"/>
      </rPr>
      <t xml:space="preserve"> Generation Scotland: an update on Scotland’s longitudinal family health study. </t>
    </r>
    <r>
      <rPr>
        <i/>
        <sz val="8"/>
        <color theme="1"/>
        <rFont val="Georgia"/>
        <family val="1"/>
      </rPr>
      <t>BMJ Open</t>
    </r>
    <r>
      <rPr>
        <sz val="8"/>
        <color theme="1"/>
        <rFont val="Georgia"/>
        <family val="1"/>
      </rPr>
      <t xml:space="preserve"> </t>
    </r>
    <r>
      <rPr>
        <b/>
        <sz val="8"/>
        <color theme="1"/>
        <rFont val="Georgia"/>
        <family val="1"/>
      </rPr>
      <t>14</t>
    </r>
    <r>
      <rPr>
        <sz val="8"/>
        <color theme="1"/>
        <rFont val="Georgia"/>
        <family val="1"/>
      </rPr>
      <t>, e084719 (2024).</t>
    </r>
  </si>
  <si>
    <r>
      <t xml:space="preserve">Koellinger, P. D. </t>
    </r>
    <r>
      <rPr>
        <i/>
        <sz val="8"/>
        <color theme="1"/>
        <rFont val="Georgia"/>
        <family val="1"/>
      </rPr>
      <t>et al.</t>
    </r>
    <r>
      <rPr>
        <sz val="8"/>
        <color theme="1"/>
        <rFont val="Georgia"/>
        <family val="1"/>
      </rPr>
      <t xml:space="preserve"> Cohort profile: Genetic data in the German Socio-Economic Panel Innovation Sample (SOEP-G). </t>
    </r>
    <r>
      <rPr>
        <i/>
        <sz val="8"/>
        <color theme="1"/>
        <rFont val="Georgia"/>
        <family val="1"/>
      </rPr>
      <t>PLoS One</t>
    </r>
    <r>
      <rPr>
        <sz val="8"/>
        <color theme="1"/>
        <rFont val="Georgia"/>
        <family val="1"/>
      </rPr>
      <t xml:space="preserve"> </t>
    </r>
    <r>
      <rPr>
        <b/>
        <sz val="8"/>
        <color theme="1"/>
        <rFont val="Georgia"/>
        <family val="1"/>
      </rPr>
      <t>18</t>
    </r>
    <r>
      <rPr>
        <sz val="8"/>
        <color theme="1"/>
        <rFont val="Georgia"/>
        <family val="1"/>
      </rPr>
      <t>, e0294896 (2023).</t>
    </r>
  </si>
  <si>
    <r>
      <t xml:space="preserve">Connelly, R. &amp; Platt, L. Cohort Profile: UK Millennium Cohort Study (MCS). </t>
    </r>
    <r>
      <rPr>
        <i/>
        <sz val="8"/>
        <color theme="1"/>
        <rFont val="Georgia"/>
        <family val="1"/>
      </rPr>
      <t>Int. J. Epidemiol.</t>
    </r>
    <r>
      <rPr>
        <sz val="8"/>
        <color theme="1"/>
        <rFont val="Georgia"/>
        <family val="1"/>
      </rPr>
      <t xml:space="preserve"> </t>
    </r>
    <r>
      <rPr>
        <b/>
        <sz val="8"/>
        <color theme="1"/>
        <rFont val="Georgia"/>
        <family val="1"/>
      </rPr>
      <t>43</t>
    </r>
    <r>
      <rPr>
        <sz val="8"/>
        <color theme="1"/>
        <rFont val="Georgia"/>
        <family val="1"/>
      </rPr>
      <t>, 1719–1725 (2014).</t>
    </r>
  </si>
  <si>
    <r>
      <t xml:space="preserve">Ryff, C. D. </t>
    </r>
    <r>
      <rPr>
        <i/>
        <sz val="8"/>
        <color theme="1"/>
        <rFont val="Georgia"/>
        <family val="1"/>
      </rPr>
      <t>et al.</t>
    </r>
    <r>
      <rPr>
        <sz val="8"/>
        <color theme="1"/>
        <rFont val="Georgia"/>
        <family val="1"/>
      </rPr>
      <t xml:space="preserve"> Midlife in the United States (MIDUS 2), 2004-2006. (2021) doi:10.3886/ICPSR04652.v8.</t>
    </r>
  </si>
  <si>
    <r>
      <t xml:space="preserve">Bridges, E. C., Rayner, N. W., Mountford, H. S., Bates, T. C. &amp; Luciano, M. Longitudinal Reading Measures and Genome Imputation in the National Child Development Study: Prospects for Future Reading Research. </t>
    </r>
    <r>
      <rPr>
        <i/>
        <sz val="8"/>
        <color theme="1"/>
        <rFont val="Georgia"/>
        <family val="1"/>
      </rPr>
      <t>Twin Res. Hum. Genet.</t>
    </r>
    <r>
      <rPr>
        <sz val="8"/>
        <color theme="1"/>
        <rFont val="Georgia"/>
        <family val="1"/>
      </rPr>
      <t xml:space="preserve"> </t>
    </r>
    <r>
      <rPr>
        <b/>
        <sz val="8"/>
        <color theme="1"/>
        <rFont val="Georgia"/>
        <family val="1"/>
      </rPr>
      <t>26</t>
    </r>
    <r>
      <rPr>
        <sz val="8"/>
        <color theme="1"/>
        <rFont val="Georgia"/>
        <family val="1"/>
      </rPr>
      <t>, 10–20 (2023)</t>
    </r>
  </si>
  <si>
    <r>
      <t xml:space="preserve">Rohm, T. </t>
    </r>
    <r>
      <rPr>
        <i/>
        <sz val="8"/>
        <color theme="1"/>
        <rFont val="Georgia"/>
        <family val="1"/>
      </rPr>
      <t>et al.</t>
    </r>
    <r>
      <rPr>
        <sz val="8"/>
        <color theme="1"/>
        <rFont val="Georgia"/>
        <family val="1"/>
      </rPr>
      <t xml:space="preserve"> Data from the German TwinLife Study: Genetic and Social Origins of Educational Predictors, Processes, and Outcomes. </t>
    </r>
    <r>
      <rPr>
        <i/>
        <sz val="8"/>
        <color theme="1"/>
        <rFont val="Georgia"/>
        <family val="1"/>
      </rPr>
      <t>J. Open Psychol. Data</t>
    </r>
    <r>
      <rPr>
        <sz val="8"/>
        <color theme="1"/>
        <rFont val="Georgia"/>
        <family val="1"/>
      </rPr>
      <t xml:space="preserve"> </t>
    </r>
    <r>
      <rPr>
        <b/>
        <sz val="8"/>
        <color theme="1"/>
        <rFont val="Georgia"/>
        <family val="1"/>
      </rPr>
      <t>11</t>
    </r>
    <r>
      <rPr>
        <sz val="8"/>
        <color theme="1"/>
        <rFont val="Georgia"/>
        <family val="1"/>
      </rPr>
      <t>, 1–15 (2023).</t>
    </r>
  </si>
  <si>
    <t>Harden, K. P., Tucker-Drob, E. M. &amp; Tackett, J. L. The Texas Twin Project. Twin Res. Hum. Genet. 16, 385–390 (2013).</t>
  </si>
  <si>
    <t>Supplementary Table 2: Details of release 2 UKB GWAS</t>
  </si>
  <si>
    <t>phenotype is new in release 2</t>
  </si>
  <si>
    <t>phenotype was included in release 1 but UKB was not included in GWAS</t>
  </si>
  <si>
    <t>phenotype was included in release 1, UKB GWAS updated in release 2</t>
  </si>
  <si>
    <t>For each measurement, insomnia was set to 1 if field 1200 = 3, 0 if it is non-missing and not equal to -3, missing otherwise. Phenotype is set to the maximum across waves.</t>
  </si>
  <si>
    <t>Case if responded "yes" to any of the following
- "Have you ever been diagnosed with, or treated for, insomnia?"
- "Have you ever been diagnosed by a doctor with any of the following neurological conditions? - Sleep disturbance"
- "Has a doctor ever told you that you have any of these conditions? - Insomnia (difficulty getting to sleep or staying asleep)"
- "Do you routinely have trouble getting to sleep at night?"
- "What sleep disorders have you been diagnosed with? Please select all that apply: Insomnia, trouble falling or staying asleep"
- "Have you ever taken these medications? -  Prescription sleep aids"
- "In the last 2 years, have you taken any of these medications? -  Prescription sleep aids"
Controls did not respond "yes" to any of the above, and responded "no" to at least one of the above or below:
- "Have you ever been diagnosed with, or treated for, any of the following conditions? (1) Insomnia; (2) Narcolepsy; (3) Sleep apnea; (4) Restless leg syndrome "
- "Have you ever been diagnosed with or treated for any of the following conditions? (1) Post-traumatic stress disorder (PTSD); (2) Autism; (3) Asperger's; (4) Sleep disorder"
- "Have you ever been diagnosed with or treated for a sleep disorder?"
-" Have you ever been diagnosed with or treated for any of the following conditions? - a sleep disorder"</t>
  </si>
  <si>
    <t>Phenotype is "Asthma with hayfever".  Cases respond yes to both of the following questions, controls respond no to both
- Have you ever had allergic rhinitis (stuffed or dripping nose caused by allergies)?
- Have you ever been diagnosed by a doctor with asthma or bronchial asthma?”</t>
  </si>
  <si>
    <r>
      <t xml:space="preserve">5. Niarchou, M. et al. Genome-wide association study of musical beat synchronization demonstrates high polygenicity. </t>
    </r>
    <r>
      <rPr>
        <i/>
        <sz val="8"/>
        <color theme="1"/>
        <rFont val="Georgia"/>
        <family val="1"/>
      </rPr>
      <t>Nat. Hum. Behav.</t>
    </r>
    <r>
      <rPr>
        <sz val="8"/>
        <color theme="1"/>
        <rFont val="Georgia"/>
        <family val="1"/>
      </rPr>
      <t xml:space="preserve"> </t>
    </r>
    <r>
      <rPr>
        <b/>
        <sz val="8"/>
        <color theme="1"/>
        <rFont val="Georgia"/>
        <family val="1"/>
      </rPr>
      <t>6</t>
    </r>
    <r>
      <rPr>
        <sz val="8"/>
        <color theme="1"/>
        <rFont val="Georgia"/>
        <family val="1"/>
      </rPr>
      <t>, 1292–1309 (2022)</t>
    </r>
  </si>
  <si>
    <r>
      <t>6. Jansen, P. R. et al. Genome-wide analysis of insomnia in 1,331,010 individuals identifies new risk loci and functional pathways.</t>
    </r>
    <r>
      <rPr>
        <i/>
        <sz val="8"/>
        <color theme="1"/>
        <rFont val="Georgia"/>
        <family val="1"/>
      </rPr>
      <t xml:space="preserve"> Nat. Genet.</t>
    </r>
    <r>
      <rPr>
        <b/>
        <sz val="8"/>
        <color theme="1"/>
        <rFont val="Georgia"/>
        <family val="1"/>
      </rPr>
      <t xml:space="preserve"> 51</t>
    </r>
    <r>
      <rPr>
        <sz val="8"/>
        <color theme="1"/>
        <rFont val="Georgia"/>
        <family val="1"/>
      </rPr>
      <t>, 394–403 (2019).</t>
    </r>
  </si>
  <si>
    <t>4. Ferreira, M. A. R. et al. Genome-wide association analysis identifies 11 risk variants associated with the asthma with hay fever phenotype. J. Allergy Clin. Immunol. 133, 1564–1571 (2014).</t>
  </si>
  <si>
    <r>
      <t xml:space="preserve">7.  Liu, M. </t>
    </r>
    <r>
      <rPr>
        <i/>
        <sz val="8"/>
        <color theme="1"/>
        <rFont val="Georgia"/>
        <family val="1"/>
      </rPr>
      <t>et al.</t>
    </r>
    <r>
      <rPr>
        <sz val="8"/>
        <color theme="1"/>
        <rFont val="Georgia"/>
        <family val="1"/>
      </rPr>
      <t xml:space="preserve"> Association studies of up to 1.2 million individuals yield new insights into the genetic etiology of tobacco and alcohol use. </t>
    </r>
    <r>
      <rPr>
        <i/>
        <sz val="8"/>
        <color theme="1"/>
        <rFont val="Georgia"/>
        <family val="1"/>
      </rPr>
      <t>Nature Genetics</t>
    </r>
    <r>
      <rPr>
        <sz val="8"/>
        <color theme="1"/>
        <rFont val="Georgia"/>
        <family val="1"/>
      </rPr>
      <t xml:space="preserve"> </t>
    </r>
    <r>
      <rPr>
        <b/>
        <sz val="8"/>
        <color theme="1"/>
        <rFont val="Georgia"/>
        <family val="1"/>
      </rPr>
      <t>51</t>
    </r>
    <r>
      <rPr>
        <sz val="8"/>
        <color theme="1"/>
        <rFont val="Georgia"/>
        <family val="1"/>
      </rPr>
      <t>, 237–244 (2019).</t>
    </r>
  </si>
  <si>
    <t>Case prevalence</t>
  </si>
  <si>
    <r>
      <t xml:space="preserve">Mills, M. C. </t>
    </r>
    <r>
      <rPr>
        <i/>
        <sz val="8"/>
        <color theme="1"/>
        <rFont val="Georgia"/>
        <family val="1"/>
      </rPr>
      <t>et al.</t>
    </r>
    <r>
      <rPr>
        <sz val="8"/>
        <color theme="1"/>
        <rFont val="Georgia"/>
        <family val="1"/>
      </rPr>
      <t xml:space="preserve"> Identification of 371 genetic variants for age at first sex and birth linked to externalising behaviour. </t>
    </r>
    <r>
      <rPr>
        <i/>
        <sz val="8"/>
        <color theme="1"/>
        <rFont val="Georgia"/>
        <family val="1"/>
      </rPr>
      <t>Nat. Hum. Behav.</t>
    </r>
    <r>
      <rPr>
        <sz val="8"/>
        <color theme="1"/>
        <rFont val="Georgia"/>
        <family val="1"/>
      </rPr>
      <t xml:space="preserve"> </t>
    </r>
    <r>
      <rPr>
        <b/>
        <sz val="8"/>
        <color theme="1"/>
        <rFont val="Georgia"/>
        <family val="1"/>
      </rPr>
      <t>5</t>
    </r>
    <r>
      <rPr>
        <sz val="8"/>
        <color theme="1"/>
        <rFont val="Georgia"/>
        <family val="1"/>
      </rPr>
      <t>, 1717–1730 (2021).</t>
    </r>
  </si>
  <si>
    <r>
      <rPr>
        <i/>
        <sz val="8"/>
        <color theme="1"/>
        <rFont val="Georgia"/>
        <family val="1"/>
      </rPr>
      <t xml:space="preserve">Notes: </t>
    </r>
    <r>
      <rPr>
        <sz val="8"/>
        <color theme="1"/>
        <rFont val="Georgia"/>
        <family val="1"/>
      </rPr>
      <t>"Missing values" and "Invalid values" refer to missing/invalid values for effect allele, other allele, effect allele frequency, Beta, SE,</t>
    </r>
    <r>
      <rPr>
        <i/>
        <sz val="8"/>
        <color theme="1"/>
        <rFont val="Georgia"/>
        <family val="1"/>
      </rPr>
      <t xml:space="preserve"> P</t>
    </r>
    <r>
      <rPr>
        <sz val="8"/>
        <color theme="1"/>
        <rFont val="Georgia"/>
        <family val="1"/>
      </rPr>
      <t>-value or imputation accuracy. "MAF" refers to minor allele frequency. "HWE" refers to Hardy-Weinberg Equilibrium exact test. "SE ratio" refers to the ratio of reported standard errors to predicted standard errors. "λ</t>
    </r>
    <r>
      <rPr>
        <vertAlign val="subscript"/>
        <sz val="8"/>
        <color theme="1"/>
        <rFont val="Georgia"/>
        <family val="1"/>
      </rPr>
      <t>GC</t>
    </r>
    <r>
      <rPr>
        <sz val="8"/>
        <color theme="1"/>
        <rFont val="Georgia"/>
        <family val="1"/>
      </rPr>
      <t>" is the genomic inflation factor. The applied filters were as follows: MAF&gt;0.01, imputation accuracy&gt;0.70, HWE P-value&gt;10</t>
    </r>
    <r>
      <rPr>
        <vertAlign val="superscript"/>
        <sz val="8"/>
        <color theme="1"/>
        <rFont val="Georgia"/>
        <family val="1"/>
      </rPr>
      <t>-20</t>
    </r>
    <r>
      <rPr>
        <sz val="8"/>
        <color theme="1"/>
        <rFont val="Georgia"/>
        <family val="1"/>
      </rPr>
      <t>, call rate&gt;0.95 (for genotyped SNPs only), 0.5&lt;SE-ratio&lt;2 . For Coronary Artery Disease from Aragam et al., we use effective sample size instead of actual number of individuals in the sample (N=1,165,720).</t>
    </r>
  </si>
  <si>
    <r>
      <rPr>
        <b/>
        <i/>
        <sz val="8"/>
        <color theme="1"/>
        <rFont val="Georgia"/>
        <family val="1"/>
      </rPr>
      <t>r</t>
    </r>
    <r>
      <rPr>
        <b/>
        <i/>
        <vertAlign val="subscript"/>
        <sz val="8"/>
        <color theme="1"/>
        <rFont val="Georgia"/>
        <family val="1"/>
      </rPr>
      <t>g</t>
    </r>
  </si>
  <si>
    <r>
      <t>SE(</t>
    </r>
    <r>
      <rPr>
        <b/>
        <i/>
        <sz val="8"/>
        <color theme="1"/>
        <rFont val="Georgia"/>
        <family val="1"/>
      </rPr>
      <t>r</t>
    </r>
    <r>
      <rPr>
        <b/>
        <i/>
        <vertAlign val="subscript"/>
        <sz val="8"/>
        <color theme="1"/>
        <rFont val="Georgia"/>
        <family val="1"/>
      </rPr>
      <t>g</t>
    </r>
    <r>
      <rPr>
        <b/>
        <sz val="8"/>
        <color theme="1"/>
        <rFont val="Georgia"/>
        <family val="1"/>
      </rPr>
      <t>)</t>
    </r>
  </si>
  <si>
    <t>SE(Intercept)</t>
  </si>
  <si>
    <r>
      <rPr>
        <i/>
        <sz val="8"/>
        <color theme="1"/>
        <rFont val="Georgia"/>
        <family val="1"/>
      </rPr>
      <t>Notes:</t>
    </r>
    <r>
      <rPr>
        <sz val="8"/>
        <color theme="1"/>
        <rFont val="Georgia"/>
        <family val="1"/>
      </rPr>
      <t xml:space="preserve"> "</t>
    </r>
    <r>
      <rPr>
        <i/>
        <sz val="8"/>
        <color theme="1"/>
        <rFont val="Georgia"/>
        <family val="1"/>
      </rPr>
      <t>r</t>
    </r>
    <r>
      <rPr>
        <i/>
        <vertAlign val="subscript"/>
        <sz val="8"/>
        <color theme="1"/>
        <rFont val="Georgia"/>
        <family val="1"/>
      </rPr>
      <t>g</t>
    </r>
    <r>
      <rPr>
        <sz val="8"/>
        <color theme="1"/>
        <rFont val="Georgia"/>
        <family val="1"/>
      </rPr>
      <t>" is genetic correlation. "Intercept" is the bivariate LD score regression intercept. "SE" is standard error.</t>
    </r>
  </si>
  <si>
    <r>
      <t>SE(</t>
    </r>
    <r>
      <rPr>
        <b/>
        <i/>
        <sz val="8"/>
        <color theme="1"/>
        <rFont val="Georgia"/>
        <family val="1"/>
      </rPr>
      <t>h</t>
    </r>
    <r>
      <rPr>
        <b/>
        <vertAlign val="superscript"/>
        <sz val="8"/>
        <color theme="1"/>
        <rFont val="Georgia"/>
        <family val="1"/>
      </rPr>
      <t>2</t>
    </r>
    <r>
      <rPr>
        <b/>
        <sz val="8"/>
        <color theme="1"/>
        <rFont val="Georgia"/>
        <family val="1"/>
      </rPr>
      <t>)</t>
    </r>
  </si>
  <si>
    <r>
      <t>Notes: "</t>
    </r>
    <r>
      <rPr>
        <i/>
        <sz val="9"/>
        <color theme="1"/>
        <rFont val="Georgia"/>
        <family val="1"/>
      </rPr>
      <t>h</t>
    </r>
    <r>
      <rPr>
        <i/>
        <vertAlign val="superscript"/>
        <sz val="9"/>
        <color theme="1"/>
        <rFont val="Georgia"/>
        <family val="1"/>
      </rPr>
      <t>2</t>
    </r>
    <r>
      <rPr>
        <sz val="9"/>
        <color theme="1"/>
        <rFont val="Georgia"/>
        <family val="1"/>
      </rPr>
      <t>" is heritability. "Intercept" is LD score regression intercept. "λ</t>
    </r>
    <r>
      <rPr>
        <vertAlign val="subscript"/>
        <sz val="9"/>
        <color theme="1"/>
        <rFont val="Georgia"/>
        <family val="1"/>
      </rPr>
      <t>GC</t>
    </r>
    <r>
      <rPr>
        <sz val="9"/>
        <color theme="1"/>
        <rFont val="Georgia"/>
        <family val="1"/>
      </rPr>
      <t>" is genomic inflation factor. "Mean χ2" is mean χ2-statistic. "SE" is standard error.</t>
    </r>
  </si>
  <si>
    <t>GWAS included in the meta-analysis</t>
  </si>
  <si>
    <t>Meta-analysis code</t>
  </si>
  <si>
    <t>Repository datasets overlapping with the meta-analysis sample</t>
  </si>
  <si>
    <t>Repository datasets meta-analysis is used to make PGI for</t>
  </si>
  <si>
    <t>551347 *</t>
  </si>
  <si>
    <t>1677910 *</t>
  </si>
  <si>
    <t>914993 *</t>
  </si>
  <si>
    <t>805505 **</t>
  </si>
  <si>
    <t>433,518 **</t>
  </si>
  <si>
    <t>1,298,052 **</t>
  </si>
  <si>
    <t>491,568 **</t>
  </si>
  <si>
    <t>Notes: Genetic correlations across Repository phenotypes obtained using bivariate LD score regression. For each phenotype, the output file with the largest heritability from the MTAG meta-analysis with the largest sample size was used.</t>
  </si>
  <si>
    <r>
      <rPr>
        <i/>
        <sz val="8"/>
        <color rgb="FF000000"/>
        <rFont val="Georgia"/>
        <family val="1"/>
      </rPr>
      <t xml:space="preserve">Notes: </t>
    </r>
    <r>
      <rPr>
        <sz val="8"/>
        <color rgb="FF000000"/>
        <rFont val="Georgia"/>
        <family val="1"/>
      </rPr>
      <t xml:space="preserve">"Residualize" in column "Handling of repeated measures" refers to obtaining the standardized residuals from a regression of the variable on sex (unless the phenotype is sex-specific), a second-degree polynomial in age at the time of measurement, and their interactions. If the "Handling of repeated measures" column is "N/A" (no repeated measures) or "Maximum", the phenotype was residualized on sex, a second-degree polynomial in birth year, and their interactions. </t>
    </r>
  </si>
  <si>
    <r>
      <rPr>
        <b/>
        <i/>
        <sz val="8"/>
        <color theme="1"/>
        <rFont val="Georgia"/>
        <family val="1"/>
      </rPr>
      <t>N</t>
    </r>
    <r>
      <rPr>
        <b/>
        <sz val="8"/>
        <color theme="1"/>
        <rFont val="Georgia"/>
        <family val="1"/>
      </rPr>
      <t xml:space="preserve"> genotyped non-MZ sibling pairs </t>
    </r>
  </si>
  <si>
    <r>
      <rPr>
        <b/>
        <i/>
        <sz val="8"/>
        <color theme="1"/>
        <rFont val="Georgia"/>
        <family val="1"/>
      </rPr>
      <t>N</t>
    </r>
    <r>
      <rPr>
        <b/>
        <sz val="8"/>
        <color theme="1"/>
        <rFont val="Georgia"/>
        <family val="1"/>
      </rPr>
      <t xml:space="preserve"> genotyped parent-offspring pairs</t>
    </r>
  </si>
  <si>
    <r>
      <rPr>
        <b/>
        <i/>
        <sz val="8"/>
        <color theme="1"/>
        <rFont val="Georgia"/>
        <family val="1"/>
      </rPr>
      <t>#</t>
    </r>
    <r>
      <rPr>
        <b/>
        <sz val="8"/>
        <color theme="1"/>
        <rFont val="Georgia"/>
        <family val="1"/>
      </rPr>
      <t xml:space="preserve"> SNPs</t>
    </r>
  </si>
  <si>
    <t>Yes &amp; No *</t>
  </si>
  <si>
    <r>
      <rPr>
        <b/>
        <i/>
        <sz val="8"/>
        <color theme="1"/>
        <rFont val="Georgia"/>
        <family val="1"/>
      </rPr>
      <t>N</t>
    </r>
    <r>
      <rPr>
        <b/>
        <sz val="8"/>
        <color theme="1"/>
        <rFont val="Georgia"/>
        <family val="1"/>
      </rPr>
      <t xml:space="preserve"> parent-offspring trios post-imputation</t>
    </r>
  </si>
  <si>
    <t>avgCall</t>
  </si>
  <si>
    <r>
      <rPr>
        <i/>
        <sz val="8"/>
        <color theme="1"/>
        <rFont val="Georgia"/>
        <family val="1"/>
      </rPr>
      <t>r(</t>
    </r>
    <r>
      <rPr>
        <sz val="8"/>
        <color theme="1"/>
        <rFont val="Georgia"/>
        <family val="1"/>
      </rPr>
      <t>proband snipar, proband regular)</t>
    </r>
  </si>
  <si>
    <r>
      <rPr>
        <i/>
        <sz val="8"/>
        <color theme="1"/>
        <rFont val="Georgia"/>
        <family val="1"/>
      </rPr>
      <t>r</t>
    </r>
    <r>
      <rPr>
        <sz val="8"/>
        <color theme="1"/>
        <rFont val="Georgia"/>
        <family val="1"/>
      </rPr>
      <t>(mid-parent, proband)</t>
    </r>
  </si>
  <si>
    <r>
      <rPr>
        <i/>
        <sz val="8"/>
        <color theme="1"/>
        <rFont val="Georgia"/>
        <family val="1"/>
      </rPr>
      <t>r</t>
    </r>
    <r>
      <rPr>
        <sz val="8"/>
        <color theme="1"/>
        <rFont val="Georgia"/>
        <family val="1"/>
      </rPr>
      <t>(father, proband)</t>
    </r>
  </si>
  <si>
    <r>
      <rPr>
        <i/>
        <sz val="8"/>
        <color theme="1"/>
        <rFont val="Georgia"/>
        <family val="1"/>
      </rPr>
      <t>r</t>
    </r>
    <r>
      <rPr>
        <sz val="8"/>
        <color theme="1"/>
        <rFont val="Georgia"/>
        <family val="1"/>
      </rPr>
      <t>(mother, proband)</t>
    </r>
  </si>
  <si>
    <r>
      <rPr>
        <i/>
        <sz val="8"/>
        <color theme="1"/>
        <rFont val="Georgia"/>
        <family val="1"/>
      </rPr>
      <t>r(</t>
    </r>
    <r>
      <rPr>
        <sz val="8"/>
        <color theme="1"/>
        <rFont val="Georgia"/>
        <family val="1"/>
      </rPr>
      <t>proband-snipar, proband-regular)</t>
    </r>
  </si>
  <si>
    <r>
      <t xml:space="preserve">#SNPs in </t>
    </r>
    <r>
      <rPr>
        <i/>
        <sz val="8"/>
        <color theme="1"/>
        <rFont val="Georgia"/>
        <family val="1"/>
      </rPr>
      <t>snipar</t>
    </r>
    <r>
      <rPr>
        <sz val="8"/>
        <color theme="1"/>
        <rFont val="Georgia"/>
        <family val="1"/>
      </rPr>
      <t xml:space="preserve"> PGIs</t>
    </r>
  </si>
  <si>
    <r>
      <rPr>
        <i/>
        <sz val="8"/>
        <color theme="1"/>
        <rFont val="Georgia"/>
        <family val="1"/>
      </rPr>
      <t>Notes:</t>
    </r>
    <r>
      <rPr>
        <sz val="8"/>
        <color theme="1"/>
        <rFont val="Georgia"/>
        <family val="1"/>
      </rPr>
      <t xml:space="preserve"> "</t>
    </r>
    <r>
      <rPr>
        <i/>
        <sz val="8"/>
        <color theme="1"/>
        <rFont val="Georgia"/>
        <family val="1"/>
      </rPr>
      <t>r</t>
    </r>
    <r>
      <rPr>
        <sz val="8"/>
        <color theme="1"/>
        <rFont val="Georgia"/>
        <family val="1"/>
      </rPr>
      <t xml:space="preserve">(mother, proband)" and "r(father, proband)" are the correlations between (imputed) maternal/paternal PGI and proband PGI obtained using </t>
    </r>
    <r>
      <rPr>
        <i/>
        <sz val="8"/>
        <color theme="1"/>
        <rFont val="Georgia"/>
        <family val="1"/>
      </rPr>
      <t>snipar, based on the same set of SNPs</t>
    </r>
    <r>
      <rPr>
        <sz val="8"/>
        <color theme="1"/>
        <rFont val="Georgia"/>
        <family val="1"/>
      </rPr>
      <t>. "</t>
    </r>
    <r>
      <rPr>
        <i/>
        <sz val="8"/>
        <color theme="1"/>
        <rFont val="Georgia"/>
        <family val="1"/>
      </rPr>
      <t>r</t>
    </r>
    <r>
      <rPr>
        <sz val="8"/>
        <color theme="1"/>
        <rFont val="Georgia"/>
        <family val="1"/>
      </rPr>
      <t>(mid-parent, proband)" is the correlation between the mid-parent PGI obtained using imputed mid-parent genotypes and the proband PGI based on the same set of SNPs. For AddHealth, Texas, and WLS, only mid-parent PGIs are available instead of maternal and paternal PGIs because these cohorts do not include any genotyped parent-offspring pairs. "</t>
    </r>
    <r>
      <rPr>
        <i/>
        <sz val="8"/>
        <color theme="1"/>
        <rFont val="Georgia"/>
        <family val="1"/>
      </rPr>
      <t>r</t>
    </r>
    <r>
      <rPr>
        <sz val="8"/>
        <color theme="1"/>
        <rFont val="Georgia"/>
        <family val="1"/>
      </rPr>
      <t xml:space="preserve">(proband-snipar, proband-regular)" is the correlation between the proband PGI obtained using snipar (based on the same set of SNPs as the parental PGIs) and the regular Repository PGI. "#SNPs in </t>
    </r>
    <r>
      <rPr>
        <i/>
        <sz val="8"/>
        <color theme="1"/>
        <rFont val="Georgia"/>
        <family val="1"/>
      </rPr>
      <t>snipar</t>
    </r>
    <r>
      <rPr>
        <sz val="8"/>
        <color theme="1"/>
        <rFont val="Georgia"/>
        <family val="1"/>
      </rPr>
      <t xml:space="preserve"> PGIs" is the number of SNPs included in the PGIs obtained using </t>
    </r>
    <r>
      <rPr>
        <i/>
        <sz val="8"/>
        <color theme="1"/>
        <rFont val="Georgia"/>
        <family val="1"/>
      </rPr>
      <t>snipar.</t>
    </r>
  </si>
  <si>
    <t>ANOREX3</t>
  </si>
  <si>
    <t>20003, 20122, 20126, 20499, 20500, 20544, 40001, 40002, 41270, 41271, 130893
GP data: read_2, read_3</t>
  </si>
  <si>
    <t>Set to 1 if any of the following hold:
- ever coded as having anorexia nervosa (F500, F501) in ICD10 in-patient summary diagnoses (field 41270) or in the death register primary (field 40001) / secondary (field 40002) causes
-ever coded as having anorexia nervosa (3071) in ICD9 in-patient summary diagnoses (field 41271)
- ever self-reported to have anorexia nervosa diagnosed by a doctor (field 20544=16)
- in the GP data, ever coded as one of the following: 1467., E271., X00Sz, .1467, .E49., Eu500, Eu501.
Controls do not have any psychiatric disorders, satisfying all of the following conditions:
- Never sought or received professional help for mental distress (field 20499 = 0)
- Never suffered mental distress preventing usual activities (field 20500=0)
- No mental health problems ever diagnosed by a professional (field 20544 is missing) 
- Does not use any of the following medications (field 20003): mood stabilizers (1140867490, 1140867504, 1140867494, 1140872198, 1140872200, 1141172838, 1140872214, 1140872064, 2038459704, 1140872072, 1141167860, 1141185460, 1141162898, 1140864452, 1140872290, 1140872302), selective serotonin reuptake inhibitors (1140867888, 1140882236, 1140879540, 1140867876, 1140921600,  1141151946, 1141180212, 1141190158, 1140867878, 1140867884, 1140879544), other antidepressants (1141152732, 1141152736, 1141200564, 1141201834, 1141200570, 1140916282, 1140916288, 1140879616, 1140867658, 1140867668, 1140867662, 1140867948, 1140867934, 1140867938, 1140856186, 1140867928, 1140867850, 1140910704, 1140867852, 1140867920, 1140867922, 1140879630, 1140867712, 1140867756, 1140867758, 1140879628, 1140909806, 1140867624, 1141171824, 1140879620, 1140867690, 1140867726, 1140882310, 1141146062, 1140879556, 1140867806, 1140867812), traditional antipsychotics (1140879658, 1140910358, 1140863416, 1140867168, 1140867184, 1140867092, 1140867398, 1140882098, 1140867456, 1140867156, 1140856004, 1140909800, 1140867150, 1140867152, 1140867952, 1140882100, 1140867342, 1140867406, 1140867414, 1140867084, 1140867086, 1140868120, 1140867244, 1140879750, 1140867312), second generation antipsychotics (1141152848, 1141152860, 1140867444, 1141177762, 1140928916, 1141167976, 1141195974, 1141202024, 1141153490, 1141184742, 1140867420, 1140882320), sedatives &amp; hypnotics (1140863152, 1141157496, 1140863244, 1140863250, 1140855856, 1140863202, 1140863210, 1140863138, 1140863144, 1140928004, 1141171404, 1141171410, 1140865016, 1140864916, 1140863182, 1140863194, 1140855896, 1140863196, 1140855900, 1140855898, 1140855902, 1140855904, 1140863104, 1140863106, 1140855914, 1140855920)
Moreover, an individual is excluded from anorexia nervosa controls if they have any of the following codes in the GP data: 1612., R030., R030z, X76cG, XE24f, XM07X, XM0aM, XM0aN, .1612, .R30., .R30Z, E275z, Eu50., Eu50y, Eu50z, X00Sx, XE1Zq, XE1bQ, Xa2hW, XaEC2, XaIwi, XaPBE, XaWRh, XaX4J, XaX4K, XaX4L, XaX4M, XafF2, XafjT, .8HTN, .9Nk9, .E4D4, 38Do., 38Do0, 38Do1, 38Do2, 38Do3, 8HTN., 9Nk9. .</t>
  </si>
  <si>
    <t>(0.57, 1.31)</t>
  </si>
  <si>
    <t>(0.50, 0.89)</t>
  </si>
  <si>
    <t>(0.87, 1.13)</t>
  </si>
  <si>
    <t>(0.81, 1.12)</t>
  </si>
  <si>
    <t>(0.85, 1.06)</t>
  </si>
  <si>
    <t>(-0.81, 4.67)</t>
  </si>
  <si>
    <t>(-2.27, 3.28)</t>
  </si>
  <si>
    <t>(0.80, 1.62)</t>
  </si>
  <si>
    <t>(0.90, 1.76)</t>
  </si>
  <si>
    <t>Various  Illumina and Affymetrix chip arrays</t>
  </si>
  <si>
    <t>Population-specific SISu v4.2 imputation reference panel of 8,554 whole genomes</t>
  </si>
  <si>
    <r>
      <t xml:space="preserve">Kurki, M. I. </t>
    </r>
    <r>
      <rPr>
        <i/>
        <sz val="8"/>
        <color theme="1"/>
        <rFont val="Georgia"/>
        <family val="1"/>
      </rPr>
      <t>et al.</t>
    </r>
    <r>
      <rPr>
        <sz val="8"/>
        <color theme="1"/>
        <rFont val="Georgia"/>
        <family val="1"/>
      </rPr>
      <t xml:space="preserve"> FinnGen provides genetic insights from a well-phenotyped isolated population. </t>
    </r>
    <r>
      <rPr>
        <i/>
        <sz val="8"/>
        <color theme="1"/>
        <rFont val="Georgia"/>
        <family val="1"/>
      </rPr>
      <t>Nat.</t>
    </r>
    <r>
      <rPr>
        <sz val="8"/>
        <color theme="1"/>
        <rFont val="Georgia"/>
        <family val="1"/>
      </rPr>
      <t xml:space="preserve"> </t>
    </r>
    <r>
      <rPr>
        <b/>
        <sz val="8"/>
        <color theme="1"/>
        <rFont val="Georgia"/>
        <family val="1"/>
      </rPr>
      <t>613</t>
    </r>
    <r>
      <rPr>
        <sz val="8"/>
        <color theme="1"/>
        <rFont val="Georgia"/>
        <family val="1"/>
      </rPr>
      <t>, 508–518 (2023).</t>
    </r>
  </si>
  <si>
    <t>1) Ambiguous gender
2) Excess heterozygosity (±4SD)
3) Non-Finnish ancestry</t>
  </si>
  <si>
    <t>1) Minor allele count &lt; 3</t>
  </si>
  <si>
    <t>Beagle 4.1</t>
  </si>
  <si>
    <t>Finnish</t>
  </si>
  <si>
    <t>447,966**</t>
  </si>
  <si>
    <t>1,314,264 *</t>
  </si>
  <si>
    <t>949,951*</t>
  </si>
  <si>
    <t>SOEP-G</t>
  </si>
  <si>
    <r>
      <rPr>
        <i/>
        <sz val="8"/>
        <color theme="1"/>
        <rFont val="Georgia"/>
        <family val="1"/>
      </rPr>
      <t xml:space="preserve">Notes: </t>
    </r>
    <r>
      <rPr>
        <sz val="8"/>
        <color theme="1"/>
        <rFont val="Georgia"/>
        <family val="1"/>
      </rPr>
      <t>"UKB1", "UKB2" and "UKB3" are the three UKB partitions (see section "UKB GWAS" in Methods for details on partitioning). After the phenotypes were constructed as in this table, they were additionally residualized on a third degree polynomial in birth year, sex and their interactions, 106 genotyping batch dummies, and the first 40 PCs within each partition before GWAS.</t>
    </r>
  </si>
  <si>
    <r>
      <rPr>
        <i/>
        <sz val="8"/>
        <color theme="1"/>
        <rFont val="Georgia"/>
        <family val="1"/>
      </rPr>
      <t>Notes:</t>
    </r>
    <r>
      <rPr>
        <sz val="8"/>
        <color theme="1"/>
        <rFont val="Georgia"/>
        <family val="1"/>
      </rPr>
      <t xml:space="preserve"> "Linear/Logistic" refers to the type of regression used in the GWAS. "Covariates" refers to the covariates included in the GWAS. "Citation" is the original publication reporting the GWAS.</t>
    </r>
  </si>
  <si>
    <r>
      <t xml:space="preserve">Boyd, A. </t>
    </r>
    <r>
      <rPr>
        <i/>
        <sz val="8"/>
        <color theme="1"/>
        <rFont val="Georgia"/>
        <family val="1"/>
      </rPr>
      <t>et al.</t>
    </r>
    <r>
      <rPr>
        <sz val="8"/>
        <color theme="1"/>
        <rFont val="Georgia"/>
        <family val="1"/>
      </rPr>
      <t xml:space="preserve"> Cohort Profile: the ’children of the 90s’--the index offspring of the Avon Longitudinal Study of Parents and Children. </t>
    </r>
    <r>
      <rPr>
        <i/>
        <sz val="8"/>
        <color theme="1"/>
        <rFont val="Georgia"/>
        <family val="1"/>
      </rPr>
      <t>Int. J. Epidemiol.</t>
    </r>
    <r>
      <rPr>
        <sz val="8"/>
        <color theme="1"/>
        <rFont val="Georgia"/>
        <family val="1"/>
      </rPr>
      <t xml:space="preserve"> </t>
    </r>
    <r>
      <rPr>
        <b/>
        <sz val="8"/>
        <color theme="1"/>
        <rFont val="Georgia"/>
        <family val="1"/>
      </rPr>
      <t>42</t>
    </r>
    <r>
      <rPr>
        <sz val="8"/>
        <color theme="1"/>
        <rFont val="Georgia"/>
        <family val="1"/>
      </rPr>
      <t>, 111–127 (2013).</t>
    </r>
  </si>
  <si>
    <r>
      <t xml:space="preserve">Fraser, A. </t>
    </r>
    <r>
      <rPr>
        <i/>
        <sz val="8"/>
        <color theme="1"/>
        <rFont val="Georgia"/>
        <family val="1"/>
      </rPr>
      <t>et al.</t>
    </r>
    <r>
      <rPr>
        <sz val="8"/>
        <color theme="1"/>
        <rFont val="Georgia"/>
        <family val="1"/>
      </rPr>
      <t xml:space="preserve"> Cohort Profile: the Avon Longitudinal Study of Parents and Children: ALSPAC mothers cohort. </t>
    </r>
    <r>
      <rPr>
        <i/>
        <sz val="8"/>
        <color theme="1"/>
        <rFont val="Georgia"/>
        <family val="1"/>
      </rPr>
      <t>Int. J. Epidemiol.</t>
    </r>
    <r>
      <rPr>
        <sz val="8"/>
        <color theme="1"/>
        <rFont val="Georgia"/>
        <family val="1"/>
      </rPr>
      <t xml:space="preserve"> </t>
    </r>
    <r>
      <rPr>
        <b/>
        <sz val="8"/>
        <color theme="1"/>
        <rFont val="Georgia"/>
        <family val="1"/>
      </rPr>
      <t>42</t>
    </r>
    <r>
      <rPr>
        <sz val="8"/>
        <color theme="1"/>
        <rFont val="Georgia"/>
        <family val="1"/>
      </rPr>
      <t>, 97–110 (2013).</t>
    </r>
  </si>
  <si>
    <t>[23]</t>
  </si>
  <si>
    <t>[24]</t>
  </si>
  <si>
    <t>[18],[19]</t>
  </si>
  <si>
    <t>See [24]</t>
  </si>
  <si>
    <r>
      <t xml:space="preserve">Northstone, K. </t>
    </r>
    <r>
      <rPr>
        <i/>
        <sz val="8"/>
        <color theme="1"/>
        <rFont val="Georgia"/>
        <family val="1"/>
      </rPr>
      <t>et al.</t>
    </r>
    <r>
      <rPr>
        <sz val="8"/>
        <color theme="1"/>
        <rFont val="Georgia"/>
        <family val="1"/>
      </rPr>
      <t xml:space="preserve"> The Avon Longitudinal Study of Parents and Children (ALSPAC): an update on the enrolled sample of index children in 2019. </t>
    </r>
    <r>
      <rPr>
        <i/>
        <sz val="8"/>
        <color theme="1"/>
        <rFont val="Georgia"/>
        <family val="1"/>
      </rPr>
      <t>Wellcome Open Res.</t>
    </r>
    <r>
      <rPr>
        <sz val="8"/>
        <color theme="1"/>
        <rFont val="Georgia"/>
        <family val="1"/>
      </rPr>
      <t xml:space="preserve"> </t>
    </r>
    <r>
      <rPr>
        <b/>
        <sz val="8"/>
        <color theme="1"/>
        <rFont val="Georgia"/>
        <family val="1"/>
      </rPr>
      <t>4</t>
    </r>
    <r>
      <rPr>
        <sz val="8"/>
        <color theme="1"/>
        <rFont val="Georgia"/>
        <family val="1"/>
      </rPr>
      <t>, (2019).</t>
    </r>
  </si>
  <si>
    <t>G0 Mothers &amp; G1 children</t>
  </si>
  <si>
    <t>Causal Effect (δ)</t>
  </si>
  <si>
    <t>3.32% 
(2.76% to 3.94%)</t>
  </si>
  <si>
    <t>6.89% 
(6.09% to 7.69%)</t>
  </si>
  <si>
    <t>4.25% 
(3.64% to 4.91%)</t>
  </si>
  <si>
    <t>Diastolic blood pressure reading, average of three measurements in each wave (after removing biologically implausible values i.e. &lt;50 or &gt;150 mm Hg)</t>
  </si>
  <si>
    <t>Systolic blood pressure reading, average of three measurements in each wave (after removing biologically implausible values i.e. &lt;70 or &gt;270 mm Hg)</t>
  </si>
  <si>
    <t>Supplementary Table 3: Predictive power of the PGIs in the validation datasets</t>
  </si>
  <si>
    <t>Supplementary Table 4: Causal effects and population associations in UKB and WLS</t>
  </si>
  <si>
    <t>Supplementary Table 5: Dataset details</t>
  </si>
  <si>
    <t>Supplementary Table 6: Details of release 2 23andMe GWAS</t>
  </si>
  <si>
    <t>Supplementary Table 7: Description of SNP filtering for GWAS summary statistics</t>
  </si>
  <si>
    <t>Supplementary Table 8: LD score regression results for the GWAS included in the meta-analyses for each phenotype</t>
  </si>
  <si>
    <t>Supplementary Table 9: Bivariate LD score regression results for each pair of GWAS included in the meta-analyses</t>
  </si>
  <si>
    <r>
      <t>Supplementary Table 12: Effective sample size filter and GWAS-equivalent-</t>
    </r>
    <r>
      <rPr>
        <b/>
        <i/>
        <sz val="8"/>
        <color theme="1"/>
        <rFont val="Georgia"/>
        <family val="1"/>
      </rPr>
      <t>N</t>
    </r>
  </si>
  <si>
    <t>Supplementary Table 13: New or updated validation dataset phenotype descriptions in HRS and WLS</t>
  </si>
  <si>
    <t>Supplementary Table 14: Validation phenotype descriptives for all phenotypes in the Repository</t>
  </si>
  <si>
    <t xml:space="preserve">Supplementary Table 15: Parental genotype imputation </t>
  </si>
  <si>
    <t xml:space="preserve">Supplementary Table 16: Parental PGI correlations </t>
  </si>
  <si>
    <t>Supplementary Table 11: Genetic correlations across phenotypes</t>
  </si>
  <si>
    <t>Supplementary Table 1: Expected predictive power of PGIs</t>
  </si>
  <si>
    <t>Supplementary Table 10: Input GWAS versions</t>
  </si>
  <si>
    <t>(0.73, 1.04)</t>
  </si>
  <si>
    <t>(0.92, 1.11)</t>
  </si>
  <si>
    <t>(0.67, 1.31)</t>
  </si>
  <si>
    <t>(0.94, 1.57)</t>
  </si>
  <si>
    <t>(1.02, 1.58)</t>
  </si>
  <si>
    <t>(-0.52, 3.90)</t>
  </si>
  <si>
    <t>(0.48, 0.89)</t>
  </si>
  <si>
    <t>(0.59, 1.00)</t>
  </si>
  <si>
    <t>(0.14, 1.07)</t>
  </si>
  <si>
    <t>(0.79, 1.38)</t>
  </si>
  <si>
    <t>(0.61, 2.61)</t>
  </si>
  <si>
    <t>(-2.50, 4.57)</t>
  </si>
  <si>
    <t>(0.42, 1.50)</t>
  </si>
  <si>
    <t>(0.75, 4.64)</t>
  </si>
  <si>
    <t>(-7.31, 3.64)</t>
  </si>
  <si>
    <t>(0.29, 1.60)</t>
  </si>
  <si>
    <t>(-3.42, 2.31)</t>
  </si>
  <si>
    <t>(-0.07, 2.48)</t>
  </si>
  <si>
    <t>(0.69, 1.43)</t>
  </si>
  <si>
    <t>(0.98, 1.69)</t>
  </si>
  <si>
    <t>(0.77, 1.91)</t>
  </si>
  <si>
    <t>(-0.25, 3.48)</t>
  </si>
  <si>
    <t>(0.74, 1.51)</t>
  </si>
  <si>
    <t>(0.33, 1.95)</t>
  </si>
  <si>
    <t>(0.21, 1.47)</t>
  </si>
  <si>
    <t>(-0.02, 1.18)</t>
  </si>
  <si>
    <t>(-4.40, 2.33)</t>
  </si>
  <si>
    <t>(0.75, 2.31)</t>
  </si>
  <si>
    <t>(0.27, 1.26)</t>
  </si>
  <si>
    <t>(-1.39, 6.65)</t>
  </si>
  <si>
    <t>(-0.23, 1.40)</t>
  </si>
  <si>
    <t>(-0.21, 1.61)</t>
  </si>
  <si>
    <t>(0.23, 1.61)</t>
  </si>
  <si>
    <t>(0.17, 1.14)</t>
  </si>
  <si>
    <t>(0.77, 1.44)</t>
  </si>
  <si>
    <t>(-0.46, 1.53)</t>
  </si>
  <si>
    <t xml:space="preserve">
4,589,478</t>
  </si>
  <si>
    <r>
      <rPr>
        <i/>
        <sz val="8"/>
        <color theme="1"/>
        <rFont val="Georgia"/>
        <family val="1"/>
      </rPr>
      <t>Notes: "</t>
    </r>
    <r>
      <rPr>
        <sz val="8"/>
        <color theme="1"/>
        <rFont val="Georgia"/>
        <family val="1"/>
      </rPr>
      <t>New in v2?</t>
    </r>
    <r>
      <rPr>
        <i/>
        <sz val="8"/>
        <color theme="1"/>
        <rFont val="Georgia"/>
        <family val="1"/>
      </rPr>
      <t xml:space="preserve">" </t>
    </r>
    <r>
      <rPr>
        <sz val="8"/>
        <color theme="1"/>
        <rFont val="Georgia"/>
        <family val="1"/>
      </rPr>
      <t>indicates</t>
    </r>
    <r>
      <rPr>
        <i/>
        <sz val="8"/>
        <color theme="1"/>
        <rFont val="Georgia"/>
        <family val="1"/>
      </rPr>
      <t xml:space="preserve"> </t>
    </r>
    <r>
      <rPr>
        <sz val="8"/>
        <color theme="1"/>
        <rFont val="Georgia"/>
        <family val="1"/>
      </rPr>
      <t>whether the phenotype is added to the Repository in the current release. "Updated in v2?" indicates whether the PGI for a phenotype that was included in the first release of the Repository was updated (e.g. weights based on a new GWAS)</t>
    </r>
    <r>
      <rPr>
        <i/>
        <sz val="8"/>
        <color theme="1"/>
        <rFont val="Georgia"/>
        <family val="1"/>
      </rPr>
      <t xml:space="preserve"> </t>
    </r>
    <r>
      <rPr>
        <sz val="8"/>
        <color theme="1"/>
        <rFont val="Georgia"/>
        <family val="1"/>
      </rPr>
      <t>in the current release.  The remaining columns were obtained using the MTAG meta-analysis with the largest sample size for the phenotype. "</t>
    </r>
    <r>
      <rPr>
        <i/>
        <sz val="8"/>
        <color theme="1"/>
        <rFont val="Georgia"/>
        <family val="1"/>
      </rPr>
      <t>N</t>
    </r>
    <r>
      <rPr>
        <sz val="8"/>
        <color theme="1"/>
        <rFont val="Georgia"/>
        <family val="1"/>
      </rPr>
      <t xml:space="preserve"> UKB", "</t>
    </r>
    <r>
      <rPr>
        <i/>
        <sz val="8"/>
        <color theme="1"/>
        <rFont val="Georgia"/>
        <family val="1"/>
      </rPr>
      <t>N</t>
    </r>
    <r>
      <rPr>
        <sz val="8"/>
        <color theme="1"/>
        <rFont val="Georgia"/>
        <family val="1"/>
      </rPr>
      <t xml:space="preserve"> 23andMe", and "</t>
    </r>
    <r>
      <rPr>
        <i/>
        <sz val="8"/>
        <color theme="1"/>
        <rFont val="Georgia"/>
        <family val="1"/>
      </rPr>
      <t>N</t>
    </r>
    <r>
      <rPr>
        <sz val="8"/>
        <color theme="1"/>
        <rFont val="Georgia"/>
        <family val="1"/>
      </rPr>
      <t xml:space="preserve"> other" are the sample sizes of the UKB, 23andMe, and published GWAS included in the meta-analysis. "# SNPs MTAG" is the number of SNPs in the meta-analysis. "Mean </t>
    </r>
    <r>
      <rPr>
        <i/>
        <sz val="8"/>
        <color theme="1"/>
        <rFont val="Georgia"/>
        <family val="1"/>
      </rPr>
      <t>χ</t>
    </r>
    <r>
      <rPr>
        <vertAlign val="superscript"/>
        <sz val="8"/>
        <color theme="1"/>
        <rFont val="Georgia"/>
        <family val="1"/>
      </rPr>
      <t>2</t>
    </r>
    <r>
      <rPr>
        <sz val="8"/>
        <color theme="1"/>
        <rFont val="Georgia"/>
        <family val="1"/>
      </rPr>
      <t xml:space="preserve">" is the mean </t>
    </r>
    <r>
      <rPr>
        <i/>
        <sz val="8"/>
        <color theme="1"/>
        <rFont val="Georgia"/>
        <family val="1"/>
      </rPr>
      <t>χ</t>
    </r>
    <r>
      <rPr>
        <vertAlign val="superscript"/>
        <sz val="8"/>
        <color theme="1"/>
        <rFont val="Georgia"/>
        <family val="1"/>
      </rPr>
      <t>2</t>
    </r>
    <r>
      <rPr>
        <sz val="8"/>
        <color theme="1"/>
        <rFont val="Georgia"/>
        <family val="1"/>
      </rPr>
      <t xml:space="preserve"> statistic across all SNPs in the MTAG output file with the largest heritability. "# SNPs ldsc" is the number of SNPs included in LD score regression. "</t>
    </r>
    <r>
      <rPr>
        <i/>
        <sz val="8"/>
        <color theme="1"/>
        <rFont val="Georgia"/>
        <family val="1"/>
      </rPr>
      <t>h</t>
    </r>
    <r>
      <rPr>
        <i/>
        <vertAlign val="superscript"/>
        <sz val="8"/>
        <color theme="1"/>
        <rFont val="Georgia"/>
        <family val="1"/>
      </rPr>
      <t>2</t>
    </r>
    <r>
      <rPr>
        <i/>
        <vertAlign val="subscript"/>
        <sz val="8"/>
        <color theme="1"/>
        <rFont val="Georgia"/>
        <family val="1"/>
      </rPr>
      <t>SNP</t>
    </r>
    <r>
      <rPr>
        <sz val="8"/>
        <color theme="1"/>
        <rFont val="Georgia"/>
        <family val="1"/>
      </rPr>
      <t xml:space="preserve">" is the LD score regression heritability estimate for the MTAG output file with the largest heritability. "SE" is the standard error of the heritability estimate. "GWAS-equivalent </t>
    </r>
    <r>
      <rPr>
        <i/>
        <sz val="8"/>
        <color theme="1"/>
        <rFont val="Georgia"/>
        <family val="1"/>
      </rPr>
      <t>N</t>
    </r>
    <r>
      <rPr>
        <sz val="8"/>
        <color theme="1"/>
        <rFont val="Georgia"/>
        <family val="1"/>
      </rPr>
      <t>" is the GWAS-equivalent sample size as reported by MTAG for the MTAG output file with the largest heritability. "E(</t>
    </r>
    <r>
      <rPr>
        <i/>
        <sz val="8"/>
        <color theme="1"/>
        <rFont val="Georgia"/>
        <family val="1"/>
      </rPr>
      <t>R</t>
    </r>
    <r>
      <rPr>
        <i/>
        <vertAlign val="superscript"/>
        <sz val="8"/>
        <color theme="1"/>
        <rFont val="Georgia"/>
        <family val="1"/>
      </rPr>
      <t>2</t>
    </r>
    <r>
      <rPr>
        <sz val="8"/>
        <color theme="1"/>
        <rFont val="Georgia"/>
        <family val="1"/>
      </rPr>
      <t>)" is the expected out-of-sample predictive power of a PGI based on the single-trait input GWAS.</t>
    </r>
  </si>
  <si>
    <t>EBB, FinnGen, NCDS (1958BC), STR, UKB1, UKB2, UKB3</t>
  </si>
  <si>
    <t>EBB, FinnGen, NCDS (1958BC), STR</t>
  </si>
  <si>
    <t>EBB, FinnGen, NCDS (1958BC), STR, UKB2, UKB3</t>
  </si>
  <si>
    <t>EBB, FinnGen, NCDS (1958BC), STR, UKB1, UKB3</t>
  </si>
  <si>
    <t>EBB, FinnGen, NCDS (1958BC), STR, UKB1, UKB2</t>
  </si>
  <si>
    <t>ALSPAC, EBB, FinnGen, GS, HRS, MCTFR, NCDS (1958BC), STR, UKB1, UKB2, UKB3</t>
  </si>
  <si>
    <t>ALSPAC, FinnGen, GS, HRS, NCDS (1958BC), STR, UKB</t>
  </si>
  <si>
    <t>ALSPAC, FinnGen, GS, HRS, NCDS (1958BC), STR</t>
  </si>
  <si>
    <t>ALSPAC, FinnGen, GS, HRS, NCDS (1958BC), STR,UKB2, UKB3</t>
  </si>
  <si>
    <t>ALSPAC, FinnGen, GS, HRS, NCDS (1958BC), STR,UKB1, UKB3</t>
  </si>
  <si>
    <t>ALSPAC, FinnGen, GS, HRS, NCDS (1958BC), STR,UKB1, UKB2</t>
  </si>
  <si>
    <t>EBB, FinnGen, GS, NCDS (1958BC), STR, UKB1, UKB2, UKB3</t>
  </si>
  <si>
    <t>EBB, FinnGen, GS, NCDS (1958BC), STR</t>
  </si>
  <si>
    <t>NCDS (1958BC), STR, FinnGen, UKB1, UKB2, UKB3</t>
  </si>
  <si>
    <t>NCDS (1958BC)</t>
  </si>
  <si>
    <t>NCDS (1958BC), UKB1, UKB2, UKB3</t>
  </si>
  <si>
    <t>AddHealth, ALSPAC, EBB, ELSA, FinnGen, HRS, MCTFR, NCDS (1958BC), STR, , UKB1, UKB2, UKB3, WLS</t>
  </si>
  <si>
    <t>ALSPAC, EBB, ELSA, FinnGen, HRS, MCTFR, NCDS (1958BC), STR, UKB1, UKB2, UKB3, WLS</t>
  </si>
  <si>
    <t>AddHealth, EBB, ELSA, FinnGen, HRS, MCTFR, NCDS (1958BC), STR, UKB1, UKB2, UKB3, WLS</t>
  </si>
  <si>
    <t>AddHealth, ALSPAC, ELSA, FinnGen, HRS, MCTFR, NCDS (1958BC), STR, UKB1, UKB2, UKB3, WLS</t>
  </si>
  <si>
    <t>AddHealth, ALSPAC, EBB, FinnGen, HRS, MCTFR, NCDS (1958BC), STR, UKB1, UKB2, UKB3, WLS</t>
  </si>
  <si>
    <t>AddHealth, ALSPAC, EBB, ELSA, HRS, MCTFR, NCDS (1958BC), STR, UKB1, UKB2, UKB3, WLS</t>
  </si>
  <si>
    <t>AddHealth, ALSPAC, EBB, ELSA, FinnGen, MCTFR, NCDS (1958BC), STR, UKB1, UKB2, UKB3, WLS</t>
  </si>
  <si>
    <t>23andMe, Okbay et al. excl 23andMe, NCDS (1958BC)</t>
  </si>
  <si>
    <t>AddHealth, ALSPAC, EBB, ELSA, FinnGen, HRS, MCTFR, NCDS (1958BC),  UKB1, UKB2, UKB3, WLS</t>
  </si>
  <si>
    <t>ALSPAC, EBB, ELSA, FinnGen, HRS, MCTFR, NCDS (1958BC), STR, UKB1, UKB2, UKB3</t>
  </si>
  <si>
    <t>AddHealth, ALSPAC, EBB, ELSA, FinnGen, HRS, NCDS (1958BC), STR, UKB1, UKB2, UKB3, WLS</t>
  </si>
  <si>
    <t>AddHealth, ALSPAC, EBB, ELSA, FinnGen, HRS, MCTFR, NCDS (1958BC), STR, UKB1, UKB2, UKB3, WLS</t>
  </si>
  <si>
    <t>AddHealth, ALSPAC, EBB, NCDS (1958BC), STR, UKB1, UKB2, UKB3, WLS</t>
  </si>
  <si>
    <t>ALSPAC, EBB, FinnGen, MCTFR, NCDS (1958BC), STR, UKB1, UKB2, UKB3</t>
  </si>
  <si>
    <t>ALSPAC, EBB, NCDS (1958BC), STR</t>
  </si>
  <si>
    <t>ALSPAC, EBB, FinnGen, NCDS (1958BC), STR, UKB2, UKB3</t>
  </si>
  <si>
    <t>ALSPAC, EBB, FinnGen, NCDS (1958BC), STR, UKB1, UKB3</t>
  </si>
  <si>
    <t>ALSPAC, EBB, FinnGen, NCDS (1958BC), STR, UKB1, UKB2</t>
  </si>
  <si>
    <t>ALSPAC, EBB, FinnGen, NCDS (1958BC), STR, UKB1, UKB2, UKB3</t>
  </si>
  <si>
    <t>EBB, FinnGen, HRS, MCTFR, NCDS (1958BC), STR, UKB1, UKB2, UKB3</t>
  </si>
  <si>
    <t>EBB, FinnGen, HRS, MCTFR, NCDS (1958BC), STR</t>
  </si>
  <si>
    <t>ALSPAC, EBB, FinnGen, NCDS (1958BC), STR</t>
  </si>
  <si>
    <t>EBB, FinnGen, NCDS (1958BC), UKB1, UKB2,  UKB2</t>
  </si>
  <si>
    <t>UKB1, UKB2,  UKB2, EBB, NCDS (1958BC)</t>
  </si>
  <si>
    <t>EBB, NCDS (1958BC)</t>
  </si>
  <si>
    <t>EBB, NCDS (1958BC), UKB2, UKB3</t>
  </si>
  <si>
    <t>EBB, NCDS (1958BC), UKB1, UKB3</t>
  </si>
  <si>
    <t>EBB, NCDS (1958BC), UKB1, UKB2</t>
  </si>
  <si>
    <t>ALSPAC, EBB, FinnGen, HRS, NCDS (1958BC), STR, UKB</t>
  </si>
  <si>
    <t>EBB, NCDS (1958BC), UKB1, UKB2, UKB3</t>
  </si>
  <si>
    <t>EBB, FinnGen, GS, NCDS (1958BC), UKB1, UKB2, UKB3</t>
  </si>
  <si>
    <t>EBB, FinnGen, GS, NCDS (1958BC)</t>
  </si>
  <si>
    <t xml:space="preserve">Notes: The “GWAS included in the meta-analysis” column indicates the datasets whose summary statistics were used in each meta-analysis. “Total N” refers to the sum of sample sizes of the UKB, 23andMe and other GWAS that were meta-analyzed. "Repository datasets overlapping with the meta-analysis sample" refers to the overlapping datasets between “GWAS included in the meta-analysis" and Repository datasets. "Repository datasets meta-analysis is used to make PGI for" indicates which Repository datasets a meta-analysis was used for when constructing the PGIs. Dataset abbreviations: 1970 British Cohort Study (1970BC), National Longitudinal Study of Adolescent to Adult Health (AddHealth), Avon Longitudinal Study of Parents and Children (ALSPAC), Dunedin Multidisciplinary Health and Development Study (Dunedin), Environmental Risk (E-Risk) Longitudinal Twin Study, English Longitudinal Study of Ageing (ELSA), Estonian Biobank (EBB), Finnish Biobanks (FINBB), Generation Scotland (GS), German Socioeconomic Panel (SOEP-G), Health and Retirement Study (HRS), Millenium Cohort Study (MCS (2001BC)), Minnesota Center for Twin and Family Research (MCTFR), Midlife in the United States (MIDUS), 1958 National Child Development Study (NCDS (1958BC)), Swedish Twin Registry (STR), Texas Twin Project (Texas), German Twin Family Panel (TwinLife), UK Biobank (UKB; UKB1-3 refer to the three UKB partitions - see section "UKB GWAS" in Methods for details on the partitioning), Wisconsin Longitudinal Study (WLS). 
* For ALZ1, ALZ3 and CAD1, the public N and total N columns include duplicate observations because of the sample overlap between the used published GWAS summary statistics. The effective sample sizes for these GWASs are less than Total N. 
** For AFB2, NEBwomen1, ASTECZRHI1, MIGRAINE1, and BIPOLAR1, the publicly available summary statistics include (part of) UK Biobank (UKB). The total N column includes duplicate observations because of this sample overlap and therefore the effective sample size is less than Total N. </t>
  </si>
  <si>
    <t>1970BC, AddHealth, ALSPAC, Dunedin, EBB, ELSA, E-Risk, FinnGen, SOEP-G, HRS, MCS (2001BC), MCTFR, MIDUS, NCDS (1958BC), Texas, TwinLife, SOEP-G, WLS</t>
  </si>
  <si>
    <t>1970BC, AddHealth, Dunedin, ELSA, E-Risk, GS, HRS, MCS (2001BC), MIDUS, NCDS (1958BC), Texas, TwinLife, SOEP-G, SOEP-G, STR</t>
  </si>
  <si>
    <t>1970BC, AddHealth, ALSPAC, Dunedin, ELSA, E-Risk, GS, HRS, MCS (2001BC), MCTFR, MIDUS, Texas, TwinLife, SOEP-G, WLS</t>
  </si>
  <si>
    <t>1970BC, AddHealth, ALSPAC, Dunedin, EBB, ELSA, E-Risk, GS, HRS, MCS (2001BC), MCTFR, MIDUS, Texas, TwinLife, SOEP-G, WLS</t>
  </si>
  <si>
    <t>1970BC, AddHealth, ALSPAC, Dunedin, EBB, ELSA, E-Risk, FinnGen, GS, HRS, MCS (2001BC), MCTFR, MIDUS, NCDS (1958BC), Texas, TwinLife, SOEP-G, STR, UKB1, UKB2, UKB3, WLS</t>
  </si>
  <si>
    <t>1970BC, AddHealth, ALSPAC, Dunedin, EBB, ELSA, E-Risk, GS, HRS, MCS (2001BC), MIDUS, NCDS (1958BC), Texas, TwinLife, SOEP-G, STR, WLS</t>
  </si>
  <si>
    <t>1970BC, Dunedin, ELSA, E-Risk, FinnGen, GS, HRS, MCS (2001BC), MIDUS, MCTFR, Texas, TwinLife, SOEP-G</t>
  </si>
  <si>
    <t>1970BC, AddHealth, ALSPAC, Dunedin, EBB, ELSA, E-Risk, FinnGen, GS, HRS, MCS (2001BC), MCTFR, MIDUS, NCDS (1958BC), Texas, TwinLife, SOEP-G, STR, WLS</t>
  </si>
  <si>
    <t>1970BC, AddHealth, ALSPAC, Dunedin, ELSA, E-Risk, GS, MCS (2001BC), MIDUS, Texas, TwinLife, SOEP-G, WLS</t>
  </si>
  <si>
    <t>1970BC, AddHealth, ALSPAC, Dunedin, EBB, ELSA, E-Risk, FinnGen, GS, HRS, MCS (2001BC), MCTFR, MIDUS, NCDS (1958BC), Texas, TwinLife, SOEP-G, WLS</t>
  </si>
  <si>
    <t>1970BC, AddHealth, ALSPAC, Dunedin, EBB, ELSA, E-Risk, GS, HRS, MCS (2001BC), MCTFR, MIDUS, NCDS (1958BC), Texas, TwinLife, SOEP-G, STR, WLS</t>
  </si>
  <si>
    <t>1970BC, AddHealth, ALSPAC, Dunedin, EBB, ELSA, E-Risk, FinnGen, GS, HRS, MCS (2001BC), MCTFR,  MIDUS, Texas, TwinLife, SOEP-G, STR, WLS</t>
  </si>
  <si>
    <t>1970BC, AddHealth, Dunedin, ELSA, E-Risk, GS, HRS, MCS (2001BC), MCTFR, MIDUS, Texas, TwinLife, SOEP-G, WLS</t>
  </si>
  <si>
    <t>1970BC, AddHealth, ALSPAC, Dunedin, ELSA, E-Risk, GS, HRS, MCS (2001BC), MCTFR, MIDUS, NCDS (1958BC), STR, Texas, TwinLife, SOEP-G, WLS</t>
  </si>
  <si>
    <t>1970BC, AddHealth, ALSPAC, Dunedin, ELSA, E-Risk, GS, HRS, MCS (2001BC), MCTFR, MIDUS, Texas, TwinLife, SOEP-G, STR, WLS</t>
  </si>
  <si>
    <t>1970BC, AddHealth, Dunedin, ELSA, E-Risk, GS, HRS, MCS (2001BC), MIDUS, NCDS (1958BC), Texas, TwinLife, SOEP-G, UKB1, UKB2, UKB3, WLS</t>
  </si>
  <si>
    <t>1970BC, AddHealth, ALSPAC, Dunedin, EBB, ELSA, E-Risk, FinnGen, GS,  HRS, MCS (2001BC), MCTFR, MIDUS, NCDS (1958BC), Texas, TwinLife, SOEP-G, STR, WLS</t>
  </si>
  <si>
    <t>1970BC, AddHealth, Dunedin, ELSA, E-Risk, GS, HRS, MCS (2001BC), MIDUS, NCDS (1958BC), Texas, TwinLife, SOEP-G, WLS</t>
  </si>
  <si>
    <t>1970BC, AddHealth, ALSPAC, Dunedin, ELSA, E-Risk, GS, HRS, MCS (2001BC), MCTFR, MIDUS, NCDS (1958BC), Texas, TwinLife, SOEP-G, STR, UKB1, UKB2, UKB3, WLS</t>
  </si>
  <si>
    <t>1970BC, AddHealth, Dunedin, ELSA, E-Risk, GS, MCS (2001BC), MCTFR, MIDUS, Texas, TwinLife, SOEP-G, WLS</t>
  </si>
  <si>
    <t>1970BC, AddHealth, Dunedin, EBB, ELSA, E-Risk, GS, MCS (2001BC), MIDUS, NCDS (1958BC), Texas, TwinLife, SOEP-G, WLS</t>
  </si>
  <si>
    <t>1970BC, AddHealth, ALSPAC, Dunedin, EBB, ELSA, E-Risk, FinnGen, GS, HRS, MCS (2001BC), MCTFR, MIDUS, Texas, TwinLife, SOEP-G, STR, WLS</t>
  </si>
  <si>
    <t>1970BC, AddHealth, ALSPAC, Dunedin, ELSA, E-Risk, FinnGen, GS, HRS, MCS (2001BC), MCTFR, MIDUS, Texas, TwinLife, SOEP-G, STR, WLS</t>
  </si>
  <si>
    <t>1970BC, ALSPAC, Dunedin, EBB, ELSA, E-Risk, GS, HRS, MCS (2001BC), MIDUS, NCDS (1958BC), Texas, TwinLife, SOEP-G, WLS</t>
  </si>
  <si>
    <t>1970BC, AddHealth, Dunedin, ELSA, E-Risk, GS, MCS (2001BC), MCTFR, MIDUS, NCDS (1958BC), Texas, TwinLife, SOEP-G, STR</t>
  </si>
  <si>
    <t>1970BC, AddHealth, Dunedin, ELSA, E-Risk, GS, HRS, MCS (2001BC), MIDUS, NCDS (1958BC), STR, Texas, TwinLife, SOEP-G, WLS</t>
  </si>
  <si>
    <t>1970BC, AddHealth, Dunedin, ELSA, E-Risk, GS, MCS (2001BC), MIDUS, NCDS (1958BC), Texas, TwinLife, SOEP-G, STR</t>
  </si>
  <si>
    <t>1970BC, AddHealth, Dunedin, EBB, ELSA, E-Risk, MCS (2001BC), MCTFR, MIDUS, Texas, TwinLife, SOEP-G, WLS</t>
  </si>
  <si>
    <t>1970BC, AddHealth, ALSPAC, Dunedin, ELSA, E-Risk, HRS, MCS (2001BC), MCTFR, MIDUS, Texas, TwinLife, SOEP-G, WLS</t>
  </si>
  <si>
    <t>1970BC, Dunedin, E-Risk, MCS (2001BC), MIDUS, Texas, TwinLife, SOEP-G</t>
  </si>
  <si>
    <t>1970BC, AddHealth, ALSPAC, Dunedin, ELSA, E-Risk, HRS, MCS (2001BC), MCTFR, MIDUS, NCDS (1958BC), Texas, TwinLife, SOEP-G, STR, WLS</t>
  </si>
  <si>
    <t>1970BC, Addhealth,Dunedin, ELSA, E-Risk, MCS (2001BC), MIDUS, Texas, TwinLife, SOEP-G, WLS</t>
  </si>
  <si>
    <t>1970BC, AddHealth, Dunedin, ELSA, E-Risk, FinnGen, HRS, MCS (2001BC), MCTFR, MIDUS, NCDS (1958BC), Texas, TwinLife, SOEP-G, WLS</t>
  </si>
  <si>
    <t>1958BC (NCDS)</t>
  </si>
  <si>
    <t>2001BC (MCS)</t>
  </si>
  <si>
    <t>[5]-[7]</t>
  </si>
  <si>
    <t>ALSPAC, EBB, FinnGen, HRS, NCDS (1958BC), STR</t>
  </si>
  <si>
    <t>1970BC (BCS70)</t>
  </si>
  <si>
    <t>1970 British Cohort Study</t>
  </si>
  <si>
    <t>23andMe, Saunders et al. EUR excl 23andMe</t>
  </si>
  <si>
    <t>P</t>
  </si>
  <si>
    <t>Supplementary Table 5: Causal effects and population associations in UKB by demographic groups (Mostafavi et al. replication)</t>
  </si>
  <si>
    <t>Group</t>
  </si>
  <si>
    <t>Model</t>
  </si>
  <si>
    <t>Older</t>
  </si>
  <si>
    <t>Causal Effect</t>
  </si>
  <si>
    <t>Population Association</t>
  </si>
  <si>
    <t>Younger</t>
  </si>
  <si>
    <t>Female</t>
  </si>
  <si>
    <t>Male</t>
  </si>
  <si>
    <t>Meta-Analysis UKB + WLS</t>
  </si>
  <si>
    <r>
      <t>P</t>
    </r>
    <r>
      <rPr>
        <b/>
        <i/>
        <vertAlign val="subscript"/>
        <sz val="8"/>
        <color theme="1"/>
        <rFont val="Georgia"/>
        <family val="1"/>
      </rPr>
      <t>HB</t>
    </r>
  </si>
  <si>
    <t>(0.192,  0.240)</t>
  </si>
  <si>
    <t>(0.206,  0.242)</t>
  </si>
  <si>
    <t>(0.204,  0.250)</t>
  </si>
  <si>
    <t>(0.213,  0.248)</t>
  </si>
  <si>
    <t>(0.319,  0.362)</t>
  </si>
  <si>
    <t>(0.326,  0.352)</t>
  </si>
  <si>
    <t>(0.278,  0.328)</t>
  </si>
  <si>
    <t>(0.284,  0.314)</t>
  </si>
  <si>
    <t>(1.004,  1.240)</t>
  </si>
  <si>
    <t>(1.065,  1.205)</t>
  </si>
  <si>
    <t>(0.017, 0.025)</t>
  </si>
  <si>
    <t>(0.054, 0.069)</t>
  </si>
  <si>
    <t>(0.020, 0.028)</t>
  </si>
  <si>
    <t>(0.061, 0.075)</t>
  </si>
  <si>
    <t>(0.034, 0.044)</t>
  </si>
  <si>
    <t>(0.107, 0.125)</t>
  </si>
  <si>
    <t>(0.025, 0.036)</t>
  </si>
  <si>
    <t>(0.080, 0.010)</t>
  </si>
  <si>
    <t>Panel A. Interaction models</t>
  </si>
  <si>
    <t>Beta</t>
  </si>
  <si>
    <t>Beta ratio</t>
  </si>
  <si>
    <t>Panel B. Stratified models</t>
  </si>
  <si>
    <r>
      <t xml:space="preserve">Incremental </t>
    </r>
    <r>
      <rPr>
        <i/>
        <sz val="8"/>
        <color theme="1"/>
        <rFont val="Georgia"/>
        <family val="1"/>
      </rPr>
      <t>R</t>
    </r>
    <r>
      <rPr>
        <vertAlign val="superscript"/>
        <sz val="8"/>
        <color theme="1"/>
        <rFont val="Georgia"/>
        <family val="1"/>
      </rPr>
      <t>2</t>
    </r>
  </si>
  <si>
    <r>
      <t xml:space="preserve">Incremental </t>
    </r>
    <r>
      <rPr>
        <i/>
        <sz val="8"/>
        <color theme="1"/>
        <rFont val="Georgia"/>
        <family val="1"/>
      </rPr>
      <t>R</t>
    </r>
    <r>
      <rPr>
        <vertAlign val="superscript"/>
        <sz val="8"/>
        <color theme="1"/>
        <rFont val="Georgia"/>
        <family val="1"/>
      </rPr>
      <t>2</t>
    </r>
    <r>
      <rPr>
        <sz val="8"/>
        <color theme="1"/>
        <rFont val="Georgia"/>
        <family val="1"/>
      </rPr>
      <t xml:space="preserve"> ratio</t>
    </r>
  </si>
  <si>
    <t>(0.911, 1.195)</t>
  </si>
  <si>
    <t>(0.942, 1.115)</t>
  </si>
  <si>
    <t>(0.941, 1.508)</t>
  </si>
  <si>
    <t>(0.952, 1.301)</t>
  </si>
  <si>
    <t>(1.040, 1.616)</t>
  </si>
  <si>
    <t>(1.148, 1.487)</t>
  </si>
  <si>
    <r>
      <rPr>
        <i/>
        <sz val="8"/>
        <color theme="1"/>
        <rFont val="Georgia"/>
        <family val="1"/>
      </rPr>
      <t xml:space="preserve">Notes: </t>
    </r>
    <r>
      <rPr>
        <sz val="8"/>
        <color theme="1"/>
        <rFont val="Georgia"/>
        <family val="1"/>
      </rPr>
      <t>All phenotypes are residualized: As a general rule, if a single measurement in time was available, we residualized the phenotype on a second-degree polynomial in age, sex, and their interactions. If multiple measurements were available, we either did the same residualization in each wave and took the mean across waves or we took the maximum across waves and then residualized on birth year, sex, and their interactions (see Supplementary Table 2 for UKB3 and 14 for HRS and WLS). Δ</t>
    </r>
    <r>
      <rPr>
        <i/>
        <sz val="8"/>
        <color theme="1"/>
        <rFont val="Georgia"/>
        <family val="1"/>
      </rPr>
      <t>R</t>
    </r>
    <r>
      <rPr>
        <vertAlign val="superscript"/>
        <sz val="8"/>
        <color theme="1"/>
        <rFont val="Georgia"/>
        <family val="1"/>
      </rPr>
      <t>2</t>
    </r>
    <r>
      <rPr>
        <sz val="8"/>
        <color theme="1"/>
        <rFont val="Georgia"/>
        <family val="1"/>
      </rPr>
      <t xml:space="preserve"> is the the incremental </t>
    </r>
    <r>
      <rPr>
        <i/>
        <sz val="8"/>
        <color theme="1"/>
        <rFont val="Georgia"/>
        <family val="1"/>
      </rPr>
      <t>R</t>
    </r>
    <r>
      <rPr>
        <vertAlign val="superscript"/>
        <sz val="8"/>
        <color theme="1"/>
        <rFont val="Georgia"/>
        <family val="1"/>
      </rPr>
      <t>2</t>
    </r>
    <r>
      <rPr>
        <sz val="8"/>
        <color theme="1"/>
        <rFont val="Georgia"/>
        <family val="1"/>
      </rPr>
      <t xml:space="preserve">, calculated as the difference in explained variance when adding the PGI to a regression of the residualized phenotype on the first 10 principal components of the genetic data. In the UKB3 prediction analyses, we included an additional 10 principal components and 106 genotyping batch dummies. 95% confidence intervals were obtained by bootstrapping with 1000 repetitions. 
</t>
    </r>
  </si>
  <si>
    <r>
      <t>Notes: "Meta-analysis code" is the code for the meta-analysis version (see Supplementary Table 11 for information about which analysis the code refers to). "</t>
    </r>
    <r>
      <rPr>
        <i/>
        <sz val="8"/>
        <color theme="1"/>
        <rFont val="Georgia"/>
        <family val="1"/>
      </rPr>
      <t>N</t>
    </r>
    <r>
      <rPr>
        <i/>
        <vertAlign val="subscript"/>
        <sz val="8"/>
        <color theme="1"/>
        <rFont val="Georgia"/>
        <family val="1"/>
      </rPr>
      <t>eff</t>
    </r>
    <r>
      <rPr>
        <sz val="8"/>
        <color theme="1"/>
        <rFont val="Georgia"/>
        <family val="1"/>
      </rPr>
      <t>" is the effective sample size (Methods, section "Criteria for Inclusion in Repository") for the MTAG output file used to make the PGI. "#SNPs with N&lt;0.8 median(</t>
    </r>
    <r>
      <rPr>
        <i/>
        <sz val="8"/>
        <color theme="1"/>
        <rFont val="Georgia"/>
        <family val="1"/>
      </rPr>
      <t>N</t>
    </r>
    <r>
      <rPr>
        <i/>
        <vertAlign val="subscript"/>
        <sz val="8"/>
        <color theme="1"/>
        <rFont val="Georgia"/>
        <family val="1"/>
      </rPr>
      <t>eff</t>
    </r>
    <r>
      <rPr>
        <sz val="8"/>
        <color theme="1"/>
        <rFont val="Georgia"/>
        <family val="1"/>
      </rPr>
      <t xml:space="preserve">)" is the number of SNPs dropped by the effective sample size filter. "GWAS-equivalent N" is the GWAS-equivalent sample size reported in the MTAG output for the MTAG output file used to make the PGI. </t>
    </r>
  </si>
  <si>
    <r>
      <t>ψ-</t>
    </r>
    <r>
      <rPr>
        <b/>
        <sz val="8"/>
        <color rgb="FF000000"/>
        <rFont val="Calibri"/>
        <family val="2"/>
      </rPr>
      <t>δ</t>
    </r>
  </si>
  <si>
    <t>ψ-δ difference</t>
  </si>
  <si>
    <t>Continuous</t>
  </si>
  <si>
    <t>Binary</t>
  </si>
  <si>
    <t>Phenotype scale</t>
  </si>
  <si>
    <t xml:space="preserve">Notes: "Population association" is the coefficient of the PGI from a regression that controls for sex, a second degree polynomial in age, their interactions and the top 10 PCs. "Causal effect" is the coefficient from a regression that additionally controls for parental PGIs. In UKB, the population association was estimated using the third partition (UKB3). In WLS, it was estimated in a subset of the cohort that contains no related individuals. Column C (Phenotype scale) denotes whether the phenotype measure is continuous or binary. For binary phenotypes, the reported effect sizes are odds ratios from generalized mixed linear models with logistic link function. For quantitative phenotypes, we estimated causal effects using mixed linear models (in snipar). The causal effect - population association ratios and differences for binary phenotypes are obtained using log(OR)s. Standard errors for the ratios were obtained using the delta method. Prostate cancer was excluded from WLS as the general linear mixed model failed to converge. The meta-analysis is inverse-variance weighted, with weights set to zero for phenotypes that are unavailable in a cohort. </t>
  </si>
  <si>
    <r>
      <rPr>
        <i/>
        <sz val="8"/>
        <color theme="1"/>
        <rFont val="Georgia"/>
        <family val="1"/>
      </rPr>
      <t>Notes</t>
    </r>
    <r>
      <rPr>
        <sz val="8"/>
        <color theme="1"/>
        <rFont val="Georgia"/>
        <family val="1"/>
      </rPr>
      <t>: "MAF" is minor allele frequency. "HWE" is Hardy-Weinberg equilibrium. "INFO" is imputation accuracy. "avgCall" is average posterior call rate. "# SNPs" is the number of SNPs that were imputed for the missing parent(s). "Phased?" denotes whether phased haplotypes were used in the imputation of parental genotypes. "</t>
    </r>
    <r>
      <rPr>
        <i/>
        <sz val="8"/>
        <color theme="1"/>
        <rFont val="Georgia"/>
        <family val="1"/>
      </rPr>
      <t>N</t>
    </r>
    <r>
      <rPr>
        <sz val="8"/>
        <color theme="1"/>
        <rFont val="Georgia"/>
        <family val="1"/>
      </rPr>
      <t xml:space="preserve"> genotyped non-MZ sibling pairs" is the number of genotyped non-monozygotic-twin sibling pairs in the sample. Note that one individual may be counted in multiple pairs if there are more than two genotyped siblings in a family (e.g. if there are four genotyped siblings, there are six sibling pairs). "</t>
    </r>
    <r>
      <rPr>
        <i/>
        <sz val="8"/>
        <color theme="1"/>
        <rFont val="Georgia"/>
        <family val="1"/>
      </rPr>
      <t>N</t>
    </r>
    <r>
      <rPr>
        <sz val="8"/>
        <color theme="1"/>
        <rFont val="Georgia"/>
        <family val="1"/>
      </rPr>
      <t xml:space="preserve"> genotyped parent-offspring pairs" is the number of genotyped parent-offspring pairs. An individual can appear in multiple pairs if both the mother and father are genotyped (mother-offspring, father-offspring) or if there are more than one genotyped sibling (including MZ twins, e.g. mother-MZtwin1, mother-MZtwin2)." </t>
    </r>
    <r>
      <rPr>
        <i/>
        <sz val="8"/>
        <color theme="1"/>
        <rFont val="Georgia"/>
        <family val="1"/>
      </rPr>
      <t>N</t>
    </r>
    <r>
      <rPr>
        <sz val="8"/>
        <color theme="1"/>
        <rFont val="Georgia"/>
        <family val="1"/>
      </rPr>
      <t xml:space="preserve"> parent-offspring trios post-imputation" is the number of individuals with genotyped/imputed parents after the parental genotype imputation. * For UKB, we had access to phased haplotypes for SNPs on the genotyping array, bot not for imputed SNPs. In order to make use of phasing information while not limiting the parental genotype imputation to only genotyped SNPs, we used both types of data. One set of files was produced using the phased haplotypes, and another using the un-phased SNPs with the above specified imputation accuracy cutoff. The resulting imputed genotype files were then merged, with the imputed genotypes produced from the phased data taking precedence over those imputed from the un-phased data when there was an overlap.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</si>
</sst>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0.000"/>
    <numFmt numFmtId="166" formatCode="#,##0.0000"/>
    <numFmt numFmtId="167" formatCode="0.0%"/>
    <numFmt numFmtId="168" formatCode="_(* #,##0_);_(* \(#,##0\);_(* &quot;-&quot;??_);_(@_)"/>
    <numFmt numFmtId="169" formatCode="0.0000000000000000"/>
    <numFmt numFmtId="170" formatCode="0.0000"/>
    <numFmt numFmtId="171" formatCode="0.0E+00"/>
  </numFmts>
  <fonts count="40">
    <font>
      <sz val="11"/>
      <color theme="1"/>
      <name val="Calibri"/>
      <family val="2"/>
      <scheme val="minor"/>
    </font>
    <font>
      <sz val="11"/>
      <color theme="1"/>
      <name val="Calibri"/>
      <family val="2"/>
      <scheme val="minor"/>
    </font>
    <font>
      <b/>
      <sz val="8"/>
      <color theme="1"/>
      <name val="Georgia"/>
      <family val="1"/>
    </font>
    <font>
      <b/>
      <i/>
      <sz val="8"/>
      <color theme="1"/>
      <name val="Georgia"/>
      <family val="1"/>
    </font>
    <font>
      <sz val="11"/>
      <color theme="1"/>
      <name val="Calibri"/>
      <family val="2"/>
    </font>
    <font>
      <b/>
      <sz val="11"/>
      <name val="Arial"/>
      <family val="2"/>
    </font>
    <font>
      <b/>
      <sz val="8"/>
      <name val="Georgia"/>
      <family val="1"/>
    </font>
    <font>
      <sz val="4"/>
      <color theme="1"/>
      <name val="Georgia"/>
      <family val="1"/>
    </font>
    <font>
      <sz val="8"/>
      <color theme="1"/>
      <name val="Georgia"/>
      <family val="1"/>
    </font>
    <font>
      <i/>
      <sz val="8"/>
      <color theme="1"/>
      <name val="Georgia"/>
      <family val="1"/>
    </font>
    <font>
      <sz val="8"/>
      <name val="Georgia"/>
      <family val="1"/>
    </font>
    <font>
      <sz val="12"/>
      <color rgb="FF000000"/>
      <name val="Calibri"/>
      <family val="2"/>
      <charset val="1"/>
    </font>
    <font>
      <sz val="11"/>
      <color theme="1"/>
      <name val="Georgia"/>
      <family val="1"/>
    </font>
    <font>
      <sz val="11"/>
      <name val="Calibri"/>
      <family val="2"/>
      <scheme val="minor"/>
    </font>
    <font>
      <b/>
      <vertAlign val="superscript"/>
      <sz val="8"/>
      <color theme="1"/>
      <name val="Georgia"/>
      <family val="1"/>
    </font>
    <font>
      <b/>
      <vertAlign val="subscript"/>
      <sz val="8"/>
      <color theme="1"/>
      <name val="Georgia"/>
      <family val="1"/>
    </font>
    <font>
      <b/>
      <i/>
      <sz val="8"/>
      <name val="Georgia"/>
      <family val="1"/>
    </font>
    <font>
      <sz val="11"/>
      <color rgb="FFFF0000"/>
      <name val="Calibri"/>
      <family val="2"/>
    </font>
    <font>
      <sz val="8"/>
      <color rgb="FFFF0000"/>
      <name val="Georgia"/>
      <family val="1"/>
    </font>
    <font>
      <sz val="8"/>
      <color rgb="FF000000"/>
      <name val="Georgia"/>
      <family val="1"/>
    </font>
    <font>
      <sz val="9"/>
      <color theme="1"/>
      <name val="Georgia"/>
      <family val="1"/>
    </font>
    <font>
      <sz val="8"/>
      <color theme="1"/>
      <name val="Helvetica Neue"/>
      <family val="2"/>
    </font>
    <font>
      <vertAlign val="superscript"/>
      <sz val="8"/>
      <color theme="1"/>
      <name val="Georgia"/>
      <family val="1"/>
    </font>
    <font>
      <sz val="8"/>
      <color rgb="FF222222"/>
      <name val="Georgia"/>
      <family val="1"/>
    </font>
    <font>
      <b/>
      <sz val="8"/>
      <color rgb="FF000000"/>
      <name val="Georgia"/>
      <family val="1"/>
    </font>
    <font>
      <sz val="11"/>
      <color theme="1"/>
      <name val="Arial"/>
      <family val="2"/>
    </font>
    <font>
      <i/>
      <sz val="8"/>
      <color rgb="FF000000"/>
      <name val="Georgia"/>
      <family val="1"/>
    </font>
    <font>
      <sz val="8"/>
      <name val="Calibri"/>
      <family val="2"/>
      <scheme val="minor"/>
    </font>
    <font>
      <b/>
      <sz val="11"/>
      <color theme="1"/>
      <name val="Calibri"/>
      <family val="2"/>
      <scheme val="minor"/>
    </font>
    <font>
      <sz val="12"/>
      <color theme="1"/>
      <name val="Aptos Narrow"/>
      <family val="2"/>
    </font>
    <font>
      <sz val="4"/>
      <color rgb="FF000000"/>
      <name val="Georgia"/>
      <family val="1"/>
    </font>
    <font>
      <sz val="11"/>
      <color rgb="FF000000"/>
      <name val="Calibri"/>
      <family val="2"/>
    </font>
    <font>
      <b/>
      <i/>
      <vertAlign val="subscript"/>
      <sz val="8"/>
      <color theme="1"/>
      <name val="Georgia"/>
      <family val="1"/>
    </font>
    <font>
      <vertAlign val="subscript"/>
      <sz val="8"/>
      <color theme="1"/>
      <name val="Georgia"/>
      <family val="1"/>
    </font>
    <font>
      <i/>
      <vertAlign val="subscript"/>
      <sz val="8"/>
      <color theme="1"/>
      <name val="Georgia"/>
      <family val="1"/>
    </font>
    <font>
      <i/>
      <sz val="9"/>
      <color theme="1"/>
      <name val="Georgia"/>
      <family val="1"/>
    </font>
    <font>
      <i/>
      <vertAlign val="superscript"/>
      <sz val="9"/>
      <color theme="1"/>
      <name val="Georgia"/>
      <family val="1"/>
    </font>
    <font>
      <vertAlign val="subscript"/>
      <sz val="9"/>
      <color theme="1"/>
      <name val="Georgia"/>
      <family val="1"/>
    </font>
    <font>
      <i/>
      <vertAlign val="superscript"/>
      <sz val="8"/>
      <color theme="1"/>
      <name val="Georgia"/>
      <family val="1"/>
    </font>
    <font>
      <b/>
      <sz val="8"/>
      <color rgb="FF000000"/>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theme="2"/>
        <bgColor indexed="64"/>
      </patternFill>
    </fill>
  </fills>
  <borders count="36">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indexed="64"/>
      </left>
      <right style="thin">
        <color indexed="64"/>
      </right>
      <top style="thin">
        <color rgb="FF000000"/>
      </top>
      <bottom/>
      <diagonal/>
    </border>
    <border>
      <left style="thin">
        <color indexed="64"/>
      </left>
      <right style="thin">
        <color indexed="64"/>
      </right>
      <top style="thin">
        <color indexed="64"/>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thin">
        <color indexed="64"/>
      </right>
      <top style="thin">
        <color rgb="FF000000"/>
      </top>
      <bottom/>
      <diagonal/>
    </border>
    <border>
      <left/>
      <right style="thin">
        <color rgb="FF000000"/>
      </right>
      <top/>
      <bottom style="thin">
        <color indexed="64"/>
      </bottom>
      <diagonal/>
    </border>
    <border>
      <left style="thin">
        <color rgb="FF000000"/>
      </left>
      <right style="thin">
        <color rgb="FF000000"/>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indexed="64"/>
      </right>
      <top/>
      <bottom style="thin">
        <color rgb="FF000000"/>
      </bottom>
      <diagonal/>
    </border>
    <border>
      <left/>
      <right style="thin">
        <color rgb="FF000000"/>
      </right>
      <top/>
      <bottom/>
      <diagonal/>
    </border>
    <border>
      <left style="thin">
        <color rgb="FF000000"/>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rgb="FF000000"/>
      </left>
      <right style="thin">
        <color indexed="64"/>
      </right>
      <top/>
      <bottom/>
      <diagonal/>
    </border>
    <border>
      <left style="thin">
        <color rgb="FF000000"/>
      </left>
      <right/>
      <top/>
      <bottom/>
      <diagonal/>
    </border>
    <border>
      <left style="thin">
        <color rgb="FF000000"/>
      </left>
      <right style="thin">
        <color indexed="64"/>
      </right>
      <top/>
      <bottom style="thin">
        <color rgb="FF000000"/>
      </bottom>
      <diagonal/>
    </border>
    <border>
      <left style="thin">
        <color indexed="64"/>
      </left>
      <right style="thin">
        <color indexed="64"/>
      </right>
      <top/>
      <bottom style="thin">
        <color rgb="FF000000"/>
      </bottom>
      <diagonal/>
    </border>
    <border>
      <left style="thin">
        <color rgb="FF000000"/>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rgb="FF000000"/>
      </right>
      <top/>
      <bottom/>
      <diagonal/>
    </border>
  </borders>
  <cellStyleXfs count="5">
    <xf numFmtId="0" fontId="0" fillId="0" borderId="0"/>
    <xf numFmtId="0" fontId="1" fillId="0" borderId="0"/>
    <xf numFmtId="0" fontId="11" fillId="0" borderId="0"/>
    <xf numFmtId="0" fontId="1" fillId="0" borderId="0"/>
    <xf numFmtId="164" fontId="1" fillId="0" borderId="0" applyFont="0" applyFill="0" applyBorder="0" applyAlignment="0" applyProtection="0"/>
  </cellStyleXfs>
  <cellXfs count="717">
    <xf numFmtId="0" fontId="0" fillId="0" borderId="0" xfId="0"/>
    <xf numFmtId="0" fontId="0" fillId="0" borderId="0" xfId="0" applyAlignment="1">
      <alignment vertical="center"/>
    </xf>
    <xf numFmtId="0" fontId="4" fillId="0" borderId="0" xfId="0" applyFont="1" applyAlignment="1">
      <alignment horizontal="left" vertical="center"/>
    </xf>
    <xf numFmtId="0" fontId="0" fillId="0" borderId="2" xfId="0" applyBorder="1" applyAlignment="1">
      <alignment vertical="center"/>
    </xf>
    <xf numFmtId="0" fontId="7" fillId="0" borderId="0" xfId="0" applyFont="1" applyAlignment="1">
      <alignment horizontal="left" vertical="center" wrapText="1"/>
    </xf>
    <xf numFmtId="3" fontId="8" fillId="0" borderId="0" xfId="0" applyNumberFormat="1" applyFont="1" applyAlignment="1">
      <alignment horizontal="center" vertical="center" wrapText="1"/>
    </xf>
    <xf numFmtId="3" fontId="7" fillId="0" borderId="0" xfId="0" applyNumberFormat="1" applyFont="1" applyAlignment="1">
      <alignment horizontal="center" vertical="center" wrapText="1"/>
    </xf>
    <xf numFmtId="3" fontId="7" fillId="0" borderId="0" xfId="0" applyNumberFormat="1" applyFont="1" applyAlignment="1">
      <alignment horizontal="left" vertical="center" wrapText="1"/>
    </xf>
    <xf numFmtId="0" fontId="8" fillId="0" borderId="0" xfId="0" applyFont="1" applyAlignment="1">
      <alignment horizontal="left" vertical="center"/>
    </xf>
    <xf numFmtId="0" fontId="8" fillId="0" borderId="0" xfId="0" applyFont="1" applyAlignment="1">
      <alignment vertical="center"/>
    </xf>
    <xf numFmtId="0" fontId="8" fillId="0" borderId="0" xfId="0" applyFont="1" applyAlignment="1">
      <alignment horizontal="left" vertical="center" wrapText="1"/>
    </xf>
    <xf numFmtId="3" fontId="8" fillId="0" borderId="0" xfId="0" applyNumberFormat="1" applyFont="1" applyAlignment="1">
      <alignment horizontal="center" vertical="center"/>
    </xf>
    <xf numFmtId="3" fontId="8" fillId="0" borderId="0" xfId="0" applyNumberFormat="1" applyFont="1" applyAlignment="1">
      <alignment vertical="center" wrapText="1"/>
    </xf>
    <xf numFmtId="3" fontId="8" fillId="0" borderId="0" xfId="0" applyNumberFormat="1" applyFont="1" applyAlignment="1">
      <alignment horizontal="left" vertical="center" wrapText="1"/>
    </xf>
    <xf numFmtId="0" fontId="4" fillId="0" borderId="0" xfId="0" applyFont="1" applyAlignment="1">
      <alignment vertical="center"/>
    </xf>
    <xf numFmtId="0" fontId="8" fillId="0" borderId="0" xfId="0" applyFont="1" applyAlignment="1">
      <alignment vertical="center" wrapText="1"/>
    </xf>
    <xf numFmtId="0" fontId="8" fillId="0" borderId="0" xfId="1" applyFont="1" applyAlignment="1">
      <alignment horizontal="left" vertical="center"/>
    </xf>
    <xf numFmtId="0" fontId="8" fillId="0" borderId="0" xfId="1" applyFont="1" applyAlignment="1">
      <alignment vertical="center"/>
    </xf>
    <xf numFmtId="0" fontId="12" fillId="0" borderId="0" xfId="0" applyFont="1" applyAlignment="1">
      <alignment vertical="center"/>
    </xf>
    <xf numFmtId="3" fontId="4" fillId="0" borderId="0" xfId="0" applyNumberFormat="1" applyFont="1" applyAlignment="1">
      <alignment horizontal="center" vertical="center"/>
    </xf>
    <xf numFmtId="3" fontId="4" fillId="0" borderId="0" xfId="0" applyNumberFormat="1" applyFont="1" applyAlignment="1">
      <alignment horizontal="left" vertical="center"/>
    </xf>
    <xf numFmtId="0" fontId="0" fillId="0" borderId="0" xfId="0" applyAlignment="1">
      <alignment horizontal="left" vertical="center"/>
    </xf>
    <xf numFmtId="3" fontId="0" fillId="0" borderId="0" xfId="0" applyNumberFormat="1" applyAlignment="1">
      <alignment horizontal="center" vertical="center"/>
    </xf>
    <xf numFmtId="3" fontId="0" fillId="0" borderId="0" xfId="0" applyNumberFormat="1" applyAlignment="1">
      <alignment vertical="center"/>
    </xf>
    <xf numFmtId="0" fontId="8" fillId="0" borderId="2" xfId="0" applyFont="1" applyBorder="1" applyAlignment="1">
      <alignment horizontal="left" vertical="center" wrapText="1"/>
    </xf>
    <xf numFmtId="3" fontId="8" fillId="0" borderId="2" xfId="0" applyNumberFormat="1" applyFont="1" applyBorder="1" applyAlignment="1">
      <alignment horizontal="center" vertical="center"/>
    </xf>
    <xf numFmtId="3" fontId="8" fillId="0" borderId="2" xfId="0" applyNumberFormat="1" applyFont="1" applyBorder="1" applyAlignment="1">
      <alignment horizontal="center" vertical="center" wrapText="1"/>
    </xf>
    <xf numFmtId="3" fontId="8" fillId="0" borderId="2" xfId="0" applyNumberFormat="1" applyFont="1" applyBorder="1" applyAlignment="1">
      <alignment horizontal="left" vertical="center" wrapText="1"/>
    </xf>
    <xf numFmtId="0" fontId="8" fillId="0" borderId="2" xfId="0" applyFont="1" applyBorder="1" applyAlignment="1">
      <alignment vertical="center"/>
    </xf>
    <xf numFmtId="0" fontId="10" fillId="0" borderId="0" xfId="0" applyFont="1" applyAlignment="1">
      <alignment horizontal="left" vertical="center" wrapText="1"/>
    </xf>
    <xf numFmtId="3" fontId="10" fillId="0" borderId="0" xfId="0" applyNumberFormat="1" applyFont="1" applyAlignment="1">
      <alignment horizontal="center" vertical="center"/>
    </xf>
    <xf numFmtId="3" fontId="10" fillId="0" borderId="0" xfId="0" applyNumberFormat="1" applyFont="1" applyAlignment="1">
      <alignment horizontal="center" vertical="center" wrapText="1"/>
    </xf>
    <xf numFmtId="3" fontId="10" fillId="0" borderId="0" xfId="0" applyNumberFormat="1" applyFont="1" applyAlignment="1">
      <alignment horizontal="left" vertical="center" wrapText="1"/>
    </xf>
    <xf numFmtId="0" fontId="10" fillId="0" borderId="0" xfId="0" applyFont="1" applyAlignment="1">
      <alignment vertical="center"/>
    </xf>
    <xf numFmtId="0" fontId="10" fillId="0" borderId="2" xfId="0" applyFont="1" applyBorder="1" applyAlignment="1">
      <alignment horizontal="left" vertical="center" wrapText="1"/>
    </xf>
    <xf numFmtId="3" fontId="10" fillId="0" borderId="2" xfId="0" applyNumberFormat="1" applyFont="1" applyBorder="1" applyAlignment="1">
      <alignment horizontal="center" vertical="center" wrapText="1"/>
    </xf>
    <xf numFmtId="3" fontId="8" fillId="0" borderId="1" xfId="0" applyNumberFormat="1" applyFont="1" applyBorder="1" applyAlignment="1">
      <alignment horizontal="center" vertical="center" wrapText="1"/>
    </xf>
    <xf numFmtId="0" fontId="8" fillId="0" borderId="1" xfId="0" applyFont="1" applyBorder="1" applyAlignment="1">
      <alignment horizontal="left" vertical="center"/>
    </xf>
    <xf numFmtId="0" fontId="8" fillId="0" borderId="1" xfId="0" applyFont="1" applyBorder="1" applyAlignment="1">
      <alignment vertical="center"/>
    </xf>
    <xf numFmtId="0" fontId="8" fillId="0" borderId="1" xfId="0" applyFont="1" applyBorder="1" applyAlignment="1">
      <alignment horizontal="left" vertical="center" wrapText="1"/>
    </xf>
    <xf numFmtId="3" fontId="8" fillId="0" borderId="1" xfId="0" applyNumberFormat="1" applyFont="1" applyBorder="1" applyAlignment="1">
      <alignment horizontal="left" vertical="center" wrapText="1"/>
    </xf>
    <xf numFmtId="0" fontId="8" fillId="0" borderId="2" xfId="0" applyFont="1" applyBorder="1" applyAlignment="1">
      <alignment vertical="center" wrapText="1"/>
    </xf>
    <xf numFmtId="0" fontId="8" fillId="0" borderId="3" xfId="0" applyFont="1" applyBorder="1" applyAlignment="1">
      <alignment horizontal="left" vertical="center" wrapText="1"/>
    </xf>
    <xf numFmtId="3" fontId="8" fillId="0" borderId="3" xfId="0" applyNumberFormat="1" applyFont="1" applyBorder="1" applyAlignment="1">
      <alignment horizontal="center" vertical="center" wrapText="1"/>
    </xf>
    <xf numFmtId="3" fontId="8" fillId="0" borderId="3" xfId="0" applyNumberFormat="1" applyFont="1" applyBorder="1" applyAlignment="1">
      <alignment horizontal="left" vertical="center" wrapText="1"/>
    </xf>
    <xf numFmtId="3" fontId="8" fillId="0" borderId="3" xfId="0" applyNumberFormat="1" applyFont="1" applyBorder="1" applyAlignment="1">
      <alignment vertical="center" wrapText="1"/>
    </xf>
    <xf numFmtId="3" fontId="8" fillId="0" borderId="1" xfId="0" applyNumberFormat="1" applyFont="1" applyBorder="1" applyAlignment="1">
      <alignment horizontal="center" vertical="center"/>
    </xf>
    <xf numFmtId="3" fontId="8" fillId="0" borderId="1" xfId="0" applyNumberFormat="1" applyFont="1" applyBorder="1" applyAlignment="1">
      <alignment vertical="center" wrapText="1"/>
    </xf>
    <xf numFmtId="0" fontId="8" fillId="0" borderId="2" xfId="1" applyFont="1" applyBorder="1" applyAlignment="1">
      <alignment horizontal="left" vertical="center"/>
    </xf>
    <xf numFmtId="3" fontId="8" fillId="0" borderId="2" xfId="0" applyNumberFormat="1" applyFont="1" applyBorder="1" applyAlignment="1">
      <alignment vertical="center" wrapText="1"/>
    </xf>
    <xf numFmtId="0" fontId="8" fillId="0" borderId="3" xfId="1" applyFont="1" applyBorder="1" applyAlignment="1">
      <alignment horizontal="left" vertical="center"/>
    </xf>
    <xf numFmtId="0" fontId="9" fillId="2" borderId="3" xfId="0" applyFont="1" applyFill="1" applyBorder="1" applyAlignment="1">
      <alignment vertical="center"/>
    </xf>
    <xf numFmtId="0" fontId="8" fillId="2" borderId="3" xfId="0" applyFont="1" applyFill="1" applyBorder="1" applyAlignment="1">
      <alignment horizontal="left" vertical="center" wrapText="1"/>
    </xf>
    <xf numFmtId="3" fontId="8" fillId="2" borderId="3" xfId="0" applyNumberFormat="1" applyFont="1" applyFill="1" applyBorder="1" applyAlignment="1">
      <alignment horizontal="center" vertical="center" wrapText="1"/>
    </xf>
    <xf numFmtId="3" fontId="8" fillId="2" borderId="3" xfId="0" applyNumberFormat="1" applyFont="1" applyFill="1" applyBorder="1" applyAlignment="1">
      <alignment horizontal="left" vertical="center" wrapText="1"/>
    </xf>
    <xf numFmtId="0" fontId="8" fillId="2" borderId="3" xfId="0" applyFont="1" applyFill="1" applyBorder="1" applyAlignment="1">
      <alignment vertical="center"/>
    </xf>
    <xf numFmtId="0" fontId="9" fillId="2" borderId="3" xfId="0" applyFont="1" applyFill="1" applyBorder="1" applyAlignment="1">
      <alignment horizontal="left" vertical="center"/>
    </xf>
    <xf numFmtId="0" fontId="7" fillId="2" borderId="3" xfId="0" applyFont="1" applyFill="1" applyBorder="1" applyAlignment="1">
      <alignment horizontal="left" vertical="center" wrapText="1"/>
    </xf>
    <xf numFmtId="3" fontId="7" fillId="2" borderId="3" xfId="0" applyNumberFormat="1" applyFont="1" applyFill="1" applyBorder="1" applyAlignment="1">
      <alignment horizontal="center" vertical="center" wrapText="1"/>
    </xf>
    <xf numFmtId="3" fontId="7" fillId="2" borderId="3" xfId="0" applyNumberFormat="1" applyFont="1" applyFill="1" applyBorder="1" applyAlignment="1">
      <alignment horizontal="left" vertical="center" wrapText="1"/>
    </xf>
    <xf numFmtId="0" fontId="8" fillId="2" borderId="3" xfId="0" applyFont="1" applyFill="1" applyBorder="1" applyAlignment="1">
      <alignment horizontal="left" vertical="center"/>
    </xf>
    <xf numFmtId="0" fontId="9" fillId="2" borderId="3" xfId="1" applyFont="1" applyFill="1" applyBorder="1" applyAlignment="1">
      <alignment vertical="center"/>
    </xf>
    <xf numFmtId="0" fontId="8" fillId="2" borderId="3" xfId="1" applyFont="1" applyFill="1" applyBorder="1" applyAlignment="1">
      <alignment horizontal="left" vertical="center"/>
    </xf>
    <xf numFmtId="3" fontId="8" fillId="2" borderId="3" xfId="0" applyNumberFormat="1" applyFont="1" applyFill="1" applyBorder="1" applyAlignment="1">
      <alignment vertical="center" wrapText="1"/>
    </xf>
    <xf numFmtId="0" fontId="8" fillId="0" borderId="3" xfId="1" applyFont="1" applyBorder="1" applyAlignment="1">
      <alignment vertical="center"/>
    </xf>
    <xf numFmtId="3" fontId="8" fillId="0" borderId="3" xfId="0" applyNumberFormat="1" applyFont="1" applyBorder="1" applyAlignment="1">
      <alignment horizontal="center" vertical="center"/>
    </xf>
    <xf numFmtId="3" fontId="8" fillId="0" borderId="0" xfId="0" applyNumberFormat="1" applyFont="1" applyAlignment="1">
      <alignment horizontal="center"/>
    </xf>
    <xf numFmtId="3" fontId="8" fillId="0" borderId="2" xfId="0" applyNumberFormat="1" applyFont="1" applyBorder="1" applyAlignment="1">
      <alignment horizontal="center"/>
    </xf>
    <xf numFmtId="0" fontId="8" fillId="0" borderId="3" xfId="1" applyFont="1" applyBorder="1" applyAlignment="1">
      <alignment vertical="center" wrapText="1"/>
    </xf>
    <xf numFmtId="0" fontId="8" fillId="0" borderId="2" xfId="0" applyFont="1" applyBorder="1" applyAlignment="1">
      <alignment horizontal="left" vertical="center"/>
    </xf>
    <xf numFmtId="0" fontId="10" fillId="0" borderId="1" xfId="0" applyFont="1" applyBorder="1" applyAlignment="1">
      <alignment horizontal="left" vertical="center" wrapText="1"/>
    </xf>
    <xf numFmtId="3" fontId="10" fillId="0" borderId="1" xfId="0" applyNumberFormat="1" applyFont="1" applyBorder="1" applyAlignment="1">
      <alignment horizontal="center" vertical="center" wrapText="1"/>
    </xf>
    <xf numFmtId="3" fontId="10" fillId="0" borderId="1" xfId="0" applyNumberFormat="1" applyFont="1" applyBorder="1" applyAlignment="1">
      <alignment horizontal="left" vertical="center" wrapText="1"/>
    </xf>
    <xf numFmtId="3" fontId="10" fillId="0" borderId="1" xfId="0" applyNumberFormat="1" applyFont="1" applyBorder="1" applyAlignment="1">
      <alignment vertical="center" wrapText="1"/>
    </xf>
    <xf numFmtId="0" fontId="13" fillId="0" borderId="0" xfId="0" applyFont="1" applyAlignment="1">
      <alignment vertical="center"/>
    </xf>
    <xf numFmtId="0" fontId="8" fillId="0" borderId="3" xfId="0" applyFont="1" applyBorder="1" applyAlignment="1">
      <alignment horizontal="left" vertical="center"/>
    </xf>
    <xf numFmtId="0" fontId="9" fillId="3" borderId="3" xfId="1" applyFont="1" applyFill="1" applyBorder="1" applyAlignment="1">
      <alignment vertical="center"/>
    </xf>
    <xf numFmtId="0" fontId="8" fillId="3" borderId="3" xfId="1" applyFont="1" applyFill="1" applyBorder="1" applyAlignment="1">
      <alignment horizontal="left" vertical="center"/>
    </xf>
    <xf numFmtId="0" fontId="8" fillId="3" borderId="3" xfId="0" applyFont="1" applyFill="1" applyBorder="1" applyAlignment="1">
      <alignment horizontal="left" vertical="center" wrapText="1"/>
    </xf>
    <xf numFmtId="3" fontId="8" fillId="3" borderId="3" xfId="0" applyNumberFormat="1" applyFont="1" applyFill="1" applyBorder="1" applyAlignment="1">
      <alignment horizontal="center" vertical="center" wrapText="1"/>
    </xf>
    <xf numFmtId="0" fontId="8" fillId="3" borderId="3" xfId="0" applyFont="1" applyFill="1" applyBorder="1" applyAlignment="1">
      <alignment horizontal="left" vertical="center"/>
    </xf>
    <xf numFmtId="3" fontId="8" fillId="3" borderId="3" xfId="0" applyNumberFormat="1" applyFont="1" applyFill="1" applyBorder="1" applyAlignment="1">
      <alignment vertical="center" wrapText="1"/>
    </xf>
    <xf numFmtId="0" fontId="8" fillId="0" borderId="0" xfId="0" applyFont="1"/>
    <xf numFmtId="0" fontId="10" fillId="2" borderId="3" xfId="0" applyFont="1" applyFill="1" applyBorder="1" applyAlignment="1">
      <alignment horizontal="left" vertical="center" wrapText="1"/>
    </xf>
    <xf numFmtId="3" fontId="8" fillId="2" borderId="3" xfId="0" applyNumberFormat="1" applyFont="1" applyFill="1" applyBorder="1" applyAlignment="1">
      <alignment horizontal="center" vertical="center"/>
    </xf>
    <xf numFmtId="3" fontId="10" fillId="2" borderId="3" xfId="0" applyNumberFormat="1" applyFont="1" applyFill="1" applyBorder="1" applyAlignment="1">
      <alignment horizontal="center" vertical="center" wrapText="1"/>
    </xf>
    <xf numFmtId="0" fontId="0" fillId="2" borderId="3" xfId="0" applyFill="1" applyBorder="1" applyAlignment="1">
      <alignment horizontal="left" vertical="center"/>
    </xf>
    <xf numFmtId="0" fontId="4" fillId="2" borderId="3" xfId="0" applyFont="1" applyFill="1" applyBorder="1" applyAlignment="1">
      <alignment horizontal="left" vertical="center"/>
    </xf>
    <xf numFmtId="3" fontId="4" fillId="2" borderId="3" xfId="0" applyNumberFormat="1" applyFont="1" applyFill="1" applyBorder="1" applyAlignment="1">
      <alignment horizontal="center" vertical="center"/>
    </xf>
    <xf numFmtId="3" fontId="4" fillId="2" borderId="3" xfId="0" applyNumberFormat="1" applyFont="1" applyFill="1" applyBorder="1" applyAlignment="1">
      <alignment horizontal="left" vertical="center"/>
    </xf>
    <xf numFmtId="3" fontId="8" fillId="0" borderId="0" xfId="0" applyNumberFormat="1" applyFont="1" applyAlignment="1">
      <alignment vertical="center"/>
    </xf>
    <xf numFmtId="3" fontId="2" fillId="0" borderId="0" xfId="1" applyNumberFormat="1" applyFont="1"/>
    <xf numFmtId="165" fontId="2" fillId="0" borderId="0" xfId="1" applyNumberFormat="1" applyFont="1"/>
    <xf numFmtId="10" fontId="2" fillId="0" borderId="0" xfId="1" applyNumberFormat="1" applyFont="1"/>
    <xf numFmtId="0" fontId="2" fillId="0" borderId="3" xfId="1" applyFont="1" applyBorder="1" applyAlignment="1">
      <alignment horizontal="center" vertical="center"/>
    </xf>
    <xf numFmtId="3" fontId="2" fillId="0" borderId="3" xfId="1" applyNumberFormat="1" applyFont="1" applyBorder="1" applyAlignment="1">
      <alignment horizontal="center" vertical="center"/>
    </xf>
    <xf numFmtId="165" fontId="2" fillId="0" borderId="3" xfId="1" applyNumberFormat="1" applyFont="1" applyBorder="1" applyAlignment="1">
      <alignment horizontal="center" vertical="center"/>
    </xf>
    <xf numFmtId="10" fontId="2" fillId="0" borderId="3" xfId="1" applyNumberFormat="1" applyFont="1" applyBorder="1" applyAlignment="1">
      <alignment horizontal="center" vertical="center"/>
    </xf>
    <xf numFmtId="3" fontId="2" fillId="0" borderId="3" xfId="1" applyNumberFormat="1" applyFont="1" applyBorder="1" applyAlignment="1">
      <alignment horizontal="center" vertical="center" wrapText="1"/>
    </xf>
    <xf numFmtId="3" fontId="2" fillId="0" borderId="1" xfId="0" applyNumberFormat="1" applyFont="1" applyBorder="1" applyAlignment="1">
      <alignment vertical="center" wrapText="1"/>
    </xf>
    <xf numFmtId="165" fontId="8" fillId="2" borderId="3" xfId="0" applyNumberFormat="1" applyFont="1" applyFill="1" applyBorder="1" applyAlignment="1">
      <alignment horizontal="left" vertical="center"/>
    </xf>
    <xf numFmtId="165" fontId="8" fillId="2" borderId="3" xfId="0" applyNumberFormat="1" applyFont="1" applyFill="1" applyBorder="1" applyAlignment="1">
      <alignment horizontal="left" vertical="center" wrapText="1"/>
    </xf>
    <xf numFmtId="165" fontId="8" fillId="2" borderId="3" xfId="0" applyNumberFormat="1" applyFont="1" applyFill="1" applyBorder="1" applyAlignment="1">
      <alignment vertical="center" wrapText="1"/>
    </xf>
    <xf numFmtId="3" fontId="8" fillId="2" borderId="3" xfId="0" applyNumberFormat="1" applyFont="1" applyFill="1" applyBorder="1" applyAlignment="1">
      <alignment vertical="center"/>
    </xf>
    <xf numFmtId="166" fontId="2" fillId="0" borderId="0" xfId="1" applyNumberFormat="1" applyFont="1"/>
    <xf numFmtId="166" fontId="2" fillId="0" borderId="3" xfId="1" applyNumberFormat="1" applyFont="1" applyBorder="1" applyAlignment="1">
      <alignment horizontal="center" vertical="center"/>
    </xf>
    <xf numFmtId="3" fontId="8" fillId="0" borderId="0" xfId="0" applyNumberFormat="1" applyFont="1"/>
    <xf numFmtId="165" fontId="8" fillId="0" borderId="0" xfId="0" applyNumberFormat="1" applyFont="1"/>
    <xf numFmtId="10" fontId="8" fillId="0" borderId="0" xfId="0" applyNumberFormat="1" applyFont="1"/>
    <xf numFmtId="166" fontId="8" fillId="0" borderId="0" xfId="0" applyNumberFormat="1" applyFont="1"/>
    <xf numFmtId="3" fontId="8" fillId="2" borderId="3" xfId="0" applyNumberFormat="1" applyFont="1" applyFill="1" applyBorder="1" applyAlignment="1">
      <alignment horizontal="left" vertical="center"/>
    </xf>
    <xf numFmtId="10" fontId="8" fillId="2" borderId="3" xfId="0" applyNumberFormat="1" applyFont="1" applyFill="1" applyBorder="1" applyAlignment="1">
      <alignment vertical="center"/>
    </xf>
    <xf numFmtId="166" fontId="8" fillId="2" borderId="3" xfId="0" applyNumberFormat="1" applyFont="1" applyFill="1" applyBorder="1" applyAlignment="1">
      <alignment vertical="center"/>
    </xf>
    <xf numFmtId="0" fontId="0" fillId="0" borderId="2" xfId="0" applyBorder="1"/>
    <xf numFmtId="0" fontId="2" fillId="0" borderId="3" xfId="0" applyFont="1" applyBorder="1" applyAlignment="1">
      <alignment vertical="center" wrapText="1"/>
    </xf>
    <xf numFmtId="0" fontId="2" fillId="0" borderId="3" xfId="0" applyFont="1" applyBorder="1" applyAlignment="1">
      <alignment vertical="center"/>
    </xf>
    <xf numFmtId="3" fontId="2" fillId="0" borderId="3" xfId="0" applyNumberFormat="1" applyFont="1" applyBorder="1" applyAlignment="1">
      <alignment vertical="center" wrapText="1"/>
    </xf>
    <xf numFmtId="3" fontId="6" fillId="0" borderId="3" xfId="0" applyNumberFormat="1" applyFont="1" applyBorder="1" applyAlignment="1">
      <alignment vertical="center"/>
    </xf>
    <xf numFmtId="0" fontId="17" fillId="2" borderId="3" xfId="0" applyFont="1" applyFill="1" applyBorder="1" applyAlignment="1">
      <alignment vertical="center"/>
    </xf>
    <xf numFmtId="0" fontId="0" fillId="0" borderId="0" xfId="0" applyAlignment="1">
      <alignment vertical="top"/>
    </xf>
    <xf numFmtId="0" fontId="8" fillId="0" borderId="0" xfId="0" applyFont="1" applyAlignment="1">
      <alignment wrapText="1"/>
    </xf>
    <xf numFmtId="0" fontId="8" fillId="0" borderId="0" xfId="0" applyFont="1" applyAlignment="1">
      <alignment vertical="top" wrapText="1"/>
    </xf>
    <xf numFmtId="0" fontId="8" fillId="0" borderId="0" xfId="0" applyFont="1" applyAlignment="1">
      <alignment vertical="top"/>
    </xf>
    <xf numFmtId="0" fontId="8" fillId="0" borderId="2" xfId="0" applyFont="1" applyBorder="1" applyAlignment="1">
      <alignment horizontal="center" vertical="center"/>
    </xf>
    <xf numFmtId="0" fontId="8" fillId="0" borderId="0" xfId="0" applyFont="1" applyAlignment="1">
      <alignment horizontal="center" vertical="top"/>
    </xf>
    <xf numFmtId="0" fontId="8" fillId="0" borderId="0" xfId="0" applyFont="1" applyAlignment="1">
      <alignment horizontal="center" vertical="center"/>
    </xf>
    <xf numFmtId="0" fontId="2" fillId="0" borderId="1" xfId="0" applyFont="1" applyBorder="1" applyAlignment="1">
      <alignment vertical="center"/>
    </xf>
    <xf numFmtId="0" fontId="2" fillId="0" borderId="0" xfId="0" applyFont="1" applyAlignment="1">
      <alignment horizontal="center"/>
    </xf>
    <xf numFmtId="3" fontId="8" fillId="0" borderId="0" xfId="0" applyNumberFormat="1" applyFont="1" applyAlignment="1">
      <alignment vertical="top" wrapText="1"/>
    </xf>
    <xf numFmtId="3" fontId="2" fillId="0" borderId="3" xfId="0" applyNumberFormat="1" applyFont="1" applyBorder="1" applyAlignment="1">
      <alignment horizontal="center" vertical="center" wrapText="1"/>
    </xf>
    <xf numFmtId="3" fontId="6" fillId="0" borderId="3" xfId="0" applyNumberFormat="1" applyFont="1" applyBorder="1" applyAlignment="1">
      <alignment horizontal="center" vertical="center"/>
    </xf>
    <xf numFmtId="0" fontId="18" fillId="2" borderId="3" xfId="0" applyFont="1" applyFill="1" applyBorder="1" applyAlignment="1">
      <alignment horizontal="center" vertical="center"/>
    </xf>
    <xf numFmtId="0" fontId="8" fillId="0" borderId="0" xfId="0" applyFont="1" applyAlignment="1">
      <alignment horizontal="center"/>
    </xf>
    <xf numFmtId="3" fontId="8" fillId="0" borderId="0" xfId="0" applyNumberFormat="1" applyFont="1" applyAlignment="1">
      <alignment horizontal="center" vertical="top"/>
    </xf>
    <xf numFmtId="0" fontId="18" fillId="2" borderId="3" xfId="0" applyFont="1" applyFill="1" applyBorder="1" applyAlignment="1">
      <alignment horizontal="center" vertical="top"/>
    </xf>
    <xf numFmtId="0" fontId="8" fillId="0" borderId="0" xfId="0" applyFont="1" applyAlignment="1">
      <alignment horizontal="left" vertical="top" wrapText="1"/>
    </xf>
    <xf numFmtId="0" fontId="8" fillId="0" borderId="0" xfId="0" applyFont="1" applyAlignment="1">
      <alignment horizontal="left" vertical="top"/>
    </xf>
    <xf numFmtId="3" fontId="8" fillId="0" borderId="0" xfId="0" applyNumberFormat="1" applyFont="1" applyAlignment="1">
      <alignment horizontal="center" vertical="top" wrapText="1"/>
    </xf>
    <xf numFmtId="3" fontId="8" fillId="2" borderId="3" xfId="0" applyNumberFormat="1" applyFont="1" applyFill="1" applyBorder="1" applyAlignment="1">
      <alignment horizontal="center" vertical="top" wrapText="1"/>
    </xf>
    <xf numFmtId="3" fontId="4" fillId="2" borderId="3" xfId="0" applyNumberFormat="1" applyFont="1" applyFill="1" applyBorder="1" applyAlignment="1">
      <alignment horizontal="center" vertical="top"/>
    </xf>
    <xf numFmtId="0" fontId="8" fillId="0" borderId="2" xfId="0" applyFont="1" applyBorder="1" applyAlignment="1">
      <alignment vertical="top"/>
    </xf>
    <xf numFmtId="0" fontId="9" fillId="2" borderId="3" xfId="0" applyFont="1" applyFill="1" applyBorder="1" applyAlignment="1">
      <alignment vertical="top"/>
    </xf>
    <xf numFmtId="0" fontId="8" fillId="2" borderId="3" xfId="0" applyFont="1" applyFill="1" applyBorder="1" applyAlignment="1">
      <alignment horizontal="left" vertical="top" wrapText="1"/>
    </xf>
    <xf numFmtId="0" fontId="8" fillId="2" borderId="3" xfId="1" applyFont="1" applyFill="1" applyBorder="1" applyAlignment="1">
      <alignment horizontal="left" vertical="top"/>
    </xf>
    <xf numFmtId="0" fontId="8" fillId="2" borderId="3" xfId="0" applyFont="1" applyFill="1" applyBorder="1" applyAlignment="1">
      <alignment horizontal="left" vertical="top"/>
    </xf>
    <xf numFmtId="0" fontId="9" fillId="0" borderId="3" xfId="0" applyFont="1" applyBorder="1" applyAlignment="1">
      <alignment horizontal="left" vertical="center"/>
    </xf>
    <xf numFmtId="0" fontId="7" fillId="0" borderId="3" xfId="0" applyFont="1" applyBorder="1" applyAlignment="1">
      <alignment horizontal="left" vertical="center" wrapText="1"/>
    </xf>
    <xf numFmtId="0" fontId="8" fillId="0" borderId="0" xfId="1" applyFont="1" applyAlignment="1">
      <alignment horizontal="left"/>
    </xf>
    <xf numFmtId="0" fontId="9" fillId="0" borderId="3" xfId="0" applyFont="1" applyBorder="1" applyAlignment="1">
      <alignment vertical="center"/>
    </xf>
    <xf numFmtId="0" fontId="9" fillId="0" borderId="3" xfId="1" applyFont="1" applyBorder="1" applyAlignment="1">
      <alignment vertical="center"/>
    </xf>
    <xf numFmtId="0" fontId="0" fillId="0" borderId="3" xfId="0" applyBorder="1" applyAlignment="1">
      <alignment horizontal="left" vertical="center"/>
    </xf>
    <xf numFmtId="3" fontId="2" fillId="0" borderId="2" xfId="0" applyNumberFormat="1" applyFont="1" applyBorder="1" applyAlignment="1">
      <alignment horizontal="center"/>
    </xf>
    <xf numFmtId="0" fontId="0" fillId="0" borderId="1" xfId="0" applyBorder="1"/>
    <xf numFmtId="0" fontId="0" fillId="0" borderId="3" xfId="0" applyBorder="1"/>
    <xf numFmtId="0" fontId="9" fillId="0" borderId="2" xfId="0" applyFont="1" applyBorder="1" applyAlignment="1">
      <alignment vertical="center"/>
    </xf>
    <xf numFmtId="2" fontId="2" fillId="0" borderId="2" xfId="0" applyNumberFormat="1" applyFont="1" applyBorder="1" applyAlignment="1">
      <alignment horizontal="center"/>
    </xf>
    <xf numFmtId="2" fontId="8" fillId="0" borderId="0" xfId="0" applyNumberFormat="1" applyFont="1" applyAlignment="1">
      <alignment horizontal="center"/>
    </xf>
    <xf numFmtId="0" fontId="8" fillId="0" borderId="3" xfId="0" applyFont="1" applyBorder="1" applyAlignment="1">
      <alignment horizontal="center"/>
    </xf>
    <xf numFmtId="2" fontId="8" fillId="0" borderId="3" xfId="0" applyNumberFormat="1" applyFont="1" applyBorder="1" applyAlignment="1">
      <alignment horizontal="center"/>
    </xf>
    <xf numFmtId="0" fontId="2" fillId="0" borderId="0" xfId="0" applyFont="1" applyAlignment="1">
      <alignment horizontal="left" vertical="center"/>
    </xf>
    <xf numFmtId="0" fontId="10" fillId="2" borderId="3" xfId="0" applyFont="1" applyFill="1" applyBorder="1" applyAlignment="1">
      <alignment horizontal="left" vertical="top" wrapText="1"/>
    </xf>
    <xf numFmtId="3" fontId="8" fillId="2" borderId="3" xfId="0" applyNumberFormat="1" applyFont="1" applyFill="1" applyBorder="1" applyAlignment="1">
      <alignment horizontal="center" vertical="top"/>
    </xf>
    <xf numFmtId="0" fontId="1" fillId="0" borderId="0" xfId="1" applyAlignment="1">
      <alignment horizontal="left" vertical="top"/>
    </xf>
    <xf numFmtId="0" fontId="8" fillId="0" borderId="0" xfId="1" applyFont="1" applyAlignment="1">
      <alignment horizontal="left" vertical="top"/>
    </xf>
    <xf numFmtId="0" fontId="19" fillId="0" borderId="0" xfId="0" applyFont="1" applyAlignment="1">
      <alignment horizontal="left" vertical="center" wrapText="1"/>
    </xf>
    <xf numFmtId="0" fontId="10" fillId="0" borderId="0" xfId="0" applyFont="1" applyAlignment="1">
      <alignment vertical="center" wrapText="1"/>
    </xf>
    <xf numFmtId="0" fontId="19" fillId="0" borderId="0" xfId="0" applyFont="1" applyAlignment="1">
      <alignment horizontal="left" vertical="center"/>
    </xf>
    <xf numFmtId="3" fontId="8" fillId="0" borderId="0" xfId="0" applyNumberFormat="1" applyFont="1" applyAlignment="1">
      <alignment horizontal="left" vertical="center"/>
    </xf>
    <xf numFmtId="0" fontId="8" fillId="0" borderId="0" xfId="3" applyFont="1" applyAlignment="1">
      <alignment horizontal="left" vertical="center" wrapText="1"/>
    </xf>
    <xf numFmtId="3" fontId="8" fillId="0" borderId="0" xfId="0" applyNumberFormat="1" applyFont="1" applyAlignment="1">
      <alignment horizontal="left"/>
    </xf>
    <xf numFmtId="3" fontId="0" fillId="0" borderId="0" xfId="0" applyNumberFormat="1" applyAlignment="1">
      <alignment horizontal="left" vertical="center"/>
    </xf>
    <xf numFmtId="3" fontId="0" fillId="0" borderId="0" xfId="0" applyNumberFormat="1" applyAlignment="1">
      <alignment horizontal="left"/>
    </xf>
    <xf numFmtId="0" fontId="0" fillId="2" borderId="3" xfId="0" applyFill="1" applyBorder="1"/>
    <xf numFmtId="3" fontId="0" fillId="2" borderId="3" xfId="0" applyNumberFormat="1" applyFill="1" applyBorder="1" applyAlignment="1">
      <alignment horizontal="left" vertical="center"/>
    </xf>
    <xf numFmtId="0" fontId="8" fillId="2" borderId="3" xfId="0" applyFont="1" applyFill="1" applyBorder="1"/>
    <xf numFmtId="0" fontId="2" fillId="0" borderId="0" xfId="1" applyFont="1" applyAlignment="1">
      <alignment horizontal="left" vertical="top"/>
    </xf>
    <xf numFmtId="167" fontId="2" fillId="0" borderId="0" xfId="1" applyNumberFormat="1" applyFont="1" applyAlignment="1">
      <alignment horizontal="left" vertical="top"/>
    </xf>
    <xf numFmtId="167" fontId="8" fillId="0" borderId="0" xfId="0" applyNumberFormat="1" applyFont="1" applyAlignment="1">
      <alignment horizontal="left" vertical="center"/>
    </xf>
    <xf numFmtId="167" fontId="0" fillId="0" borderId="0" xfId="0" applyNumberFormat="1" applyAlignment="1">
      <alignment horizontal="left" vertical="center"/>
    </xf>
    <xf numFmtId="167" fontId="0" fillId="0" borderId="0" xfId="0" applyNumberFormat="1"/>
    <xf numFmtId="3" fontId="3" fillId="0" borderId="1" xfId="1" applyNumberFormat="1" applyFont="1" applyBorder="1" applyAlignment="1">
      <alignment horizontal="left" vertical="center" wrapText="1"/>
    </xf>
    <xf numFmtId="0" fontId="2" fillId="0" borderId="1" xfId="0" applyFont="1" applyBorder="1" applyAlignment="1">
      <alignment horizontal="left" vertical="center"/>
    </xf>
    <xf numFmtId="167" fontId="0" fillId="2" borderId="3" xfId="0" applyNumberFormat="1" applyFill="1" applyBorder="1" applyAlignment="1">
      <alignment horizontal="left" vertical="center"/>
    </xf>
    <xf numFmtId="0" fontId="19" fillId="0" borderId="2" xfId="0" applyFont="1" applyBorder="1" applyAlignment="1">
      <alignment horizontal="left" vertical="center" wrapText="1"/>
    </xf>
    <xf numFmtId="3" fontId="8" fillId="0" borderId="2" xfId="0" applyNumberFormat="1" applyFont="1" applyBorder="1" applyAlignment="1">
      <alignment horizontal="left" vertical="center"/>
    </xf>
    <xf numFmtId="167" fontId="8" fillId="0" borderId="2" xfId="3" applyNumberFormat="1" applyFont="1" applyBorder="1" applyAlignment="1">
      <alignment horizontal="left" vertical="center" wrapText="1"/>
    </xf>
    <xf numFmtId="0" fontId="8" fillId="0" borderId="2" xfId="3" applyFont="1" applyBorder="1" applyAlignment="1">
      <alignment horizontal="left" vertical="center" wrapText="1"/>
    </xf>
    <xf numFmtId="0" fontId="2" fillId="0" borderId="1" xfId="1" applyFont="1" applyBorder="1" applyAlignment="1">
      <alignment horizontal="left" vertical="center" wrapText="1"/>
    </xf>
    <xf numFmtId="0" fontId="2" fillId="0" borderId="1" xfId="1" applyFont="1" applyBorder="1" applyAlignment="1">
      <alignment horizontal="left" vertical="center"/>
    </xf>
    <xf numFmtId="0" fontId="20" fillId="0" borderId="0" xfId="0" applyFont="1"/>
    <xf numFmtId="3" fontId="20" fillId="0" borderId="0" xfId="0" applyNumberFormat="1" applyFont="1"/>
    <xf numFmtId="165" fontId="20" fillId="0" borderId="0" xfId="0" applyNumberFormat="1" applyFont="1"/>
    <xf numFmtId="167" fontId="20" fillId="0" borderId="0" xfId="0" applyNumberFormat="1" applyFont="1"/>
    <xf numFmtId="165" fontId="20" fillId="0" borderId="0" xfId="0" applyNumberFormat="1" applyFont="1" applyAlignment="1">
      <alignment horizontal="center" vertical="center" wrapText="1"/>
    </xf>
    <xf numFmtId="165" fontId="20" fillId="0" borderId="0" xfId="0" applyNumberFormat="1" applyFont="1" applyAlignment="1">
      <alignment horizontal="left" vertical="center" wrapText="1"/>
    </xf>
    <xf numFmtId="165" fontId="20" fillId="0" borderId="0" xfId="0" applyNumberFormat="1" applyFont="1" applyAlignment="1">
      <alignment horizontal="left" vertical="center"/>
    </xf>
    <xf numFmtId="0" fontId="2" fillId="0" borderId="0" xfId="0" applyFont="1"/>
    <xf numFmtId="167" fontId="8" fillId="2" borderId="3" xfId="0" applyNumberFormat="1" applyFont="1" applyFill="1" applyBorder="1" applyAlignment="1">
      <alignment horizontal="left" vertical="center" wrapText="1"/>
    </xf>
    <xf numFmtId="165" fontId="8" fillId="2" borderId="3" xfId="0" applyNumberFormat="1" applyFont="1" applyFill="1" applyBorder="1" applyAlignment="1">
      <alignment horizontal="center" vertical="center" wrapText="1"/>
    </xf>
    <xf numFmtId="167" fontId="8" fillId="2" borderId="3" xfId="0" applyNumberFormat="1" applyFont="1" applyFill="1" applyBorder="1" applyAlignment="1">
      <alignment horizontal="center" vertical="center"/>
    </xf>
    <xf numFmtId="165" fontId="10" fillId="2" borderId="3" xfId="0" applyNumberFormat="1" applyFont="1" applyFill="1" applyBorder="1" applyAlignment="1">
      <alignment horizontal="center" vertical="center" wrapText="1"/>
    </xf>
    <xf numFmtId="167" fontId="8" fillId="2" borderId="3" xfId="0" applyNumberFormat="1" applyFont="1" applyFill="1" applyBorder="1" applyAlignment="1">
      <alignment horizontal="center" vertical="center" wrapText="1"/>
    </xf>
    <xf numFmtId="165" fontId="2" fillId="0" borderId="0" xfId="0" applyNumberFormat="1" applyFont="1"/>
    <xf numFmtId="165" fontId="8" fillId="2" borderId="3" xfId="0" applyNumberFormat="1" applyFont="1" applyFill="1" applyBorder="1" applyAlignment="1">
      <alignment horizontal="center" vertical="center"/>
    </xf>
    <xf numFmtId="0" fontId="8" fillId="0" borderId="1" xfId="0" applyFont="1" applyBorder="1"/>
    <xf numFmtId="3" fontId="8" fillId="0" borderId="1" xfId="0" applyNumberFormat="1" applyFont="1" applyBorder="1"/>
    <xf numFmtId="167" fontId="8" fillId="0" borderId="1" xfId="0" applyNumberFormat="1" applyFont="1" applyBorder="1"/>
    <xf numFmtId="165" fontId="8" fillId="0" borderId="1" xfId="0" applyNumberFormat="1" applyFont="1" applyBorder="1"/>
    <xf numFmtId="167" fontId="8" fillId="0" borderId="0" xfId="0" applyNumberFormat="1" applyFont="1"/>
    <xf numFmtId="0" fontId="8" fillId="0" borderId="2" xfId="0" applyFont="1" applyBorder="1"/>
    <xf numFmtId="3" fontId="8" fillId="0" borderId="2" xfId="0" applyNumberFormat="1" applyFont="1" applyBorder="1"/>
    <xf numFmtId="167" fontId="8" fillId="0" borderId="2" xfId="0" applyNumberFormat="1" applyFont="1" applyBorder="1"/>
    <xf numFmtId="165" fontId="8" fillId="0" borderId="2" xfId="0" applyNumberFormat="1" applyFont="1" applyBorder="1"/>
    <xf numFmtId="165" fontId="8" fillId="2" borderId="3" xfId="0" applyNumberFormat="1" applyFont="1" applyFill="1" applyBorder="1" applyAlignment="1">
      <alignment vertical="center"/>
    </xf>
    <xf numFmtId="0" fontId="8" fillId="0" borderId="3" xfId="0" applyFont="1" applyBorder="1"/>
    <xf numFmtId="3" fontId="8" fillId="0" borderId="3" xfId="0" applyNumberFormat="1" applyFont="1" applyBorder="1"/>
    <xf numFmtId="167" fontId="8" fillId="0" borderId="3" xfId="0" applyNumberFormat="1" applyFont="1" applyBorder="1"/>
    <xf numFmtId="165" fontId="8" fillId="0" borderId="3" xfId="0" applyNumberFormat="1" applyFont="1" applyBorder="1"/>
    <xf numFmtId="3" fontId="8" fillId="3" borderId="3" xfId="0" applyNumberFormat="1" applyFont="1" applyFill="1" applyBorder="1" applyAlignment="1">
      <alignment horizontal="left" vertical="center" wrapText="1"/>
    </xf>
    <xf numFmtId="167" fontId="8" fillId="3" borderId="3" xfId="0" applyNumberFormat="1" applyFont="1" applyFill="1" applyBorder="1" applyAlignment="1">
      <alignment horizontal="center" vertical="center" wrapText="1"/>
    </xf>
    <xf numFmtId="165" fontId="8" fillId="3" borderId="3" xfId="0" applyNumberFormat="1" applyFont="1" applyFill="1" applyBorder="1" applyAlignment="1">
      <alignment horizontal="center" vertical="center" wrapText="1"/>
    </xf>
    <xf numFmtId="165" fontId="8" fillId="3" borderId="3" xfId="0" applyNumberFormat="1" applyFont="1" applyFill="1" applyBorder="1" applyAlignment="1">
      <alignment horizontal="left" vertical="center"/>
    </xf>
    <xf numFmtId="165" fontId="8" fillId="3" borderId="3" xfId="0" applyNumberFormat="1" applyFont="1" applyFill="1" applyBorder="1" applyAlignment="1">
      <alignment vertical="center" wrapText="1"/>
    </xf>
    <xf numFmtId="0" fontId="2" fillId="0" borderId="0" xfId="0" applyFont="1" applyAlignment="1">
      <alignment horizontal="left" vertical="top"/>
    </xf>
    <xf numFmtId="0" fontId="2" fillId="0" borderId="0" xfId="0" applyFont="1" applyAlignment="1">
      <alignment horizontal="left" vertical="top" wrapText="1"/>
    </xf>
    <xf numFmtId="0" fontId="0" fillId="0" borderId="0" xfId="0" applyAlignment="1">
      <alignment horizontal="left" vertical="top"/>
    </xf>
    <xf numFmtId="0" fontId="21" fillId="0" borderId="0" xfId="0" applyFont="1"/>
    <xf numFmtId="0" fontId="2" fillId="0" borderId="8" xfId="0" applyFont="1" applyBorder="1" applyAlignment="1">
      <alignment horizontal="left" vertical="top"/>
    </xf>
    <xf numFmtId="0" fontId="5" fillId="0" borderId="8" xfId="0" applyFont="1" applyBorder="1" applyAlignment="1">
      <alignment horizontal="left" vertical="top"/>
    </xf>
    <xf numFmtId="0" fontId="5" fillId="0" borderId="9" xfId="0" applyFont="1" applyBorder="1" applyAlignment="1">
      <alignment horizontal="left" vertical="top"/>
    </xf>
    <xf numFmtId="0" fontId="2" fillId="0" borderId="10" xfId="0" applyFont="1" applyBorder="1" applyAlignment="1">
      <alignment horizontal="left" vertical="top"/>
    </xf>
    <xf numFmtId="0" fontId="5" fillId="0" borderId="11" xfId="0" applyFont="1" applyBorder="1" applyAlignment="1">
      <alignment horizontal="left" vertical="top"/>
    </xf>
    <xf numFmtId="0" fontId="2" fillId="0" borderId="16" xfId="0" applyFont="1" applyBorder="1" applyAlignment="1">
      <alignment horizontal="left" vertical="top" wrapText="1"/>
    </xf>
    <xf numFmtId="49" fontId="2" fillId="0" borderId="16" xfId="0" applyNumberFormat="1" applyFont="1" applyBorder="1" applyAlignment="1">
      <alignment horizontal="left" vertical="top" wrapText="1"/>
    </xf>
    <xf numFmtId="49" fontId="2" fillId="0" borderId="17" xfId="0" applyNumberFormat="1" applyFont="1" applyBorder="1" applyAlignment="1">
      <alignment horizontal="left" vertical="top" wrapText="1"/>
    </xf>
    <xf numFmtId="0" fontId="2" fillId="0" borderId="17" xfId="0" applyFont="1" applyBorder="1" applyAlignment="1">
      <alignment horizontal="left" vertical="top" wrapText="1"/>
    </xf>
    <xf numFmtId="0" fontId="2" fillId="0" borderId="18" xfId="0" applyFont="1" applyBorder="1" applyAlignment="1">
      <alignment horizontal="left" vertical="top" wrapText="1"/>
    </xf>
    <xf numFmtId="0" fontId="8" fillId="0" borderId="19" xfId="0" applyFont="1" applyBorder="1" applyAlignment="1">
      <alignment vertical="top"/>
    </xf>
    <xf numFmtId="0" fontId="8" fillId="0" borderId="20" xfId="0" applyFont="1" applyBorder="1" applyAlignment="1">
      <alignment horizontal="left" vertical="top" wrapText="1"/>
    </xf>
    <xf numFmtId="0" fontId="8" fillId="0" borderId="21" xfId="0" applyFont="1" applyBorder="1" applyAlignment="1">
      <alignment horizontal="left" vertical="top"/>
    </xf>
    <xf numFmtId="3" fontId="8" fillId="0" borderId="21" xfId="0" applyNumberFormat="1" applyFont="1" applyBorder="1" applyAlignment="1">
      <alignment horizontal="left" vertical="top"/>
    </xf>
    <xf numFmtId="0" fontId="8" fillId="0" borderId="19" xfId="0" applyFont="1" applyBorder="1" applyAlignment="1">
      <alignment horizontal="left" vertical="top" wrapText="1"/>
    </xf>
    <xf numFmtId="2" fontId="8" fillId="0" borderId="0" xfId="0" applyNumberFormat="1" applyFont="1" applyAlignment="1">
      <alignment horizontal="left" vertical="top" wrapText="1"/>
    </xf>
    <xf numFmtId="49" fontId="8" fillId="0" borderId="0" xfId="0" applyNumberFormat="1" applyFont="1" applyAlignment="1">
      <alignment horizontal="left" vertical="top" wrapText="1"/>
    </xf>
    <xf numFmtId="0" fontId="19" fillId="0" borderId="0" xfId="0" applyFont="1" applyAlignment="1">
      <alignment horizontal="left" vertical="top" wrapText="1"/>
    </xf>
    <xf numFmtId="0" fontId="8" fillId="0" borderId="22" xfId="0" applyFont="1" applyBorder="1" applyAlignment="1">
      <alignment horizontal="left" vertical="top" wrapText="1"/>
    </xf>
    <xf numFmtId="0" fontId="8" fillId="0" borderId="23" xfId="0" applyFont="1" applyBorder="1" applyAlignment="1">
      <alignment horizontal="left" vertical="top" wrapText="1"/>
    </xf>
    <xf numFmtId="3" fontId="8" fillId="0" borderId="21" xfId="0" applyNumberFormat="1" applyFont="1" applyBorder="1" applyAlignment="1">
      <alignment horizontal="left" vertical="top" wrapText="1"/>
    </xf>
    <xf numFmtId="0" fontId="23" fillId="0" borderId="19" xfId="0" applyFont="1" applyBorder="1" applyAlignment="1">
      <alignment horizontal="left" vertical="top" wrapText="1"/>
    </xf>
    <xf numFmtId="0" fontId="8" fillId="0" borderId="21" xfId="0" applyFont="1" applyBorder="1" applyAlignment="1">
      <alignment horizontal="left" vertical="top" wrapText="1"/>
    </xf>
    <xf numFmtId="0" fontId="8" fillId="0" borderId="19" xfId="0" applyFont="1" applyBorder="1" applyAlignment="1">
      <alignment horizontal="left" vertical="top"/>
    </xf>
    <xf numFmtId="17" fontId="8" fillId="0" borderId="0" xfId="0" applyNumberFormat="1" applyFont="1" applyAlignment="1">
      <alignment horizontal="left" vertical="top"/>
    </xf>
    <xf numFmtId="0" fontId="8" fillId="0" borderId="22" xfId="0" applyFont="1" applyBorder="1" applyAlignment="1">
      <alignment horizontal="left" vertical="top"/>
    </xf>
    <xf numFmtId="2" fontId="8" fillId="0" borderId="0" xfId="0" applyNumberFormat="1" applyFont="1" applyAlignment="1">
      <alignment horizontal="left" vertical="top"/>
    </xf>
    <xf numFmtId="0" fontId="8" fillId="0" borderId="12" xfId="0" applyFont="1" applyBorder="1" applyAlignment="1">
      <alignment vertical="top"/>
    </xf>
    <xf numFmtId="0" fontId="8" fillId="0" borderId="25" xfId="0" applyFont="1" applyBorder="1" applyAlignment="1">
      <alignment horizontal="left" vertical="top" wrapText="1"/>
    </xf>
    <xf numFmtId="0" fontId="8" fillId="0" borderId="26" xfId="0" applyFont="1" applyBorder="1" applyAlignment="1">
      <alignment horizontal="left" vertical="top"/>
    </xf>
    <xf numFmtId="3" fontId="8" fillId="0" borderId="26" xfId="0" applyNumberFormat="1" applyFont="1" applyBorder="1" applyAlignment="1">
      <alignment horizontal="left" vertical="top" wrapText="1"/>
    </xf>
    <xf numFmtId="0" fontId="19" fillId="0" borderId="12" xfId="0" applyFont="1" applyBorder="1" applyAlignment="1">
      <alignment horizontal="left" vertical="top" wrapText="1"/>
    </xf>
    <xf numFmtId="0" fontId="8" fillId="0" borderId="2" xfId="0" applyFont="1" applyBorder="1" applyAlignment="1">
      <alignment horizontal="left" vertical="top" wrapText="1"/>
    </xf>
    <xf numFmtId="0" fontId="19" fillId="0" borderId="2" xfId="0" applyFont="1" applyBorder="1" applyAlignment="1">
      <alignment horizontal="left" vertical="top" wrapText="1"/>
    </xf>
    <xf numFmtId="17" fontId="8" fillId="0" borderId="2" xfId="0" applyNumberFormat="1" applyFont="1" applyBorder="1" applyAlignment="1">
      <alignment horizontal="left" vertical="top"/>
    </xf>
    <xf numFmtId="0" fontId="8" fillId="0" borderId="28" xfId="0" applyFont="1" applyBorder="1" applyAlignment="1">
      <alignment horizontal="left" vertical="top" wrapText="1"/>
    </xf>
    <xf numFmtId="0" fontId="19" fillId="0" borderId="0" xfId="0" applyFont="1" applyAlignment="1">
      <alignment vertical="top" wrapText="1"/>
    </xf>
    <xf numFmtId="0" fontId="19" fillId="0" borderId="0" xfId="0" applyFont="1" applyAlignment="1">
      <alignment vertical="center" wrapText="1"/>
    </xf>
    <xf numFmtId="0" fontId="24" fillId="0" borderId="0" xfId="0" applyFont="1" applyAlignment="1">
      <alignment vertical="top"/>
    </xf>
    <xf numFmtId="0" fontId="24" fillId="0" borderId="0" xfId="0" applyFont="1" applyAlignment="1">
      <alignment vertical="top" wrapText="1"/>
    </xf>
    <xf numFmtId="0" fontId="25" fillId="0" borderId="0" xfId="0" applyFont="1" applyAlignment="1">
      <alignment vertical="top" wrapText="1"/>
    </xf>
    <xf numFmtId="0" fontId="24" fillId="0" borderId="31" xfId="0" applyFont="1" applyBorder="1" applyAlignment="1">
      <alignment vertical="top" wrapText="1"/>
    </xf>
    <xf numFmtId="0" fontId="24" fillId="0" borderId="2" xfId="0" applyFont="1" applyBorder="1" applyAlignment="1">
      <alignment vertical="top" wrapText="1"/>
    </xf>
    <xf numFmtId="0" fontId="19" fillId="0" borderId="32" xfId="0" applyFont="1" applyBorder="1" applyAlignment="1">
      <alignment vertical="top" wrapText="1"/>
    </xf>
    <xf numFmtId="0" fontId="19" fillId="0" borderId="22" xfId="0" applyFont="1" applyBorder="1" applyAlignment="1">
      <alignment vertical="top" wrapText="1"/>
    </xf>
    <xf numFmtId="0" fontId="25" fillId="0" borderId="0" xfId="0" applyFont="1" applyAlignment="1">
      <alignment wrapText="1"/>
    </xf>
    <xf numFmtId="0" fontId="19" fillId="0" borderId="0" xfId="0" applyFont="1" applyAlignment="1">
      <alignment wrapText="1"/>
    </xf>
    <xf numFmtId="0" fontId="19" fillId="2" borderId="34" xfId="0" applyFont="1" applyFill="1" applyBorder="1" applyAlignment="1">
      <alignment vertical="top" wrapText="1"/>
    </xf>
    <xf numFmtId="0" fontId="19" fillId="2" borderId="33" xfId="0" applyFont="1" applyFill="1" applyBorder="1" applyAlignment="1">
      <alignment vertical="top" wrapText="1"/>
    </xf>
    <xf numFmtId="0" fontId="19" fillId="2" borderId="34" xfId="0" applyFont="1" applyFill="1" applyBorder="1" applyAlignment="1">
      <alignment vertical="center" wrapText="1"/>
    </xf>
    <xf numFmtId="0" fontId="19" fillId="2" borderId="33" xfId="0" applyFont="1" applyFill="1" applyBorder="1" applyAlignment="1">
      <alignment vertical="center" wrapText="1"/>
    </xf>
    <xf numFmtId="0" fontId="19" fillId="2" borderId="30" xfId="0" applyFont="1" applyFill="1" applyBorder="1" applyAlignment="1">
      <alignment vertical="center" wrapText="1"/>
    </xf>
    <xf numFmtId="0" fontId="26" fillId="2" borderId="3" xfId="0" applyFont="1" applyFill="1" applyBorder="1" applyAlignment="1">
      <alignment vertical="center" wrapText="1"/>
    </xf>
    <xf numFmtId="0" fontId="19" fillId="2" borderId="3" xfId="0" applyFont="1" applyFill="1" applyBorder="1" applyAlignment="1">
      <alignment vertical="center" wrapText="1"/>
    </xf>
    <xf numFmtId="0" fontId="19" fillId="2" borderId="3" xfId="0" applyFont="1" applyFill="1" applyBorder="1" applyAlignment="1">
      <alignment vertical="top" wrapText="1"/>
    </xf>
    <xf numFmtId="0" fontId="0" fillId="0" borderId="0" xfId="0" applyAlignment="1">
      <alignment horizontal="left"/>
    </xf>
    <xf numFmtId="165" fontId="8" fillId="0" borderId="0" xfId="0" applyNumberFormat="1" applyFont="1" applyAlignment="1">
      <alignment horizontal="center"/>
    </xf>
    <xf numFmtId="165" fontId="2" fillId="0" borderId="3" xfId="0" applyNumberFormat="1" applyFont="1" applyBorder="1" applyAlignment="1">
      <alignment horizontal="center" vertical="center" wrapText="1"/>
    </xf>
    <xf numFmtId="3" fontId="3" fillId="0" borderId="3" xfId="0" applyNumberFormat="1" applyFont="1" applyBorder="1" applyAlignment="1">
      <alignment horizontal="center" vertical="center"/>
    </xf>
    <xf numFmtId="0" fontId="0" fillId="3" borderId="0" xfId="0" applyFill="1" applyAlignment="1">
      <alignment horizontal="left"/>
    </xf>
    <xf numFmtId="0" fontId="8" fillId="3" borderId="0" xfId="0" applyFont="1" applyFill="1" applyAlignment="1">
      <alignment horizontal="left"/>
    </xf>
    <xf numFmtId="0" fontId="8" fillId="3" borderId="0" xfId="0" applyFont="1" applyFill="1"/>
    <xf numFmtId="3" fontId="8" fillId="3" borderId="0" xfId="0" applyNumberFormat="1" applyFont="1" applyFill="1" applyAlignment="1">
      <alignment horizontal="center"/>
    </xf>
    <xf numFmtId="165" fontId="8" fillId="3" borderId="0" xfId="0" applyNumberFormat="1" applyFont="1" applyFill="1" applyAlignment="1">
      <alignment horizontal="center"/>
    </xf>
    <xf numFmtId="0" fontId="8" fillId="0" borderId="0" xfId="0" applyFont="1" applyAlignment="1">
      <alignment horizontal="left"/>
    </xf>
    <xf numFmtId="165" fontId="8" fillId="0" borderId="2" xfId="0" applyNumberFormat="1" applyFont="1" applyBorder="1" applyAlignment="1">
      <alignment horizontal="center"/>
    </xf>
    <xf numFmtId="0" fontId="2" fillId="0" borderId="0" xfId="0" applyFont="1" applyAlignment="1">
      <alignment horizontal="left"/>
    </xf>
    <xf numFmtId="0" fontId="2" fillId="0" borderId="2" xfId="0" applyFont="1" applyBorder="1" applyAlignment="1">
      <alignment horizontal="center"/>
    </xf>
    <xf numFmtId="0" fontId="2" fillId="0" borderId="2" xfId="0" applyFont="1" applyBorder="1" applyAlignment="1">
      <alignment horizontal="center" vertical="center" wrapText="1"/>
    </xf>
    <xf numFmtId="0" fontId="2" fillId="0" borderId="2" xfId="0" applyFont="1" applyBorder="1" applyAlignment="1">
      <alignment horizontal="center" wrapText="1"/>
    </xf>
    <xf numFmtId="0" fontId="9" fillId="2" borderId="1" xfId="0" applyFont="1" applyFill="1" applyBorder="1" applyAlignment="1">
      <alignment vertical="center"/>
    </xf>
    <xf numFmtId="0" fontId="0" fillId="2" borderId="1" xfId="0" applyFill="1" applyBorder="1" applyAlignment="1">
      <alignment horizontal="left" vertical="center"/>
    </xf>
    <xf numFmtId="0" fontId="2" fillId="0" borderId="0" xfId="1" applyFont="1" applyAlignment="1">
      <alignment horizontal="center" vertical="center"/>
    </xf>
    <xf numFmtId="0" fontId="8" fillId="2" borderId="3" xfId="0" applyFont="1" applyFill="1" applyBorder="1" applyAlignment="1">
      <alignment horizontal="center" vertical="center"/>
    </xf>
    <xf numFmtId="10" fontId="8" fillId="0" borderId="0" xfId="0" applyNumberFormat="1" applyFont="1" applyAlignment="1">
      <alignment horizontal="center" vertical="center" wrapText="1"/>
    </xf>
    <xf numFmtId="0" fontId="8" fillId="0" borderId="0" xfId="0" applyFont="1" applyAlignment="1">
      <alignment horizontal="center" vertical="center" wrapText="1"/>
    </xf>
    <xf numFmtId="0" fontId="2" fillId="0" borderId="1" xfId="1" applyFont="1" applyBorder="1" applyAlignment="1">
      <alignment horizontal="center" vertical="center"/>
    </xf>
    <xf numFmtId="0" fontId="0" fillId="0" borderId="0" xfId="0" applyAlignment="1">
      <alignment horizontal="center" vertical="center"/>
    </xf>
    <xf numFmtId="3" fontId="2" fillId="0" borderId="1" xfId="0" applyNumberFormat="1" applyFont="1" applyBorder="1" applyAlignment="1">
      <alignment horizontal="center" vertical="center" wrapText="1"/>
    </xf>
    <xf numFmtId="0" fontId="8" fillId="0" borderId="0" xfId="0" applyFont="1" applyAlignment="1">
      <alignment horizontal="left" vertical="center" indent="3"/>
    </xf>
    <xf numFmtId="3" fontId="0" fillId="0" borderId="0" xfId="0" applyNumberFormat="1"/>
    <xf numFmtId="165" fontId="8" fillId="0" borderId="0" xfId="0" applyNumberFormat="1" applyFont="1" applyAlignment="1">
      <alignment horizontal="center" vertical="center"/>
    </xf>
    <xf numFmtId="10" fontId="8" fillId="0" borderId="0" xfId="0" applyNumberFormat="1" applyFont="1" applyAlignment="1">
      <alignment horizontal="center" vertical="center"/>
    </xf>
    <xf numFmtId="166" fontId="8" fillId="0" borderId="0" xfId="0" applyNumberFormat="1" applyFont="1" applyAlignment="1">
      <alignment horizontal="center" vertical="center"/>
    </xf>
    <xf numFmtId="0" fontId="8" fillId="2" borderId="3" xfId="0" applyFont="1" applyFill="1" applyBorder="1" applyAlignment="1">
      <alignment horizontal="center" vertical="center" wrapText="1"/>
    </xf>
    <xf numFmtId="10" fontId="8" fillId="2" borderId="3" xfId="0" applyNumberFormat="1" applyFont="1" applyFill="1" applyBorder="1" applyAlignment="1">
      <alignment horizontal="center" vertical="center"/>
    </xf>
    <xf numFmtId="166" fontId="8" fillId="2" borderId="3" xfId="0" applyNumberFormat="1" applyFont="1" applyFill="1" applyBorder="1" applyAlignment="1">
      <alignment horizontal="center" vertical="center"/>
    </xf>
    <xf numFmtId="10" fontId="8" fillId="2" borderId="3" xfId="1" applyNumberFormat="1" applyFont="1" applyFill="1" applyBorder="1" applyAlignment="1">
      <alignment horizontal="center" vertical="center"/>
    </xf>
    <xf numFmtId="0" fontId="4" fillId="2" borderId="3" xfId="0" applyFont="1" applyFill="1" applyBorder="1" applyAlignment="1">
      <alignment horizontal="center" vertical="center"/>
    </xf>
    <xf numFmtId="2" fontId="0" fillId="0" borderId="0" xfId="0" applyNumberFormat="1"/>
    <xf numFmtId="2" fontId="8" fillId="0" borderId="0" xfId="0" applyNumberFormat="1" applyFont="1"/>
    <xf numFmtId="0" fontId="2" fillId="0" borderId="0" xfId="0" applyFont="1" applyAlignment="1">
      <alignment vertical="center"/>
    </xf>
    <xf numFmtId="0" fontId="28" fillId="0" borderId="0" xfId="0" applyFont="1"/>
    <xf numFmtId="0" fontId="19" fillId="0" borderId="32" xfId="0" applyFont="1" applyBorder="1" applyAlignment="1">
      <alignment vertical="center" wrapText="1"/>
    </xf>
    <xf numFmtId="0" fontId="19" fillId="0" borderId="22" xfId="0" applyFont="1" applyBorder="1" applyAlignment="1">
      <alignment vertical="center" wrapText="1"/>
    </xf>
    <xf numFmtId="0" fontId="19" fillId="0" borderId="22" xfId="0" applyFont="1" applyBorder="1" applyAlignment="1">
      <alignment horizontal="left" vertical="top" wrapText="1"/>
    </xf>
    <xf numFmtId="0" fontId="19" fillId="0" borderId="32" xfId="0" applyFont="1" applyBorder="1" applyAlignment="1">
      <alignment horizontal="left" vertical="top" wrapText="1"/>
    </xf>
    <xf numFmtId="0" fontId="19" fillId="0" borderId="30" xfId="0" applyFont="1" applyBorder="1" applyAlignment="1">
      <alignment vertical="top" wrapText="1"/>
    </xf>
    <xf numFmtId="0" fontId="19" fillId="0" borderId="28" xfId="0" applyFont="1" applyBorder="1" applyAlignment="1">
      <alignment vertical="top" wrapText="1"/>
    </xf>
    <xf numFmtId="0" fontId="19" fillId="0" borderId="29" xfId="0" applyFont="1" applyBorder="1" applyAlignment="1">
      <alignment vertical="top" wrapText="1"/>
    </xf>
    <xf numFmtId="0" fontId="8" fillId="0" borderId="22" xfId="0" applyFont="1" applyBorder="1" applyAlignment="1">
      <alignment vertical="top"/>
    </xf>
    <xf numFmtId="0" fontId="2" fillId="0" borderId="2" xfId="0" applyFont="1" applyBorder="1"/>
    <xf numFmtId="0" fontId="8" fillId="0" borderId="1" xfId="1" applyFont="1" applyBorder="1" applyAlignment="1">
      <alignment horizontal="left" vertical="center"/>
    </xf>
    <xf numFmtId="0" fontId="9" fillId="2" borderId="1" xfId="1" applyFont="1" applyFill="1" applyBorder="1" applyAlignment="1">
      <alignment vertical="center"/>
    </xf>
    <xf numFmtId="0" fontId="8" fillId="2" borderId="1" xfId="1" applyFont="1" applyFill="1" applyBorder="1" applyAlignment="1">
      <alignment horizontal="left" vertical="center"/>
    </xf>
    <xf numFmtId="0" fontId="8" fillId="2" borderId="1" xfId="0" applyFont="1" applyFill="1" applyBorder="1" applyAlignment="1">
      <alignment horizontal="left" vertical="center" wrapText="1"/>
    </xf>
    <xf numFmtId="3" fontId="8" fillId="2" borderId="1" xfId="0" applyNumberFormat="1" applyFont="1" applyFill="1" applyBorder="1" applyAlignment="1">
      <alignment horizontal="center" vertical="center" wrapText="1"/>
    </xf>
    <xf numFmtId="3" fontId="8" fillId="2" borderId="1" xfId="0" applyNumberFormat="1" applyFont="1" applyFill="1" applyBorder="1" applyAlignment="1">
      <alignment vertical="center" wrapText="1"/>
    </xf>
    <xf numFmtId="0" fontId="9" fillId="0" borderId="2" xfId="1" applyFont="1" applyBorder="1" applyAlignment="1">
      <alignment vertical="center"/>
    </xf>
    <xf numFmtId="0" fontId="9" fillId="0" borderId="1" xfId="1" applyFont="1" applyBorder="1" applyAlignment="1">
      <alignment vertical="center"/>
    </xf>
    <xf numFmtId="3" fontId="24" fillId="0" borderId="2" xfId="0" applyNumberFormat="1" applyFont="1" applyBorder="1" applyAlignment="1">
      <alignment horizontal="center"/>
    </xf>
    <xf numFmtId="2" fontId="24" fillId="0" borderId="2" xfId="0" applyNumberFormat="1" applyFont="1" applyBorder="1" applyAlignment="1">
      <alignment horizontal="center"/>
    </xf>
    <xf numFmtId="3" fontId="19" fillId="0" borderId="0" xfId="0" applyNumberFormat="1" applyFont="1" applyAlignment="1">
      <alignment horizontal="center"/>
    </xf>
    <xf numFmtId="2" fontId="19" fillId="0" borderId="0" xfId="0" applyNumberFormat="1" applyFont="1" applyAlignment="1">
      <alignment horizontal="center"/>
    </xf>
    <xf numFmtId="0" fontId="19" fillId="0" borderId="0" xfId="0" applyFont="1" applyAlignment="1">
      <alignment horizontal="center"/>
    </xf>
    <xf numFmtId="0" fontId="19" fillId="0" borderId="3" xfId="0" applyFont="1" applyBorder="1" applyAlignment="1">
      <alignment horizontal="center"/>
    </xf>
    <xf numFmtId="2" fontId="19" fillId="0" borderId="3" xfId="0" applyNumberFormat="1" applyFont="1" applyBorder="1" applyAlignment="1">
      <alignment horizontal="center"/>
    </xf>
    <xf numFmtId="0" fontId="19" fillId="0" borderId="1" xfId="0" applyFont="1" applyBorder="1" applyAlignment="1">
      <alignment horizontal="center"/>
    </xf>
    <xf numFmtId="1" fontId="19" fillId="0" borderId="0" xfId="0" applyNumberFormat="1" applyFont="1" applyAlignment="1">
      <alignment horizontal="center"/>
    </xf>
    <xf numFmtId="3" fontId="19" fillId="0" borderId="1" xfId="0" applyNumberFormat="1" applyFont="1" applyBorder="1" applyAlignment="1">
      <alignment horizontal="center"/>
    </xf>
    <xf numFmtId="2" fontId="19" fillId="0" borderId="1" xfId="0" applyNumberFormat="1" applyFont="1" applyBorder="1" applyAlignment="1">
      <alignment horizontal="center"/>
    </xf>
    <xf numFmtId="1" fontId="19" fillId="0" borderId="1" xfId="0" applyNumberFormat="1" applyFont="1" applyBorder="1" applyAlignment="1">
      <alignment horizontal="center"/>
    </xf>
    <xf numFmtId="3" fontId="19" fillId="0" borderId="2" xfId="0" applyNumberFormat="1" applyFont="1" applyBorder="1" applyAlignment="1">
      <alignment horizontal="center"/>
    </xf>
    <xf numFmtId="2" fontId="19" fillId="0" borderId="2" xfId="0" applyNumberFormat="1" applyFont="1" applyBorder="1" applyAlignment="1">
      <alignment horizontal="center"/>
    </xf>
    <xf numFmtId="0" fontId="19" fillId="0" borderId="2" xfId="0" applyFont="1" applyBorder="1" applyAlignment="1">
      <alignment horizontal="center"/>
    </xf>
    <xf numFmtId="4" fontId="19" fillId="0" borderId="0" xfId="0" applyNumberFormat="1" applyFont="1" applyAlignment="1">
      <alignment horizontal="center"/>
    </xf>
    <xf numFmtId="0" fontId="29" fillId="0" borderId="0" xfId="0" applyFont="1"/>
    <xf numFmtId="168" fontId="19" fillId="0" borderId="0" xfId="4" applyNumberFormat="1" applyFont="1" applyFill="1" applyBorder="1" applyAlignment="1">
      <alignment horizontal="center"/>
    </xf>
    <xf numFmtId="168" fontId="19" fillId="0" borderId="32" xfId="4" applyNumberFormat="1" applyFont="1" applyFill="1" applyBorder="1" applyAlignment="1">
      <alignment horizontal="center"/>
    </xf>
    <xf numFmtId="3" fontId="2" fillId="0" borderId="2" xfId="0" applyNumberFormat="1" applyFont="1" applyBorder="1"/>
    <xf numFmtId="165" fontId="0" fillId="0" borderId="0" xfId="0" applyNumberFormat="1"/>
    <xf numFmtId="3" fontId="0" fillId="0" borderId="22" xfId="0" applyNumberFormat="1" applyBorder="1"/>
    <xf numFmtId="0" fontId="8" fillId="0" borderId="22" xfId="0" applyFont="1" applyBorder="1" applyAlignment="1">
      <alignment vertical="center" wrapText="1"/>
    </xf>
    <xf numFmtId="165" fontId="8" fillId="0" borderId="0" xfId="0" applyNumberFormat="1" applyFont="1" applyAlignment="1">
      <alignment vertical="center"/>
    </xf>
    <xf numFmtId="3" fontId="8" fillId="0" borderId="22" xfId="0" applyNumberFormat="1" applyFont="1" applyBorder="1" applyAlignment="1">
      <alignment vertical="center"/>
    </xf>
    <xf numFmtId="165" fontId="8" fillId="0" borderId="32" xfId="0" applyNumberFormat="1" applyFont="1" applyBorder="1" applyAlignment="1">
      <alignment vertical="center"/>
    </xf>
    <xf numFmtId="3" fontId="8" fillId="0" borderId="22" xfId="0" applyNumberFormat="1" applyFont="1" applyBorder="1" applyAlignment="1">
      <alignment horizontal="center"/>
    </xf>
    <xf numFmtId="3" fontId="0" fillId="0" borderId="0" xfId="0" applyNumberFormat="1" applyAlignment="1">
      <alignment horizontal="center"/>
    </xf>
    <xf numFmtId="0" fontId="8" fillId="0" borderId="24" xfId="0" applyFont="1" applyBorder="1" applyAlignment="1">
      <alignment horizontal="left" vertical="top" wrapText="1"/>
    </xf>
    <xf numFmtId="1" fontId="8" fillId="0" borderId="0" xfId="0" applyNumberFormat="1" applyFont="1" applyAlignment="1">
      <alignment horizontal="center"/>
    </xf>
    <xf numFmtId="168" fontId="19" fillId="0" borderId="1" xfId="4" applyNumberFormat="1" applyFont="1" applyFill="1" applyBorder="1" applyAlignment="1">
      <alignment horizontal="center"/>
    </xf>
    <xf numFmtId="168" fontId="19" fillId="0" borderId="30" xfId="4" applyNumberFormat="1" applyFont="1" applyFill="1" applyBorder="1" applyAlignment="1">
      <alignment horizontal="center"/>
    </xf>
    <xf numFmtId="2" fontId="19" fillId="0" borderId="0" xfId="0" applyNumberFormat="1" applyFont="1" applyAlignment="1">
      <alignment horizontal="left" vertical="top" wrapText="1"/>
    </xf>
    <xf numFmtId="49" fontId="8" fillId="0" borderId="19" xfId="0" applyNumberFormat="1" applyFont="1" applyBorder="1" applyAlignment="1">
      <alignment horizontal="left" vertical="top" wrapText="1"/>
    </xf>
    <xf numFmtId="17" fontId="19" fillId="0" borderId="0" xfId="0" applyNumberFormat="1" applyFont="1" applyAlignment="1">
      <alignment horizontal="left" vertical="top" wrapText="1"/>
    </xf>
    <xf numFmtId="0" fontId="8" fillId="0" borderId="35" xfId="0" applyFont="1" applyBorder="1" applyAlignment="1">
      <alignment horizontal="left" vertical="top" wrapText="1"/>
    </xf>
    <xf numFmtId="0" fontId="8" fillId="0" borderId="2" xfId="0" applyFont="1" applyBorder="1" applyAlignment="1">
      <alignment horizontal="left" vertical="top"/>
    </xf>
    <xf numFmtId="0" fontId="8" fillId="0" borderId="2" xfId="0" applyFont="1" applyBorder="1" applyAlignment="1">
      <alignment vertical="top" wrapText="1"/>
    </xf>
    <xf numFmtId="3" fontId="8" fillId="0" borderId="2" xfId="0" applyNumberFormat="1" applyFont="1" applyBorder="1" applyAlignment="1">
      <alignment horizontal="center" vertical="top"/>
    </xf>
    <xf numFmtId="167" fontId="2" fillId="0" borderId="1" xfId="0" applyNumberFormat="1" applyFont="1" applyBorder="1" applyAlignment="1">
      <alignment horizontal="left" vertical="center" wrapText="1"/>
    </xf>
    <xf numFmtId="10" fontId="8" fillId="0" borderId="1" xfId="0" applyNumberFormat="1" applyFont="1" applyBorder="1" applyAlignment="1">
      <alignment horizontal="left" vertical="center" wrapText="1"/>
    </xf>
    <xf numFmtId="3" fontId="2" fillId="0" borderId="0" xfId="0" applyNumberFormat="1" applyFont="1" applyAlignment="1">
      <alignment vertical="center"/>
    </xf>
    <xf numFmtId="167" fontId="2" fillId="0" borderId="0" xfId="0" applyNumberFormat="1" applyFont="1" applyAlignment="1">
      <alignment vertical="center"/>
    </xf>
    <xf numFmtId="165" fontId="2" fillId="0" borderId="0" xfId="0" applyNumberFormat="1" applyFont="1" applyAlignment="1">
      <alignment vertical="center"/>
    </xf>
    <xf numFmtId="165" fontId="3" fillId="0" borderId="0" xfId="0" applyNumberFormat="1" applyFont="1"/>
    <xf numFmtId="0" fontId="2" fillId="0" borderId="2" xfId="0" applyFont="1" applyBorder="1" applyAlignment="1">
      <alignment horizontal="left" vertical="center"/>
    </xf>
    <xf numFmtId="2" fontId="8" fillId="0" borderId="2" xfId="0" applyNumberFormat="1" applyFont="1" applyBorder="1"/>
    <xf numFmtId="3" fontId="0" fillId="0" borderId="2" xfId="0" applyNumberFormat="1" applyBorder="1"/>
    <xf numFmtId="2" fontId="8" fillId="0" borderId="2" xfId="0" applyNumberFormat="1" applyFont="1" applyBorder="1" applyAlignment="1">
      <alignment horizontal="center"/>
    </xf>
    <xf numFmtId="0" fontId="8" fillId="0" borderId="2" xfId="0" applyFont="1" applyBorder="1" applyAlignment="1">
      <alignment horizontal="center"/>
    </xf>
    <xf numFmtId="0" fontId="24" fillId="0" borderId="28" xfId="0" applyFont="1" applyBorder="1" applyAlignment="1">
      <alignment vertical="top" wrapText="1"/>
    </xf>
    <xf numFmtId="0" fontId="19" fillId="2" borderId="29" xfId="0" applyFont="1" applyFill="1" applyBorder="1" applyAlignment="1">
      <alignment vertical="center" wrapText="1"/>
    </xf>
    <xf numFmtId="0" fontId="26" fillId="0" borderId="0" xfId="0" applyFont="1" applyAlignment="1">
      <alignment horizontal="left" vertical="top" wrapText="1"/>
    </xf>
    <xf numFmtId="0" fontId="19" fillId="0" borderId="0" xfId="1" applyFont="1" applyAlignment="1">
      <alignment horizontal="left" vertical="top" wrapText="1"/>
    </xf>
    <xf numFmtId="0" fontId="19" fillId="2" borderId="33" xfId="0" applyFont="1" applyFill="1" applyBorder="1" applyAlignment="1">
      <alignment horizontal="left" vertical="top" wrapText="1"/>
    </xf>
    <xf numFmtId="0" fontId="9" fillId="0" borderId="0" xfId="0" applyFont="1" applyAlignment="1">
      <alignment vertical="center"/>
    </xf>
    <xf numFmtId="0" fontId="24" fillId="0" borderId="0" xfId="0" applyFont="1" applyAlignment="1">
      <alignment horizontal="center"/>
    </xf>
    <xf numFmtId="3" fontId="2" fillId="0" borderId="2" xfId="0" applyNumberFormat="1" applyFont="1" applyBorder="1" applyAlignment="1">
      <alignment horizontal="center" vertical="center"/>
    </xf>
    <xf numFmtId="3" fontId="8" fillId="0" borderId="2" xfId="0" applyNumberFormat="1" applyFont="1" applyBorder="1" applyAlignment="1">
      <alignment vertical="center"/>
    </xf>
    <xf numFmtId="3" fontId="8" fillId="0" borderId="28" xfId="0" applyNumberFormat="1" applyFont="1" applyBorder="1" applyAlignment="1">
      <alignment horizontal="center"/>
    </xf>
    <xf numFmtId="0" fontId="8" fillId="0" borderId="21" xfId="0" applyFont="1" applyBorder="1" applyAlignment="1">
      <alignment horizontal="center" vertical="center"/>
    </xf>
    <xf numFmtId="0" fontId="8" fillId="0" borderId="14" xfId="0" applyFont="1" applyBorder="1" applyAlignment="1">
      <alignment horizontal="center" vertical="center"/>
    </xf>
    <xf numFmtId="0" fontId="0" fillId="0" borderId="0" xfId="0" applyAlignment="1">
      <alignment horizontal="center"/>
    </xf>
    <xf numFmtId="0" fontId="8" fillId="0" borderId="22" xfId="0" applyFont="1" applyBorder="1" applyAlignment="1">
      <alignment horizontal="center"/>
    </xf>
    <xf numFmtId="0" fontId="8" fillId="0" borderId="28" xfId="0" applyFont="1" applyBorder="1" applyAlignment="1">
      <alignment horizontal="center"/>
    </xf>
    <xf numFmtId="0" fontId="0" fillId="0" borderId="1" xfId="0" applyBorder="1" applyAlignment="1">
      <alignment horizontal="center" vertical="center"/>
    </xf>
    <xf numFmtId="0" fontId="2" fillId="0" borderId="1" xfId="0" applyFont="1" applyBorder="1" applyAlignment="1">
      <alignment horizontal="center" vertical="center"/>
    </xf>
    <xf numFmtId="0" fontId="2" fillId="0" borderId="29" xfId="0" applyFont="1" applyBorder="1" applyAlignment="1">
      <alignment horizontal="center" vertical="center"/>
    </xf>
    <xf numFmtId="0" fontId="2" fillId="0" borderId="16" xfId="0" applyFont="1" applyBorder="1" applyAlignment="1">
      <alignment horizontal="center" vertical="center" wrapText="1"/>
    </xf>
    <xf numFmtId="49" fontId="2" fillId="0" borderId="16" xfId="0" applyNumberFormat="1" applyFont="1" applyBorder="1" applyAlignment="1">
      <alignment horizontal="center" vertical="center" wrapText="1"/>
    </xf>
    <xf numFmtId="0" fontId="2" fillId="0" borderId="2" xfId="0" applyFont="1" applyBorder="1" applyAlignment="1">
      <alignment horizontal="center" vertical="center"/>
    </xf>
    <xf numFmtId="0" fontId="2" fillId="0" borderId="28" xfId="0" applyFont="1" applyBorder="1" applyAlignment="1">
      <alignment horizontal="center" vertical="center" wrapText="1"/>
    </xf>
    <xf numFmtId="165" fontId="0" fillId="0" borderId="2" xfId="0" applyNumberFormat="1" applyBorder="1"/>
    <xf numFmtId="165" fontId="8" fillId="0" borderId="2" xfId="0" applyNumberFormat="1" applyFont="1" applyBorder="1" applyAlignment="1">
      <alignment vertical="center"/>
    </xf>
    <xf numFmtId="3" fontId="8" fillId="0" borderId="28" xfId="0" applyNumberFormat="1" applyFont="1" applyBorder="1" applyAlignment="1">
      <alignment vertical="center"/>
    </xf>
    <xf numFmtId="165" fontId="8" fillId="0" borderId="31" xfId="0" applyNumberFormat="1" applyFont="1" applyBorder="1" applyAlignment="1">
      <alignment vertical="center"/>
    </xf>
    <xf numFmtId="165" fontId="8" fillId="0" borderId="2" xfId="0" applyNumberFormat="1" applyFont="1" applyBorder="1" applyAlignment="1">
      <alignment vertical="center" wrapText="1"/>
    </xf>
    <xf numFmtId="165" fontId="8" fillId="0" borderId="31" xfId="0" applyNumberFormat="1" applyFont="1" applyBorder="1" applyAlignment="1">
      <alignment vertical="center" wrapText="1"/>
    </xf>
    <xf numFmtId="3" fontId="8" fillId="0" borderId="28" xfId="0" applyNumberFormat="1" applyFont="1" applyBorder="1" applyAlignment="1">
      <alignment vertical="center" wrapText="1"/>
    </xf>
    <xf numFmtId="0" fontId="0" fillId="0" borderId="29" xfId="0" applyBorder="1" applyAlignment="1">
      <alignment vertical="center"/>
    </xf>
    <xf numFmtId="0" fontId="0" fillId="0" borderId="28" xfId="0" applyBorder="1" applyAlignment="1">
      <alignment vertical="center"/>
    </xf>
    <xf numFmtId="0" fontId="8" fillId="0" borderId="22" xfId="0" applyFont="1" applyBorder="1" applyAlignment="1">
      <alignment vertical="center"/>
    </xf>
    <xf numFmtId="0" fontId="8" fillId="0" borderId="28" xfId="0" applyFont="1" applyBorder="1" applyAlignment="1">
      <alignment vertical="center"/>
    </xf>
    <xf numFmtId="168" fontId="19" fillId="0" borderId="2" xfId="4" applyNumberFormat="1" applyFont="1" applyFill="1" applyBorder="1" applyAlignment="1">
      <alignment horizontal="center"/>
    </xf>
    <xf numFmtId="168" fontId="19" fillId="0" borderId="31" xfId="4" applyNumberFormat="1" applyFont="1" applyFill="1" applyBorder="1" applyAlignment="1">
      <alignment horizontal="center"/>
    </xf>
    <xf numFmtId="0" fontId="18" fillId="0" borderId="0" xfId="0" applyFont="1" applyAlignment="1">
      <alignment horizontal="center" vertical="top"/>
    </xf>
    <xf numFmtId="166" fontId="8" fillId="0" borderId="0" xfId="0" applyNumberFormat="1" applyFont="1" applyAlignment="1">
      <alignment vertical="center"/>
    </xf>
    <xf numFmtId="10" fontId="8" fillId="0" borderId="0" xfId="0" applyNumberFormat="1" applyFont="1" applyAlignment="1">
      <alignment vertical="center"/>
    </xf>
    <xf numFmtId="0" fontId="17" fillId="0" borderId="0" xfId="0" applyFont="1" applyAlignment="1">
      <alignment vertical="center"/>
    </xf>
    <xf numFmtId="0" fontId="8" fillId="2" borderId="1" xfId="0" applyFont="1" applyFill="1" applyBorder="1" applyAlignment="1">
      <alignment horizontal="left" vertical="center"/>
    </xf>
    <xf numFmtId="0" fontId="8" fillId="0" borderId="0" xfId="0" applyFont="1" applyAlignment="1">
      <alignment horizontal="left" wrapText="1"/>
    </xf>
    <xf numFmtId="0" fontId="8" fillId="0" borderId="32" xfId="0" applyFont="1" applyBorder="1" applyAlignment="1">
      <alignment horizontal="left" vertical="top" wrapText="1"/>
    </xf>
    <xf numFmtId="0" fontId="8" fillId="0" borderId="19" xfId="0" applyFont="1" applyBorder="1" applyAlignment="1">
      <alignment vertical="top" wrapText="1"/>
    </xf>
    <xf numFmtId="3" fontId="8" fillId="0" borderId="28" xfId="0" applyNumberFormat="1" applyFont="1" applyBorder="1" applyAlignment="1">
      <alignment horizontal="center" wrapText="1"/>
    </xf>
    <xf numFmtId="3" fontId="24" fillId="0" borderId="3" xfId="0" applyNumberFormat="1" applyFont="1" applyBorder="1" applyAlignment="1">
      <alignment horizontal="center"/>
    </xf>
    <xf numFmtId="3" fontId="24" fillId="0" borderId="33" xfId="0" applyNumberFormat="1" applyFont="1" applyBorder="1" applyAlignment="1">
      <alignment horizontal="center"/>
    </xf>
    <xf numFmtId="3" fontId="24" fillId="0" borderId="31" xfId="0" applyNumberFormat="1" applyFont="1" applyBorder="1" applyAlignment="1">
      <alignment horizontal="center"/>
    </xf>
    <xf numFmtId="3" fontId="24" fillId="0" borderId="29" xfId="0" applyNumberFormat="1" applyFont="1" applyBorder="1" applyAlignment="1">
      <alignment horizontal="center"/>
    </xf>
    <xf numFmtId="2" fontId="19" fillId="0" borderId="22" xfId="0" applyNumberFormat="1" applyFont="1" applyBorder="1" applyAlignment="1">
      <alignment horizontal="center"/>
    </xf>
    <xf numFmtId="2" fontId="19" fillId="0" borderId="29" xfId="0" applyNumberFormat="1" applyFont="1" applyBorder="1" applyAlignment="1">
      <alignment horizontal="center"/>
    </xf>
    <xf numFmtId="0" fontId="29" fillId="0" borderId="22" xfId="0" applyFont="1" applyBorder="1"/>
    <xf numFmtId="0" fontId="29" fillId="0" borderId="32" xfId="0" applyFont="1" applyBorder="1"/>
    <xf numFmtId="0" fontId="29" fillId="0" borderId="2" xfId="0" applyFont="1" applyBorder="1"/>
    <xf numFmtId="0" fontId="29" fillId="0" borderId="28" xfId="0" applyFont="1" applyBorder="1"/>
    <xf numFmtId="0" fontId="29" fillId="0" borderId="31" xfId="0" applyFont="1" applyBorder="1"/>
    <xf numFmtId="0" fontId="29" fillId="0" borderId="3" xfId="0" applyFont="1" applyBorder="1"/>
    <xf numFmtId="2" fontId="19" fillId="0" borderId="32" xfId="0" applyNumberFormat="1" applyFont="1" applyBorder="1" applyAlignment="1">
      <alignment horizontal="center"/>
    </xf>
    <xf numFmtId="2" fontId="19" fillId="0" borderId="31" xfId="0" applyNumberFormat="1" applyFont="1" applyBorder="1" applyAlignment="1">
      <alignment horizontal="center"/>
    </xf>
    <xf numFmtId="2" fontId="19" fillId="0" borderId="28" xfId="0" applyNumberFormat="1" applyFont="1" applyBorder="1" applyAlignment="1">
      <alignment horizontal="center"/>
    </xf>
    <xf numFmtId="165" fontId="8" fillId="0" borderId="0" xfId="0" quotePrefix="1" applyNumberFormat="1" applyFont="1" applyAlignment="1">
      <alignment horizontal="center" vertical="center"/>
    </xf>
    <xf numFmtId="3" fontId="24" fillId="0" borderId="2" xfId="0" applyNumberFormat="1" applyFont="1" applyBorder="1" applyAlignment="1">
      <alignment horizontal="center" vertical="center"/>
    </xf>
    <xf numFmtId="165" fontId="19" fillId="0" borderId="0" xfId="0" quotePrefix="1" applyNumberFormat="1" applyFont="1" applyAlignment="1">
      <alignment horizontal="center" vertical="center"/>
    </xf>
    <xf numFmtId="3" fontId="24" fillId="0" borderId="0" xfId="1" applyNumberFormat="1" applyFont="1"/>
    <xf numFmtId="0" fontId="26" fillId="0" borderId="3" xfId="0" applyFont="1" applyBorder="1" applyAlignment="1">
      <alignment horizontal="left" vertical="center"/>
    </xf>
    <xf numFmtId="0" fontId="30" fillId="0" borderId="3" xfId="0" applyFont="1" applyBorder="1" applyAlignment="1">
      <alignment horizontal="left" vertical="center" wrapText="1"/>
    </xf>
    <xf numFmtId="0" fontId="31" fillId="0" borderId="0" xfId="0" applyFont="1"/>
    <xf numFmtId="0" fontId="19" fillId="0" borderId="0" xfId="1" applyFont="1" applyAlignment="1">
      <alignment horizontal="left"/>
    </xf>
    <xf numFmtId="0" fontId="26" fillId="0" borderId="3" xfId="0" applyFont="1" applyBorder="1" applyAlignment="1">
      <alignment vertical="center"/>
    </xf>
    <xf numFmtId="0" fontId="19" fillId="0" borderId="3" xfId="0" applyFont="1" applyBorder="1" applyAlignment="1">
      <alignment horizontal="left" vertical="center" wrapText="1"/>
    </xf>
    <xf numFmtId="0" fontId="19" fillId="0" borderId="0" xfId="0" applyFont="1"/>
    <xf numFmtId="0" fontId="26" fillId="0" borderId="3" xfId="1" applyFont="1" applyBorder="1" applyAlignment="1">
      <alignment vertical="center"/>
    </xf>
    <xf numFmtId="0" fontId="19" fillId="0" borderId="3" xfId="1" applyFont="1" applyBorder="1" applyAlignment="1">
      <alignment horizontal="left" vertical="center"/>
    </xf>
    <xf numFmtId="0" fontId="31" fillId="0" borderId="3" xfId="0" applyFont="1" applyBorder="1" applyAlignment="1">
      <alignment horizontal="left" vertical="center"/>
    </xf>
    <xf numFmtId="0" fontId="31" fillId="0" borderId="2" xfId="0" applyFont="1" applyBorder="1"/>
    <xf numFmtId="0" fontId="19" fillId="0" borderId="2" xfId="0" applyFont="1" applyBorder="1"/>
    <xf numFmtId="165" fontId="19" fillId="0" borderId="0" xfId="0" applyNumberFormat="1" applyFont="1" applyAlignment="1">
      <alignment horizontal="center"/>
    </xf>
    <xf numFmtId="165" fontId="19" fillId="0" borderId="2" xfId="0" applyNumberFormat="1" applyFont="1" applyBorder="1" applyAlignment="1">
      <alignment horizontal="center"/>
    </xf>
    <xf numFmtId="165" fontId="19" fillId="0" borderId="1" xfId="0" applyNumberFormat="1" applyFont="1" applyBorder="1" applyAlignment="1">
      <alignment horizontal="center"/>
    </xf>
    <xf numFmtId="169" fontId="8" fillId="0" borderId="0" xfId="0" applyNumberFormat="1" applyFont="1"/>
    <xf numFmtId="0" fontId="8" fillId="0" borderId="1" xfId="0" applyFont="1" applyBorder="1" applyAlignment="1">
      <alignment horizontal="center"/>
    </xf>
    <xf numFmtId="0" fontId="8" fillId="0" borderId="3" xfId="0" applyFont="1" applyBorder="1" applyAlignment="1">
      <alignment vertical="center"/>
    </xf>
    <xf numFmtId="165" fontId="8" fillId="0" borderId="1" xfId="0" applyNumberFormat="1" applyFont="1" applyBorder="1" applyAlignment="1">
      <alignment horizontal="center"/>
    </xf>
    <xf numFmtId="0" fontId="8" fillId="0" borderId="33" xfId="0" applyFont="1" applyBorder="1" applyAlignment="1">
      <alignment horizontal="center"/>
    </xf>
    <xf numFmtId="0" fontId="8" fillId="0" borderId="29" xfId="0" applyFont="1" applyBorder="1" applyAlignment="1">
      <alignment horizontal="center"/>
    </xf>
    <xf numFmtId="3" fontId="24" fillId="0" borderId="3" xfId="0" applyNumberFormat="1" applyFont="1" applyBorder="1" applyAlignment="1">
      <alignment horizontal="center" vertical="center"/>
    </xf>
    <xf numFmtId="170" fontId="29" fillId="0" borderId="0" xfId="0" applyNumberFormat="1" applyFont="1"/>
    <xf numFmtId="170" fontId="3" fillId="0" borderId="3" xfId="0" applyNumberFormat="1" applyFont="1" applyBorder="1" applyAlignment="1">
      <alignment horizontal="center" vertical="center"/>
    </xf>
    <xf numFmtId="170" fontId="8" fillId="0" borderId="0" xfId="0" applyNumberFormat="1" applyFont="1" applyAlignment="1">
      <alignment horizontal="center" vertical="center"/>
    </xf>
    <xf numFmtId="170" fontId="0" fillId="0" borderId="0" xfId="0" applyNumberFormat="1"/>
    <xf numFmtId="0" fontId="29" fillId="0" borderId="0" xfId="0" quotePrefix="1" applyFont="1"/>
    <xf numFmtId="165" fontId="8" fillId="0" borderId="1" xfId="0" applyNumberFormat="1" applyFont="1" applyBorder="1" applyAlignment="1">
      <alignment horizontal="center" vertical="center"/>
    </xf>
    <xf numFmtId="165" fontId="8" fillId="0" borderId="2" xfId="0" applyNumberFormat="1" applyFont="1" applyBorder="1" applyAlignment="1">
      <alignment horizontal="center" vertical="center"/>
    </xf>
    <xf numFmtId="165" fontId="29" fillId="0" borderId="0" xfId="0" applyNumberFormat="1" applyFont="1"/>
    <xf numFmtId="165" fontId="24" fillId="0" borderId="2" xfId="0" applyNumberFormat="1" applyFont="1" applyBorder="1" applyAlignment="1">
      <alignment horizontal="center" vertical="center"/>
    </xf>
    <xf numFmtId="0" fontId="29" fillId="4" borderId="0" xfId="0" applyFont="1" applyFill="1"/>
    <xf numFmtId="0" fontId="24" fillId="4" borderId="0" xfId="1" applyFont="1" applyFill="1" applyAlignment="1">
      <alignment vertical="center"/>
    </xf>
    <xf numFmtId="3" fontId="24" fillId="4" borderId="2" xfId="0" applyNumberFormat="1" applyFont="1" applyFill="1" applyBorder="1" applyAlignment="1">
      <alignment horizontal="center" vertical="center"/>
    </xf>
    <xf numFmtId="165" fontId="8" fillId="4" borderId="0" xfId="0" applyNumberFormat="1" applyFont="1" applyFill="1" applyAlignment="1">
      <alignment horizontal="center" vertical="center"/>
    </xf>
    <xf numFmtId="0" fontId="24" fillId="4" borderId="0" xfId="1" applyFont="1" applyFill="1" applyAlignment="1">
      <alignment horizontal="center" vertical="center"/>
    </xf>
    <xf numFmtId="3" fontId="24" fillId="0" borderId="3" xfId="0" quotePrefix="1" applyNumberFormat="1" applyFont="1" applyBorder="1" applyAlignment="1">
      <alignment horizontal="center" vertical="center"/>
    </xf>
    <xf numFmtId="3" fontId="29" fillId="0" borderId="0" xfId="0" applyNumberFormat="1" applyFont="1"/>
    <xf numFmtId="2" fontId="19" fillId="0" borderId="7" xfId="0" applyNumberFormat="1" applyFont="1" applyBorder="1" applyAlignment="1">
      <alignment horizontal="center"/>
    </xf>
    <xf numFmtId="2" fontId="19" fillId="0" borderId="21" xfId="0" applyNumberFormat="1" applyFont="1" applyBorder="1" applyAlignment="1">
      <alignment horizontal="center"/>
    </xf>
    <xf numFmtId="0" fontId="29" fillId="0" borderId="14" xfId="0" applyFont="1" applyBorder="1"/>
    <xf numFmtId="165" fontId="19" fillId="0" borderId="32" xfId="0" quotePrefix="1" applyNumberFormat="1" applyFont="1" applyBorder="1" applyAlignment="1">
      <alignment horizontal="center" vertical="center"/>
    </xf>
    <xf numFmtId="165" fontId="19" fillId="0" borderId="31" xfId="0" quotePrefix="1" applyNumberFormat="1" applyFont="1" applyBorder="1" applyAlignment="1">
      <alignment horizontal="center" vertical="center"/>
    </xf>
    <xf numFmtId="165" fontId="19" fillId="0" borderId="28" xfId="0" quotePrefix="1" applyNumberFormat="1" applyFont="1" applyBorder="1" applyAlignment="1">
      <alignment horizontal="center" vertical="center"/>
    </xf>
    <xf numFmtId="165" fontId="19" fillId="0" borderId="22" xfId="0" quotePrefix="1" applyNumberFormat="1" applyFont="1" applyBorder="1" applyAlignment="1">
      <alignment horizontal="center" vertical="center"/>
    </xf>
    <xf numFmtId="165" fontId="19" fillId="0" borderId="30" xfId="0" quotePrefix="1" applyNumberFormat="1" applyFont="1" applyBorder="1" applyAlignment="1">
      <alignment horizontal="center" vertical="center"/>
    </xf>
    <xf numFmtId="165" fontId="19" fillId="0" borderId="29" xfId="0" quotePrefix="1" applyNumberFormat="1" applyFont="1" applyBorder="1" applyAlignment="1">
      <alignment horizontal="center" vertical="center"/>
    </xf>
    <xf numFmtId="3" fontId="24" fillId="0" borderId="34" xfId="0" applyNumberFormat="1" applyFont="1" applyBorder="1" applyAlignment="1">
      <alignment horizontal="center"/>
    </xf>
    <xf numFmtId="3" fontId="24" fillId="0" borderId="34" xfId="0" quotePrefix="1" applyNumberFormat="1" applyFont="1" applyBorder="1" applyAlignment="1">
      <alignment horizontal="center" vertical="center"/>
    </xf>
    <xf numFmtId="3" fontId="24" fillId="0" borderId="33" xfId="0" applyNumberFormat="1" applyFont="1" applyBorder="1" applyAlignment="1">
      <alignment horizontal="center" vertical="center"/>
    </xf>
    <xf numFmtId="165" fontId="8" fillId="0" borderId="32" xfId="0" quotePrefix="1" applyNumberFormat="1" applyFont="1" applyBorder="1" applyAlignment="1">
      <alignment horizontal="center" vertical="center"/>
    </xf>
    <xf numFmtId="165" fontId="8" fillId="0" borderId="22" xfId="0" applyNumberFormat="1" applyFont="1" applyBorder="1" applyAlignment="1">
      <alignment horizontal="center" vertical="center"/>
    </xf>
    <xf numFmtId="165" fontId="8" fillId="0" borderId="31" xfId="0" quotePrefix="1" applyNumberFormat="1" applyFont="1" applyBorder="1" applyAlignment="1">
      <alignment horizontal="center" vertical="center"/>
    </xf>
    <xf numFmtId="165" fontId="8" fillId="0" borderId="28" xfId="0" applyNumberFormat="1" applyFont="1" applyBorder="1" applyAlignment="1">
      <alignment horizontal="center" vertical="center"/>
    </xf>
    <xf numFmtId="165" fontId="8" fillId="0" borderId="30" xfId="0" quotePrefix="1" applyNumberFormat="1" applyFont="1" applyBorder="1" applyAlignment="1">
      <alignment horizontal="center" vertical="center"/>
    </xf>
    <xf numFmtId="165" fontId="8" fillId="0" borderId="29" xfId="0" applyNumberFormat="1" applyFont="1" applyBorder="1" applyAlignment="1">
      <alignment horizontal="center" vertical="center"/>
    </xf>
    <xf numFmtId="0" fontId="2" fillId="4" borderId="0" xfId="0" applyFont="1" applyFill="1" applyAlignment="1">
      <alignment vertical="center"/>
    </xf>
    <xf numFmtId="0" fontId="30" fillId="0" borderId="0" xfId="0" applyFont="1" applyAlignment="1">
      <alignment horizontal="left" vertical="center" wrapText="1"/>
    </xf>
    <xf numFmtId="0" fontId="19" fillId="0" borderId="0" xfId="1" applyFont="1" applyAlignment="1">
      <alignment horizontal="left" vertical="center"/>
    </xf>
    <xf numFmtId="0" fontId="31" fillId="0" borderId="0" xfId="0" applyFont="1" applyAlignment="1">
      <alignment horizontal="left" vertical="center"/>
    </xf>
    <xf numFmtId="3" fontId="8" fillId="0" borderId="30" xfId="0" applyNumberFormat="1" applyFont="1" applyBorder="1" applyAlignment="1">
      <alignment horizontal="center" vertical="center"/>
    </xf>
    <xf numFmtId="0" fontId="8" fillId="0" borderId="29" xfId="0" applyFont="1" applyBorder="1" applyAlignment="1">
      <alignment horizontal="center" vertical="center"/>
    </xf>
    <xf numFmtId="3" fontId="8" fillId="0" borderId="32" xfId="0" applyNumberFormat="1" applyFont="1" applyBorder="1" applyAlignment="1">
      <alignment horizontal="center" vertical="center"/>
    </xf>
    <xf numFmtId="0" fontId="8" fillId="0" borderId="22" xfId="0" applyFont="1" applyBorder="1" applyAlignment="1">
      <alignment horizontal="center" vertical="center"/>
    </xf>
    <xf numFmtId="3" fontId="8" fillId="0" borderId="31" xfId="0" applyNumberFormat="1" applyFont="1" applyBorder="1" applyAlignment="1">
      <alignment horizontal="center" vertical="center"/>
    </xf>
    <xf numFmtId="0" fontId="8" fillId="0" borderId="28" xfId="0" applyFont="1" applyBorder="1" applyAlignment="1">
      <alignment horizontal="center" vertical="center"/>
    </xf>
    <xf numFmtId="3" fontId="24" fillId="0" borderId="28" xfId="0" applyNumberFormat="1" applyFont="1" applyBorder="1" applyAlignment="1">
      <alignment horizontal="center"/>
    </xf>
    <xf numFmtId="3" fontId="24" fillId="0" borderId="34" xfId="0" applyNumberFormat="1" applyFont="1" applyBorder="1" applyAlignment="1">
      <alignment horizontal="center" vertical="center"/>
    </xf>
    <xf numFmtId="3" fontId="24" fillId="0" borderId="31" xfId="0" applyNumberFormat="1" applyFont="1" applyBorder="1" applyAlignment="1">
      <alignment horizontal="center" vertical="center"/>
    </xf>
    <xf numFmtId="165" fontId="24" fillId="0" borderId="3" xfId="0" applyNumberFormat="1" applyFont="1" applyBorder="1" applyAlignment="1">
      <alignment horizontal="center" vertical="center"/>
    </xf>
    <xf numFmtId="165" fontId="29" fillId="0" borderId="2" xfId="0" applyNumberFormat="1" applyFont="1" applyBorder="1"/>
    <xf numFmtId="165" fontId="29" fillId="0" borderId="3" xfId="0" applyNumberFormat="1" applyFont="1" applyBorder="1"/>
    <xf numFmtId="165" fontId="19" fillId="0" borderId="3" xfId="0" applyNumberFormat="1" applyFont="1" applyBorder="1" applyAlignment="1">
      <alignment horizontal="center"/>
    </xf>
    <xf numFmtId="165" fontId="24" fillId="0" borderId="2" xfId="0" applyNumberFormat="1" applyFont="1" applyBorder="1" applyAlignment="1">
      <alignment horizontal="center"/>
    </xf>
    <xf numFmtId="165" fontId="24" fillId="0" borderId="31" xfId="0" applyNumberFormat="1" applyFont="1" applyBorder="1" applyAlignment="1">
      <alignment horizontal="center"/>
    </xf>
    <xf numFmtId="165" fontId="24" fillId="0" borderId="3" xfId="0" applyNumberFormat="1" applyFont="1" applyBorder="1" applyAlignment="1">
      <alignment horizontal="center"/>
    </xf>
    <xf numFmtId="165" fontId="19" fillId="0" borderId="32" xfId="0" applyNumberFormat="1" applyFont="1" applyBorder="1" applyAlignment="1">
      <alignment horizontal="center"/>
    </xf>
    <xf numFmtId="165" fontId="19" fillId="0" borderId="29" xfId="0" applyNumberFormat="1" applyFont="1" applyBorder="1" applyAlignment="1">
      <alignment horizontal="center"/>
    </xf>
    <xf numFmtId="165" fontId="19" fillId="0" borderId="22" xfId="0" applyNumberFormat="1" applyFont="1" applyBorder="1" applyAlignment="1">
      <alignment horizontal="center"/>
    </xf>
    <xf numFmtId="165" fontId="29" fillId="0" borderId="31" xfId="0" applyNumberFormat="1" applyFont="1" applyBorder="1"/>
    <xf numFmtId="165" fontId="29" fillId="0" borderId="28" xfId="0" applyNumberFormat="1" applyFont="1" applyBorder="1"/>
    <xf numFmtId="165" fontId="19" fillId="0" borderId="31" xfId="0" applyNumberFormat="1" applyFont="1" applyBorder="1" applyAlignment="1">
      <alignment horizontal="center"/>
    </xf>
    <xf numFmtId="165" fontId="29" fillId="0" borderId="0" xfId="0" applyNumberFormat="1" applyFont="1" applyAlignment="1">
      <alignment horizontal="center"/>
    </xf>
    <xf numFmtId="165" fontId="29" fillId="0" borderId="2" xfId="0" applyNumberFormat="1" applyFont="1" applyBorder="1" applyAlignment="1">
      <alignment horizontal="center"/>
    </xf>
    <xf numFmtId="165" fontId="29" fillId="0" borderId="1" xfId="0" applyNumberFormat="1" applyFont="1" applyBorder="1"/>
    <xf numFmtId="165" fontId="29" fillId="0" borderId="1" xfId="0" applyNumberFormat="1" applyFont="1" applyBorder="1" applyAlignment="1">
      <alignment horizontal="center"/>
    </xf>
    <xf numFmtId="165" fontId="29" fillId="0" borderId="3" xfId="0" applyNumberFormat="1" applyFont="1" applyBorder="1" applyAlignment="1">
      <alignment horizontal="center"/>
    </xf>
    <xf numFmtId="165" fontId="8" fillId="0" borderId="30" xfId="0" applyNumberFormat="1" applyFont="1" applyBorder="1" applyAlignment="1">
      <alignment horizontal="center" vertical="center"/>
    </xf>
    <xf numFmtId="165" fontId="24" fillId="0" borderId="34" xfId="0" applyNumberFormat="1" applyFont="1" applyBorder="1" applyAlignment="1">
      <alignment horizontal="center"/>
    </xf>
    <xf numFmtId="165" fontId="24" fillId="0" borderId="33" xfId="0" applyNumberFormat="1" applyFont="1" applyBorder="1" applyAlignment="1">
      <alignment horizontal="center"/>
    </xf>
    <xf numFmtId="165" fontId="8" fillId="0" borderId="32" xfId="0" applyNumberFormat="1" applyFont="1" applyBorder="1" applyAlignment="1">
      <alignment horizontal="center" vertical="center"/>
    </xf>
    <xf numFmtId="165" fontId="29" fillId="0" borderId="28" xfId="0" applyNumberFormat="1" applyFont="1" applyBorder="1" applyAlignment="1">
      <alignment horizontal="center"/>
    </xf>
    <xf numFmtId="165" fontId="19" fillId="0" borderId="28" xfId="0" applyNumberFormat="1" applyFont="1" applyBorder="1" applyAlignment="1">
      <alignment horizontal="center"/>
    </xf>
    <xf numFmtId="165" fontId="8" fillId="0" borderId="31" xfId="0" applyNumberFormat="1" applyFont="1" applyBorder="1" applyAlignment="1">
      <alignment horizontal="center" vertical="center"/>
    </xf>
    <xf numFmtId="165" fontId="24" fillId="0" borderId="3" xfId="0" quotePrefix="1" applyNumberFormat="1" applyFont="1" applyBorder="1" applyAlignment="1">
      <alignment horizontal="center" vertical="center"/>
    </xf>
    <xf numFmtId="165" fontId="24" fillId="0" borderId="34" xfId="0" quotePrefix="1" applyNumberFormat="1" applyFont="1" applyBorder="1" applyAlignment="1">
      <alignment horizontal="center" vertical="center"/>
    </xf>
    <xf numFmtId="171" fontId="3" fillId="0" borderId="33" xfId="0" applyNumberFormat="1" applyFont="1" applyBorder="1" applyAlignment="1">
      <alignment horizontal="center" vertical="center"/>
    </xf>
    <xf numFmtId="170" fontId="8" fillId="0" borderId="2" xfId="0" applyNumberFormat="1" applyFont="1" applyBorder="1" applyAlignment="1">
      <alignment horizontal="center" vertical="center"/>
    </xf>
    <xf numFmtId="170" fontId="8" fillId="0" borderId="1" xfId="0" applyNumberFormat="1" applyFont="1" applyBorder="1" applyAlignment="1">
      <alignment horizontal="center" vertical="center"/>
    </xf>
    <xf numFmtId="171" fontId="8" fillId="0" borderId="0" xfId="0" applyNumberFormat="1" applyFont="1" applyAlignment="1">
      <alignment horizontal="center"/>
    </xf>
    <xf numFmtId="171" fontId="8" fillId="0" borderId="22" xfId="0" applyNumberFormat="1" applyFont="1" applyBorder="1" applyAlignment="1">
      <alignment horizontal="center"/>
    </xf>
    <xf numFmtId="171" fontId="8" fillId="0" borderId="28" xfId="0" applyNumberFormat="1" applyFont="1" applyBorder="1" applyAlignment="1">
      <alignment horizontal="center"/>
    </xf>
    <xf numFmtId="171" fontId="8" fillId="0" borderId="29" xfId="0" applyNumberFormat="1" applyFont="1" applyBorder="1" applyAlignment="1">
      <alignment horizontal="center"/>
    </xf>
    <xf numFmtId="0" fontId="19" fillId="0" borderId="21" xfId="0" applyFont="1" applyBorder="1" applyAlignment="1">
      <alignment horizontal="left" vertical="center" wrapText="1"/>
    </xf>
    <xf numFmtId="0" fontId="19" fillId="0" borderId="21" xfId="0" applyFont="1" applyBorder="1"/>
    <xf numFmtId="0" fontId="19" fillId="0" borderId="14" xfId="0" applyFont="1" applyBorder="1"/>
    <xf numFmtId="0" fontId="19" fillId="0" borderId="7" xfId="0" applyFont="1" applyBorder="1" applyAlignment="1">
      <alignment horizontal="left" vertical="center" wrapText="1"/>
    </xf>
    <xf numFmtId="0" fontId="31" fillId="0" borderId="14" xfId="0" applyFont="1" applyBorder="1"/>
    <xf numFmtId="0" fontId="19" fillId="0" borderId="7" xfId="0" applyFont="1" applyBorder="1"/>
    <xf numFmtId="0" fontId="24" fillId="4" borderId="32" xfId="1" applyFont="1" applyFill="1" applyBorder="1" applyAlignment="1">
      <alignment horizontal="center" vertical="center"/>
    </xf>
    <xf numFmtId="3" fontId="24" fillId="4" borderId="32" xfId="0" applyNumberFormat="1" applyFont="1" applyFill="1" applyBorder="1" applyAlignment="1">
      <alignment horizontal="center"/>
    </xf>
    <xf numFmtId="2" fontId="19" fillId="4" borderId="32" xfId="0" applyNumberFormat="1" applyFont="1" applyFill="1" applyBorder="1" applyAlignment="1">
      <alignment horizontal="center"/>
    </xf>
    <xf numFmtId="0" fontId="29" fillId="4" borderId="32" xfId="0" applyFont="1" applyFill="1" applyBorder="1"/>
    <xf numFmtId="2" fontId="19" fillId="4" borderId="31" xfId="0" applyNumberFormat="1" applyFont="1" applyFill="1" applyBorder="1" applyAlignment="1">
      <alignment horizontal="center"/>
    </xf>
    <xf numFmtId="0" fontId="2" fillId="0" borderId="3" xfId="1" applyFont="1" applyBorder="1" applyAlignment="1">
      <alignment horizontal="center" vertical="center"/>
    </xf>
    <xf numFmtId="0" fontId="8" fillId="0" borderId="0" xfId="1" applyFont="1" applyAlignment="1">
      <alignment horizontal="left" wrapText="1"/>
    </xf>
    <xf numFmtId="0" fontId="8" fillId="0" borderId="1" xfId="0" applyFont="1" applyBorder="1" applyAlignment="1">
      <alignment horizontal="left" vertical="top" wrapText="1"/>
    </xf>
    <xf numFmtId="0" fontId="8" fillId="0" borderId="0" xfId="0" applyFont="1" applyAlignment="1">
      <alignment horizontal="center" vertical="center"/>
    </xf>
    <xf numFmtId="0" fontId="8" fillId="0" borderId="2" xfId="0" applyFont="1" applyBorder="1" applyAlignment="1">
      <alignment horizontal="center"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8" fillId="0" borderId="1" xfId="0" applyFont="1" applyBorder="1" applyAlignment="1">
      <alignment horizontal="center" vertical="center"/>
    </xf>
    <xf numFmtId="0" fontId="2" fillId="0" borderId="0" xfId="0" applyFont="1" applyAlignment="1">
      <alignment horizontal="center"/>
    </xf>
    <xf numFmtId="0" fontId="8" fillId="0" borderId="0" xfId="0" applyFont="1" applyAlignment="1">
      <alignment horizontal="center"/>
    </xf>
    <xf numFmtId="0" fontId="8" fillId="0" borderId="0" xfId="0" applyFont="1" applyAlignment="1">
      <alignment horizontal="left" vertical="top" wrapText="1"/>
    </xf>
    <xf numFmtId="165" fontId="8" fillId="0" borderId="32" xfId="0" quotePrefix="1" applyNumberFormat="1" applyFont="1" applyBorder="1" applyAlignment="1">
      <alignment horizontal="center" vertical="center"/>
    </xf>
    <xf numFmtId="165" fontId="8" fillId="0" borderId="22" xfId="0" quotePrefix="1" applyNumberFormat="1" applyFont="1" applyBorder="1" applyAlignment="1">
      <alignment horizontal="center" vertical="center"/>
    </xf>
    <xf numFmtId="165" fontId="8" fillId="0" borderId="32" xfId="0" applyNumberFormat="1" applyFont="1" applyBorder="1" applyAlignment="1">
      <alignment horizontal="center" vertical="center"/>
    </xf>
    <xf numFmtId="165" fontId="8" fillId="0" borderId="0" xfId="0" applyNumberFormat="1" applyFont="1" applyAlignment="1">
      <alignment horizontal="center" vertical="center"/>
    </xf>
    <xf numFmtId="165" fontId="8" fillId="0" borderId="22" xfId="0" applyNumberFormat="1" applyFont="1" applyBorder="1" applyAlignment="1">
      <alignment horizontal="center" vertical="center"/>
    </xf>
    <xf numFmtId="165" fontId="8" fillId="0" borderId="30" xfId="0" quotePrefix="1" applyNumberFormat="1" applyFont="1" applyBorder="1" applyAlignment="1">
      <alignment horizontal="center" vertical="center"/>
    </xf>
    <xf numFmtId="165" fontId="8" fillId="0" borderId="1" xfId="0" quotePrefix="1" applyNumberFormat="1" applyFont="1" applyBorder="1" applyAlignment="1">
      <alignment horizontal="center" vertical="center"/>
    </xf>
    <xf numFmtId="165" fontId="8" fillId="0" borderId="29" xfId="0" quotePrefix="1" applyNumberFormat="1" applyFont="1" applyBorder="1" applyAlignment="1">
      <alignment horizontal="center" vertical="center"/>
    </xf>
    <xf numFmtId="165" fontId="8" fillId="0" borderId="0" xfId="0" quotePrefix="1" applyNumberFormat="1" applyFont="1" applyAlignment="1">
      <alignment horizontal="center" vertical="center"/>
    </xf>
    <xf numFmtId="0" fontId="24" fillId="0" borderId="34" xfId="1" applyFont="1" applyBorder="1" applyAlignment="1">
      <alignment horizontal="center" vertical="center"/>
    </xf>
    <xf numFmtId="0" fontId="24" fillId="0" borderId="33" xfId="1" applyFont="1" applyBorder="1" applyAlignment="1">
      <alignment horizontal="center" vertical="center"/>
    </xf>
    <xf numFmtId="3" fontId="8" fillId="0" borderId="32" xfId="0" applyNumberFormat="1" applyFont="1" applyBorder="1" applyAlignment="1">
      <alignment horizontal="center" vertical="center"/>
    </xf>
    <xf numFmtId="3" fontId="8" fillId="0" borderId="0" xfId="0" applyNumberFormat="1" applyFont="1" applyAlignment="1">
      <alignment horizontal="center" vertical="center"/>
    </xf>
    <xf numFmtId="3" fontId="8" fillId="0" borderId="22" xfId="0" applyNumberFormat="1" applyFont="1" applyBorder="1" applyAlignment="1">
      <alignment horizontal="center" vertical="center"/>
    </xf>
    <xf numFmtId="3" fontId="8" fillId="0" borderId="30" xfId="0" applyNumberFormat="1" applyFont="1" applyBorder="1" applyAlignment="1">
      <alignment horizontal="center" vertical="center"/>
    </xf>
    <xf numFmtId="3" fontId="8" fillId="0" borderId="1" xfId="0" applyNumberFormat="1" applyFont="1" applyBorder="1" applyAlignment="1">
      <alignment horizontal="center" vertical="center"/>
    </xf>
    <xf numFmtId="3" fontId="8" fillId="0" borderId="29" xfId="0" applyNumberFormat="1" applyFont="1" applyBorder="1" applyAlignment="1">
      <alignment horizontal="center" vertical="center"/>
    </xf>
    <xf numFmtId="0" fontId="24" fillId="0" borderId="3" xfId="1" applyFont="1" applyBorder="1" applyAlignment="1">
      <alignment horizontal="center" vertical="center"/>
    </xf>
    <xf numFmtId="165" fontId="24" fillId="0" borderId="34" xfId="1" applyNumberFormat="1" applyFont="1" applyBorder="1" applyAlignment="1">
      <alignment horizontal="center" vertical="center"/>
    </xf>
    <xf numFmtId="165" fontId="24" fillId="0" borderId="3" xfId="1" applyNumberFormat="1" applyFont="1" applyBorder="1" applyAlignment="1">
      <alignment horizontal="center" vertical="center"/>
    </xf>
    <xf numFmtId="165" fontId="24" fillId="0" borderId="33" xfId="1" applyNumberFormat="1" applyFont="1" applyBorder="1" applyAlignment="1">
      <alignment horizontal="center" vertical="center"/>
    </xf>
    <xf numFmtId="2" fontId="19" fillId="0" borderId="32" xfId="0" applyNumberFormat="1" applyFont="1" applyBorder="1" applyAlignment="1">
      <alignment horizontal="center"/>
    </xf>
    <xf numFmtId="2" fontId="19" fillId="0" borderId="0" xfId="0" applyNumberFormat="1" applyFont="1" applyAlignment="1">
      <alignment horizontal="center"/>
    </xf>
    <xf numFmtId="2" fontId="19" fillId="0" borderId="22" xfId="0" applyNumberFormat="1" applyFont="1" applyBorder="1" applyAlignment="1">
      <alignment horizontal="center"/>
    </xf>
    <xf numFmtId="0" fontId="24" fillId="0" borderId="1" xfId="1" applyFont="1" applyBorder="1" applyAlignment="1">
      <alignment horizontal="center" vertical="center"/>
    </xf>
    <xf numFmtId="0" fontId="24" fillId="0" borderId="29" xfId="1" applyFont="1" applyBorder="1" applyAlignment="1">
      <alignment horizontal="center" vertical="center"/>
    </xf>
    <xf numFmtId="2" fontId="19" fillId="0" borderId="1" xfId="0" applyNumberFormat="1" applyFont="1" applyBorder="1" applyAlignment="1">
      <alignment horizontal="center"/>
    </xf>
    <xf numFmtId="2" fontId="19" fillId="0" borderId="30" xfId="0" applyNumberFormat="1" applyFont="1" applyBorder="1" applyAlignment="1">
      <alignment horizontal="center"/>
    </xf>
    <xf numFmtId="2" fontId="19" fillId="0" borderId="29" xfId="0" applyNumberFormat="1" applyFont="1" applyBorder="1" applyAlignment="1">
      <alignment horizontal="center"/>
    </xf>
    <xf numFmtId="0" fontId="24" fillId="0" borderId="2" xfId="1" applyFont="1" applyBorder="1" applyAlignment="1">
      <alignment horizontal="center" vertical="center"/>
    </xf>
    <xf numFmtId="0" fontId="24" fillId="0" borderId="7" xfId="1" applyFont="1" applyBorder="1" applyAlignment="1">
      <alignment horizontal="center" vertical="center" wrapText="1"/>
    </xf>
    <xf numFmtId="0" fontId="24" fillId="0" borderId="14" xfId="1" applyFont="1" applyBorder="1" applyAlignment="1">
      <alignment horizontal="center" vertical="center" wrapText="1"/>
    </xf>
    <xf numFmtId="0" fontId="2" fillId="0" borderId="0" xfId="0" applyFont="1" applyAlignment="1">
      <alignment horizontal="center"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0" xfId="0" applyFont="1" applyAlignment="1">
      <alignment horizontal="left" vertical="center" wrapText="1"/>
    </xf>
    <xf numFmtId="0" fontId="8" fillId="0" borderId="2" xfId="0" applyFont="1" applyBorder="1" applyAlignment="1">
      <alignment horizontal="left" vertical="center" wrapText="1"/>
    </xf>
    <xf numFmtId="0" fontId="8" fillId="0" borderId="0" xfId="0" applyFont="1" applyAlignment="1">
      <alignment horizontal="left" vertical="center"/>
    </xf>
    <xf numFmtId="165" fontId="8" fillId="0" borderId="1" xfId="0" applyNumberFormat="1" applyFont="1" applyBorder="1" applyAlignment="1">
      <alignment horizontal="center" vertical="center"/>
    </xf>
    <xf numFmtId="165" fontId="8" fillId="0" borderId="2" xfId="0" applyNumberFormat="1" applyFont="1" applyBorder="1" applyAlignment="1">
      <alignment horizontal="center" vertical="center"/>
    </xf>
    <xf numFmtId="0" fontId="8" fillId="0" borderId="1" xfId="0" applyFont="1" applyBorder="1" applyAlignment="1">
      <alignment horizontal="center"/>
    </xf>
    <xf numFmtId="0" fontId="8" fillId="0" borderId="2" xfId="0" applyFont="1" applyBorder="1" applyAlignment="1">
      <alignment horizontal="center"/>
    </xf>
    <xf numFmtId="0" fontId="19" fillId="0" borderId="0" xfId="0" applyFont="1" applyAlignment="1">
      <alignment horizontal="left" vertical="top" wrapText="1"/>
    </xf>
    <xf numFmtId="0" fontId="8" fillId="0" borderId="0" xfId="0" applyFont="1" applyAlignment="1">
      <alignment horizontal="left" wrapText="1"/>
    </xf>
    <xf numFmtId="0" fontId="8" fillId="0" borderId="23" xfId="0" applyFont="1" applyBorder="1" applyAlignment="1">
      <alignment horizontal="left" vertical="center" wrapText="1"/>
    </xf>
    <xf numFmtId="0" fontId="8" fillId="0" borderId="27" xfId="0" applyFont="1" applyBorder="1" applyAlignment="1">
      <alignment horizontal="left" vertical="top" wrapText="1"/>
    </xf>
    <xf numFmtId="0" fontId="8" fillId="0" borderId="2" xfId="0" applyFont="1" applyBorder="1" applyAlignment="1">
      <alignment horizontal="left" vertical="top" wrapText="1"/>
    </xf>
    <xf numFmtId="0" fontId="8" fillId="0" borderId="12" xfId="0" applyFont="1" applyBorder="1" applyAlignment="1">
      <alignment horizontal="left" vertical="top" wrapText="1"/>
    </xf>
    <xf numFmtId="2" fontId="8" fillId="0" borderId="27" xfId="0" applyNumberFormat="1" applyFont="1" applyBorder="1" applyAlignment="1">
      <alignment horizontal="left" vertical="top" wrapText="1"/>
    </xf>
    <xf numFmtId="2" fontId="8" fillId="0" borderId="12" xfId="0" applyNumberFormat="1" applyFont="1" applyBorder="1" applyAlignment="1">
      <alignment horizontal="left" vertical="top" wrapText="1"/>
    </xf>
    <xf numFmtId="0" fontId="8" fillId="0" borderId="24" xfId="0" applyFont="1" applyBorder="1" applyAlignment="1">
      <alignment horizontal="left" vertical="center" wrapText="1"/>
    </xf>
    <xf numFmtId="0" fontId="8" fillId="0" borderId="22" xfId="0" applyFont="1" applyBorder="1" applyAlignment="1">
      <alignment horizontal="left" vertical="center" wrapText="1"/>
    </xf>
    <xf numFmtId="0" fontId="8" fillId="0" borderId="19"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8" fillId="0" borderId="21" xfId="0" applyFont="1" applyBorder="1" applyAlignment="1">
      <alignment horizontal="left" vertical="center"/>
    </xf>
    <xf numFmtId="0" fontId="8" fillId="0" borderId="32" xfId="0" applyFont="1" applyBorder="1" applyAlignment="1">
      <alignment horizontal="left" vertical="center" wrapText="1"/>
    </xf>
    <xf numFmtId="0" fontId="2" fillId="0" borderId="4"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6" xfId="0" applyFont="1" applyBorder="1" applyAlignment="1">
      <alignment horizontal="left" vertical="center" wrapText="1"/>
    </xf>
    <xf numFmtId="0" fontId="2" fillId="0" borderId="14" xfId="0" applyFont="1" applyBorder="1" applyAlignment="1">
      <alignment horizontal="left" vertical="center" wrapText="1"/>
    </xf>
    <xf numFmtId="0" fontId="3" fillId="0" borderId="7" xfId="0" applyFont="1" applyBorder="1" applyAlignment="1">
      <alignment horizontal="left" vertical="center"/>
    </xf>
    <xf numFmtId="0" fontId="3" fillId="0" borderId="14" xfId="0" applyFont="1" applyBorder="1" applyAlignment="1">
      <alignment horizontal="left" vertical="center"/>
    </xf>
    <xf numFmtId="0" fontId="8" fillId="0" borderId="1" xfId="1" applyFont="1" applyBorder="1" applyAlignment="1">
      <alignment horizontal="left" vertical="top" wrapText="1"/>
    </xf>
    <xf numFmtId="0" fontId="8" fillId="0" borderId="1" xfId="0" applyFont="1" applyBorder="1" applyAlignment="1">
      <alignment horizontal="left"/>
    </xf>
    <xf numFmtId="0" fontId="8" fillId="0" borderId="0" xfId="1" applyFont="1" applyAlignment="1">
      <alignment horizontal="left" vertical="center"/>
    </xf>
    <xf numFmtId="0" fontId="2" fillId="0" borderId="3" xfId="1" applyFont="1" applyBorder="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xf>
    <xf numFmtId="0" fontId="8" fillId="0" borderId="0" xfId="0" applyFont="1" applyAlignment="1">
      <alignment horizontal="left"/>
    </xf>
    <xf numFmtId="0" fontId="2" fillId="0" borderId="2" xfId="0" applyFont="1" applyBorder="1" applyAlignment="1">
      <alignment horizontal="left" vertical="center"/>
    </xf>
    <xf numFmtId="0" fontId="2" fillId="0" borderId="3" xfId="0" applyFont="1" applyBorder="1" applyAlignment="1">
      <alignment horizontal="left" vertical="center" wrapText="1"/>
    </xf>
    <xf numFmtId="0" fontId="8" fillId="0" borderId="1" xfId="1" applyFont="1" applyBorder="1" applyAlignment="1">
      <alignment horizontal="left" vertical="center"/>
    </xf>
    <xf numFmtId="0" fontId="8" fillId="0" borderId="2" xfId="1" applyFont="1" applyBorder="1" applyAlignment="1">
      <alignment horizontal="left" vertical="center"/>
    </xf>
    <xf numFmtId="0" fontId="8" fillId="0" borderId="1" xfId="1" applyFont="1" applyBorder="1" applyAlignment="1">
      <alignment horizontal="left" vertical="center" wrapText="1"/>
    </xf>
    <xf numFmtId="0" fontId="8" fillId="0" borderId="0" xfId="1" applyFont="1" applyAlignment="1">
      <alignment horizontal="left" vertical="center" wrapText="1"/>
    </xf>
    <xf numFmtId="0" fontId="8" fillId="0" borderId="2" xfId="1" applyFont="1" applyBorder="1" applyAlignment="1">
      <alignment horizontal="left" vertical="center" wrapText="1"/>
    </xf>
    <xf numFmtId="0" fontId="8" fillId="0" borderId="3" xfId="0" applyFont="1" applyBorder="1" applyAlignment="1">
      <alignment horizontal="center"/>
    </xf>
    <xf numFmtId="0" fontId="10" fillId="0" borderId="1" xfId="1" applyFont="1" applyBorder="1" applyAlignment="1">
      <alignment horizontal="left" vertical="center"/>
    </xf>
    <xf numFmtId="0" fontId="10" fillId="0" borderId="0" xfId="1" applyFont="1" applyAlignment="1">
      <alignment horizontal="left" vertical="center"/>
    </xf>
    <xf numFmtId="0" fontId="10" fillId="0" borderId="2" xfId="1" applyFont="1" applyBorder="1" applyAlignment="1">
      <alignment horizontal="left" vertical="center"/>
    </xf>
    <xf numFmtId="0" fontId="0" fillId="0" borderId="0" xfId="0" applyAlignment="1">
      <alignment horizontal="center" vertical="center"/>
    </xf>
    <xf numFmtId="0" fontId="2" fillId="0" borderId="0" xfId="0" applyFont="1" applyAlignment="1">
      <alignment horizontal="left" vertical="center"/>
    </xf>
    <xf numFmtId="0" fontId="5" fillId="0" borderId="2" xfId="0" applyFont="1" applyBorder="1" applyAlignment="1">
      <alignment horizontal="left" vertical="center"/>
    </xf>
    <xf numFmtId="3" fontId="2" fillId="0" borderId="1" xfId="0" applyNumberFormat="1" applyFont="1" applyBorder="1" applyAlignment="1">
      <alignment horizontal="center" vertical="center" wrapText="1"/>
    </xf>
    <xf numFmtId="3" fontId="6" fillId="0" borderId="2" xfId="0" applyNumberFormat="1" applyFont="1" applyBorder="1" applyAlignment="1">
      <alignment horizontal="center" vertical="center"/>
    </xf>
    <xf numFmtId="3" fontId="5" fillId="0" borderId="2" xfId="0" applyNumberFormat="1" applyFont="1" applyBorder="1" applyAlignment="1">
      <alignment horizontal="center" vertical="center"/>
    </xf>
    <xf numFmtId="0" fontId="5" fillId="0" borderId="2" xfId="0" applyFont="1" applyBorder="1" applyAlignment="1">
      <alignment horizontal="center" vertical="center"/>
    </xf>
    <xf numFmtId="0" fontId="2" fillId="0" borderId="1" xfId="0" applyFont="1" applyBorder="1" applyAlignment="1">
      <alignment vertical="center"/>
    </xf>
    <xf numFmtId="0" fontId="2" fillId="0" borderId="2" xfId="0" applyFont="1" applyBorder="1" applyAlignment="1">
      <alignment vertical="center"/>
    </xf>
    <xf numFmtId="0" fontId="19" fillId="0" borderId="32" xfId="0" applyFont="1" applyBorder="1" applyAlignment="1">
      <alignment horizontal="center" vertical="top" wrapText="1"/>
    </xf>
    <xf numFmtId="0" fontId="19" fillId="0" borderId="22" xfId="0" applyFont="1" applyBorder="1" applyAlignment="1">
      <alignment horizontal="center" vertical="top" wrapText="1"/>
    </xf>
    <xf numFmtId="0" fontId="19" fillId="0" borderId="3" xfId="0" applyFont="1" applyBorder="1" applyAlignment="1">
      <alignment horizontal="left" vertical="top" wrapText="1"/>
    </xf>
    <xf numFmtId="0" fontId="19" fillId="0" borderId="2" xfId="0" applyFont="1" applyBorder="1" applyAlignment="1">
      <alignment horizontal="left" vertical="top" wrapText="1"/>
    </xf>
    <xf numFmtId="0" fontId="19" fillId="0" borderId="33" xfId="0" applyFont="1" applyBorder="1" applyAlignment="1">
      <alignment horizontal="left" vertical="top" wrapText="1"/>
    </xf>
    <xf numFmtId="0" fontId="19" fillId="0" borderId="0" xfId="0" applyFont="1" applyAlignment="1">
      <alignment horizontal="left" vertical="center" wrapText="1"/>
    </xf>
    <xf numFmtId="0" fontId="26" fillId="2" borderId="3" xfId="0" applyFont="1" applyFill="1" applyBorder="1" applyAlignment="1">
      <alignment horizontal="left" vertical="top" wrapText="1"/>
    </xf>
    <xf numFmtId="0" fontId="19" fillId="0" borderId="0" xfId="0" applyFont="1" applyAlignment="1">
      <alignment horizontal="center" vertical="center" wrapText="1"/>
    </xf>
    <xf numFmtId="0" fontId="19" fillId="0" borderId="22"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9" xfId="0" applyFont="1" applyBorder="1" applyAlignment="1">
      <alignment horizontal="center" vertical="center" wrapText="1"/>
    </xf>
    <xf numFmtId="0" fontId="24" fillId="0" borderId="1" xfId="0" applyFont="1" applyBorder="1" applyAlignment="1">
      <alignment horizontal="left" vertical="center" wrapText="1"/>
    </xf>
    <xf numFmtId="0" fontId="24" fillId="0" borderId="29" xfId="0" applyFont="1" applyBorder="1" applyAlignment="1">
      <alignment horizontal="left" vertical="center" wrapText="1"/>
    </xf>
    <xf numFmtId="0" fontId="24" fillId="0" borderId="2" xfId="0" applyFont="1" applyBorder="1" applyAlignment="1">
      <alignment horizontal="left" vertical="center" wrapText="1"/>
    </xf>
    <xf numFmtId="0" fontId="24" fillId="0" borderId="28" xfId="0" applyFont="1" applyBorder="1" applyAlignment="1">
      <alignment horizontal="left" vertical="center" wrapText="1"/>
    </xf>
    <xf numFmtId="0" fontId="24" fillId="0" borderId="30" xfId="0" applyFont="1" applyBorder="1" applyAlignment="1">
      <alignment horizontal="center" vertical="top" wrapText="1"/>
    </xf>
    <xf numFmtId="0" fontId="24" fillId="0" borderId="1" xfId="0" applyFont="1" applyBorder="1" applyAlignment="1">
      <alignment horizontal="center" vertical="top" wrapText="1"/>
    </xf>
    <xf numFmtId="0" fontId="24" fillId="0" borderId="29" xfId="0" applyFont="1" applyBorder="1" applyAlignment="1">
      <alignment horizontal="center" vertical="top" wrapText="1"/>
    </xf>
    <xf numFmtId="0" fontId="26" fillId="2" borderId="3" xfId="0" applyFont="1" applyFill="1" applyBorder="1" applyAlignment="1">
      <alignment horizontal="left" vertical="center" wrapText="1"/>
    </xf>
    <xf numFmtId="0" fontId="19" fillId="0" borderId="30" xfId="0" applyFont="1" applyBorder="1" applyAlignment="1">
      <alignment horizontal="center" vertical="top" wrapText="1"/>
    </xf>
    <xf numFmtId="0" fontId="19" fillId="0" borderId="29" xfId="0" applyFont="1" applyBorder="1" applyAlignment="1">
      <alignment horizontal="center" vertical="top" wrapText="1"/>
    </xf>
    <xf numFmtId="0" fontId="19" fillId="0" borderId="0" xfId="0" applyFont="1" applyAlignment="1">
      <alignment horizontal="center" vertical="top" wrapText="1"/>
    </xf>
    <xf numFmtId="0" fontId="19" fillId="0" borderId="0" xfId="0" applyFont="1" applyAlignment="1">
      <alignment horizontal="center"/>
    </xf>
    <xf numFmtId="0" fontId="24" fillId="0" borderId="1" xfId="0" applyFont="1" applyBorder="1" applyAlignment="1">
      <alignment horizontal="center"/>
    </xf>
    <xf numFmtId="0" fontId="19" fillId="0" borderId="1" xfId="0" applyFont="1" applyBorder="1" applyAlignment="1">
      <alignment horizontal="center"/>
    </xf>
    <xf numFmtId="0" fontId="0" fillId="0" borderId="1" xfId="0" applyBorder="1" applyAlignment="1">
      <alignment horizontal="left" vertical="top" wrapText="1"/>
    </xf>
    <xf numFmtId="0" fontId="8" fillId="0" borderId="0" xfId="0" applyFont="1" applyAlignment="1">
      <alignment horizontal="left" vertical="top"/>
    </xf>
    <xf numFmtId="0" fontId="8" fillId="0" borderId="1" xfId="0" applyFont="1" applyBorder="1" applyAlignment="1">
      <alignment horizontal="left" vertical="top"/>
    </xf>
    <xf numFmtId="0" fontId="2" fillId="0" borderId="7" xfId="0" applyFont="1" applyBorder="1" applyAlignment="1">
      <alignment horizontal="center" vertical="center"/>
    </xf>
    <xf numFmtId="0" fontId="2" fillId="0" borderId="14" xfId="0" applyFont="1" applyBorder="1" applyAlignment="1">
      <alignment horizontal="center" vertical="center"/>
    </xf>
    <xf numFmtId="3" fontId="2" fillId="0" borderId="30" xfId="0" applyNumberFormat="1" applyFont="1" applyBorder="1" applyAlignment="1">
      <alignment horizontal="center" vertical="center" wrapText="1"/>
    </xf>
    <xf numFmtId="3" fontId="2" fillId="0" borderId="31" xfId="0" applyNumberFormat="1" applyFont="1" applyBorder="1" applyAlignment="1">
      <alignment horizontal="center" vertical="center" wrapText="1"/>
    </xf>
    <xf numFmtId="3" fontId="2" fillId="0" borderId="29" xfId="0" applyNumberFormat="1" applyFont="1" applyBorder="1" applyAlignment="1">
      <alignment horizontal="center" vertical="center" wrapText="1"/>
    </xf>
    <xf numFmtId="3" fontId="2" fillId="0" borderId="28" xfId="0" applyNumberFormat="1" applyFont="1" applyBorder="1" applyAlignment="1">
      <alignment horizontal="center" vertical="center" wrapText="1"/>
    </xf>
    <xf numFmtId="3" fontId="2" fillId="0" borderId="2" xfId="0" applyNumberFormat="1" applyFont="1" applyBorder="1" applyAlignment="1">
      <alignment horizontal="center" vertical="center" wrapText="1"/>
    </xf>
    <xf numFmtId="3" fontId="2" fillId="0" borderId="7" xfId="0" applyNumberFormat="1" applyFont="1" applyBorder="1" applyAlignment="1">
      <alignment horizontal="center" vertical="center" wrapText="1"/>
    </xf>
    <xf numFmtId="3" fontId="2" fillId="0" borderId="14" xfId="0" applyNumberFormat="1" applyFont="1" applyBorder="1" applyAlignment="1">
      <alignment horizontal="center" vertical="center" wrapText="1"/>
    </xf>
    <xf numFmtId="0" fontId="2" fillId="0" borderId="32" xfId="0" applyFont="1" applyBorder="1" applyAlignment="1">
      <alignment horizontal="center" vertical="center"/>
    </xf>
    <xf numFmtId="0" fontId="2" fillId="0" borderId="22" xfId="0" applyFont="1" applyBorder="1" applyAlignment="1">
      <alignment horizontal="center" vertical="center"/>
    </xf>
    <xf numFmtId="0" fontId="2" fillId="0" borderId="32" xfId="0" applyFont="1" applyBorder="1" applyAlignment="1">
      <alignment horizontal="center" vertical="center" wrapText="1"/>
    </xf>
    <xf numFmtId="0" fontId="2" fillId="0" borderId="0" xfId="0" applyFont="1" applyAlignment="1">
      <alignment horizontal="center" vertical="center" wrapText="1"/>
    </xf>
    <xf numFmtId="0" fontId="2" fillId="0" borderId="22" xfId="0" applyFont="1" applyBorder="1" applyAlignment="1">
      <alignment horizontal="center" vertical="center" wrapText="1"/>
    </xf>
    <xf numFmtId="0" fontId="2" fillId="0" borderId="30" xfId="0" applyFont="1" applyBorder="1" applyAlignment="1">
      <alignment horizontal="center" vertical="center"/>
    </xf>
    <xf numFmtId="0" fontId="2" fillId="0" borderId="1" xfId="0" applyFont="1" applyBorder="1" applyAlignment="1">
      <alignment horizontal="center" vertical="center"/>
    </xf>
    <xf numFmtId="0" fontId="2" fillId="0" borderId="29" xfId="0" applyFont="1" applyBorder="1" applyAlignment="1">
      <alignment horizontal="center" vertical="center"/>
    </xf>
  </cellXfs>
  <cellStyles count="5">
    <cellStyle name="Comma" xfId="4" builtinId="3"/>
    <cellStyle name="Explanatory Text 4" xfId="2" xr:uid="{E306D91E-2999-476C-B888-6273A3A48A34}"/>
    <cellStyle name="Normal" xfId="0" builtinId="0"/>
    <cellStyle name="Normal 2" xfId="1" xr:uid="{DDB0A154-0AF6-454C-9FF0-9B3D8D0F3DA1}"/>
    <cellStyle name="Normal 2 3" xfId="3" xr:uid="{75D63B71-0D7D-48CB-818B-CAFA6285B0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C6FE7-69B4-456C-8B38-01B2F75ECEB7}">
  <dimension ref="A1:Z97"/>
  <sheetViews>
    <sheetView topLeftCell="A79" workbookViewId="0">
      <selection activeCell="A97" sqref="A97:P97"/>
    </sheetView>
  </sheetViews>
  <sheetFormatPr defaultColWidth="8.7890625" defaultRowHeight="14.4"/>
  <cols>
    <col min="2" max="2" width="26.15625" customWidth="1"/>
    <col min="3" max="3" width="31.7890625" customWidth="1"/>
    <col min="4" max="4" width="10.47265625" customWidth="1"/>
    <col min="5" max="5" width="12.7890625" style="82" customWidth="1"/>
    <col min="7" max="7" width="11" customWidth="1"/>
    <col min="8" max="8" width="9.47265625" bestFit="1" customWidth="1"/>
    <col min="9" max="9" width="8.47265625" customWidth="1"/>
    <col min="10" max="10" width="13.47265625" style="106" customWidth="1"/>
    <col min="11" max="11" width="8.7890625" style="107"/>
    <col min="12" max="12" width="11.15625" style="106" customWidth="1"/>
    <col min="13" max="13" width="8.7890625" style="108"/>
    <col min="14" max="14" width="8.7890625" style="109"/>
    <col min="15" max="15" width="12.47265625" style="106" customWidth="1"/>
    <col min="16" max="16" width="8.7890625" style="108"/>
  </cols>
  <sheetData>
    <row r="1" spans="1:17">
      <c r="A1" s="91" t="s">
        <v>1554</v>
      </c>
      <c r="B1" s="91"/>
      <c r="C1" s="91"/>
      <c r="D1" s="91"/>
      <c r="E1" s="91"/>
      <c r="F1" s="91"/>
      <c r="G1" s="91"/>
      <c r="H1" s="91"/>
      <c r="I1" s="91"/>
      <c r="J1" s="91"/>
      <c r="K1" s="92"/>
      <c r="L1" s="91"/>
      <c r="M1" s="93"/>
      <c r="N1" s="104"/>
      <c r="O1" s="91"/>
      <c r="P1" s="93"/>
    </row>
    <row r="2" spans="1:17" ht="30" customHeight="1">
      <c r="A2" s="564" t="s">
        <v>0</v>
      </c>
      <c r="B2" s="564"/>
      <c r="C2" s="94" t="s">
        <v>1</v>
      </c>
      <c r="D2" s="303" t="s">
        <v>1100</v>
      </c>
      <c r="E2" s="303" t="s">
        <v>1101</v>
      </c>
      <c r="F2" s="305" t="s">
        <v>2</v>
      </c>
      <c r="G2" s="99" t="s">
        <v>3</v>
      </c>
      <c r="H2" s="99" t="s">
        <v>4</v>
      </c>
      <c r="I2" s="99" t="s">
        <v>5</v>
      </c>
      <c r="J2" s="95" t="s">
        <v>567</v>
      </c>
      <c r="K2" s="96" t="s">
        <v>568</v>
      </c>
      <c r="L2" s="95" t="s">
        <v>569</v>
      </c>
      <c r="M2" s="97" t="s">
        <v>570</v>
      </c>
      <c r="N2" s="105" t="s">
        <v>571</v>
      </c>
      <c r="O2" s="98" t="s">
        <v>572</v>
      </c>
      <c r="P2" s="97" t="s">
        <v>573</v>
      </c>
    </row>
    <row r="3" spans="1:17" s="1" customFormat="1">
      <c r="A3" s="56" t="s">
        <v>6</v>
      </c>
      <c r="B3" s="57"/>
      <c r="C3" s="57"/>
      <c r="D3" s="57"/>
      <c r="E3" s="52"/>
      <c r="F3" s="57"/>
      <c r="G3" s="53"/>
      <c r="H3" s="58"/>
      <c r="I3" s="58"/>
      <c r="J3" s="54"/>
      <c r="K3" s="100"/>
      <c r="L3" s="103"/>
      <c r="M3" s="111"/>
      <c r="N3" s="112"/>
      <c r="O3" s="103"/>
      <c r="P3" s="111"/>
    </row>
    <row r="4" spans="1:17">
      <c r="B4" s="10" t="s">
        <v>7</v>
      </c>
      <c r="C4" s="10" t="s">
        <v>1220</v>
      </c>
      <c r="D4" s="10"/>
      <c r="E4" s="10"/>
      <c r="F4" s="11">
        <v>438476</v>
      </c>
      <c r="G4" s="5" t="s">
        <v>9</v>
      </c>
      <c r="H4" s="5">
        <v>322154</v>
      </c>
      <c r="I4" s="5">
        <f>SUM(F4:H4)</f>
        <v>760630</v>
      </c>
      <c r="J4" s="11">
        <v>1987862</v>
      </c>
      <c r="K4" s="308">
        <v>3.9129999999999998</v>
      </c>
      <c r="L4" s="11">
        <v>1035993</v>
      </c>
      <c r="M4" s="309">
        <v>0.24729999999999999</v>
      </c>
      <c r="N4" s="310">
        <v>9.4000000000000004E-3</v>
      </c>
      <c r="O4" s="11">
        <v>582457</v>
      </c>
      <c r="P4" s="309">
        <v>0.17458000000000001</v>
      </c>
    </row>
    <row r="5" spans="1:17">
      <c r="B5" s="147" t="s">
        <v>19</v>
      </c>
      <c r="C5" s="29" t="s">
        <v>21</v>
      </c>
      <c r="D5" s="29"/>
      <c r="E5" s="29" t="s">
        <v>601</v>
      </c>
      <c r="F5" s="30" t="s">
        <v>9</v>
      </c>
      <c r="G5" s="31">
        <v>2502262</v>
      </c>
      <c r="H5" s="31">
        <v>1597374</v>
      </c>
      <c r="I5" s="5">
        <f>SUM(F5:H5)</f>
        <v>4099636</v>
      </c>
      <c r="J5" s="11">
        <v>1015435</v>
      </c>
      <c r="K5" s="308">
        <v>21.187999999999999</v>
      </c>
      <c r="L5" s="11">
        <v>996180</v>
      </c>
      <c r="M5" s="309">
        <v>0.23080000000000001</v>
      </c>
      <c r="N5" s="310">
        <v>1.14E-2</v>
      </c>
      <c r="O5" s="11">
        <v>3839667</v>
      </c>
      <c r="P5" s="309">
        <v>0.216165</v>
      </c>
    </row>
    <row r="6" spans="1:17">
      <c r="F6" s="304"/>
      <c r="G6" s="304"/>
      <c r="H6" s="304"/>
      <c r="I6" s="304"/>
      <c r="J6" s="11"/>
      <c r="K6" s="308"/>
      <c r="L6" s="11"/>
      <c r="M6" s="309"/>
      <c r="N6" s="310"/>
      <c r="O6" s="11"/>
      <c r="P6" s="309"/>
    </row>
    <row r="7" spans="1:17" s="1" customFormat="1">
      <c r="A7" s="51" t="s">
        <v>564</v>
      </c>
      <c r="B7" s="52"/>
      <c r="C7" s="83"/>
      <c r="D7" s="83"/>
      <c r="E7" s="83"/>
      <c r="F7" s="311"/>
      <c r="G7" s="84"/>
      <c r="H7" s="85"/>
      <c r="I7" s="53"/>
      <c r="J7" s="53"/>
      <c r="K7" s="198"/>
      <c r="L7" s="84"/>
      <c r="M7" s="312"/>
      <c r="N7" s="313"/>
      <c r="O7" s="84"/>
      <c r="P7" s="312"/>
      <c r="Q7"/>
    </row>
    <row r="8" spans="1:17">
      <c r="B8" s="82" t="s">
        <v>234</v>
      </c>
      <c r="C8" s="10" t="s">
        <v>236</v>
      </c>
      <c r="D8" s="10" t="s">
        <v>601</v>
      </c>
      <c r="E8" s="10"/>
      <c r="F8" s="5" t="s">
        <v>9</v>
      </c>
      <c r="G8" s="5" t="s">
        <v>9</v>
      </c>
      <c r="H8" s="11">
        <v>1244580</v>
      </c>
      <c r="I8" s="5">
        <f t="shared" ref="I8:I15" si="0">SUM(F8:H8)</f>
        <v>1244580</v>
      </c>
      <c r="J8" s="11">
        <v>6472888</v>
      </c>
      <c r="K8" s="308">
        <v>2.8050000000000002</v>
      </c>
      <c r="L8" s="11">
        <v>1167506</v>
      </c>
      <c r="M8" s="309">
        <v>0.10879999999999999</v>
      </c>
      <c r="N8" s="310">
        <v>2.2800000000000001E-2</v>
      </c>
      <c r="O8" s="11">
        <v>1244580</v>
      </c>
      <c r="P8" s="309">
        <v>7.5393399999999999E-2</v>
      </c>
    </row>
    <row r="9" spans="1:17">
      <c r="B9" s="82" t="s">
        <v>245</v>
      </c>
      <c r="C9" s="10" t="s">
        <v>236</v>
      </c>
      <c r="D9" s="10" t="s">
        <v>601</v>
      </c>
      <c r="E9" s="10"/>
      <c r="F9" s="5" t="s">
        <v>9</v>
      </c>
      <c r="G9" s="5" t="s">
        <v>9</v>
      </c>
      <c r="H9" s="11">
        <v>1231289</v>
      </c>
      <c r="I9" s="5">
        <f t="shared" si="0"/>
        <v>1231289</v>
      </c>
      <c r="J9" s="11">
        <v>6471011</v>
      </c>
      <c r="K9" s="308">
        <v>2.6</v>
      </c>
      <c r="L9" s="11">
        <v>1167163</v>
      </c>
      <c r="M9" s="309">
        <v>0.1012</v>
      </c>
      <c r="N9" s="310">
        <v>2.5999999999999999E-2</v>
      </c>
      <c r="O9" s="11">
        <v>1231289</v>
      </c>
      <c r="P9" s="309">
        <v>6.8308400000000005E-2</v>
      </c>
    </row>
    <row r="10" spans="1:17">
      <c r="B10" s="82" t="s">
        <v>251</v>
      </c>
      <c r="C10" s="10" t="s">
        <v>236</v>
      </c>
      <c r="D10" s="10" t="s">
        <v>601</v>
      </c>
      <c r="E10" s="10"/>
      <c r="F10" s="5" t="s">
        <v>9</v>
      </c>
      <c r="G10" s="5" t="s">
        <v>9</v>
      </c>
      <c r="H10" s="11">
        <v>926571</v>
      </c>
      <c r="I10" s="5">
        <f t="shared" si="0"/>
        <v>926571</v>
      </c>
      <c r="J10" s="11">
        <v>6445351</v>
      </c>
      <c r="K10" s="308">
        <v>2.3119999999999998</v>
      </c>
      <c r="L10" s="11">
        <v>1171339</v>
      </c>
      <c r="M10" s="309">
        <v>0.1017</v>
      </c>
      <c r="N10" s="310">
        <v>1.83E-2</v>
      </c>
      <c r="O10" s="11">
        <v>926571</v>
      </c>
      <c r="P10" s="309">
        <v>6.2136299999999998E-2</v>
      </c>
    </row>
    <row r="11" spans="1:17">
      <c r="B11" s="82" t="s">
        <v>258</v>
      </c>
      <c r="C11" s="10" t="s">
        <v>236</v>
      </c>
      <c r="D11" s="10" t="s">
        <v>601</v>
      </c>
      <c r="E11" s="10"/>
      <c r="F11" s="5" t="s">
        <v>9</v>
      </c>
      <c r="G11" s="5" t="s">
        <v>9</v>
      </c>
      <c r="H11" s="11">
        <v>1320016</v>
      </c>
      <c r="I11" s="5">
        <f t="shared" si="0"/>
        <v>1320016</v>
      </c>
      <c r="J11" s="11">
        <v>6472914</v>
      </c>
      <c r="K11" s="308">
        <v>2.8239999999999998</v>
      </c>
      <c r="L11" s="11">
        <v>1168034</v>
      </c>
      <c r="M11" s="309">
        <v>9.2700000000000005E-2</v>
      </c>
      <c r="N11" s="310">
        <v>1.37E-2</v>
      </c>
      <c r="O11" s="11">
        <v>1320015</v>
      </c>
      <c r="P11" s="309">
        <v>6.2200800000000001E-2</v>
      </c>
    </row>
    <row r="12" spans="1:17">
      <c r="B12" s="82" t="s">
        <v>264</v>
      </c>
      <c r="C12" s="10" t="s">
        <v>236</v>
      </c>
      <c r="D12" s="10" t="s">
        <v>601</v>
      </c>
      <c r="E12" s="10"/>
      <c r="F12" s="5" t="s">
        <v>9</v>
      </c>
      <c r="G12" s="5" t="s">
        <v>9</v>
      </c>
      <c r="H12" s="11">
        <v>1253277</v>
      </c>
      <c r="I12" s="5">
        <f t="shared" si="0"/>
        <v>1253277</v>
      </c>
      <c r="J12" s="11">
        <v>6472842</v>
      </c>
      <c r="K12" s="308">
        <v>3.1659999999999999</v>
      </c>
      <c r="L12" s="11">
        <v>1167783</v>
      </c>
      <c r="M12" s="309">
        <v>0.1038</v>
      </c>
      <c r="N12" s="310">
        <v>1.7999999999999999E-2</v>
      </c>
      <c r="O12" s="11">
        <v>1253277</v>
      </c>
      <c r="P12" s="309">
        <v>7.1036600000000005E-2</v>
      </c>
    </row>
    <row r="13" spans="1:17">
      <c r="B13" s="82" t="s">
        <v>269</v>
      </c>
      <c r="C13" s="10" t="s">
        <v>271</v>
      </c>
      <c r="D13" s="10" t="s">
        <v>601</v>
      </c>
      <c r="E13" s="10"/>
      <c r="F13" s="5" t="s">
        <v>9</v>
      </c>
      <c r="G13" s="5" t="s">
        <v>9</v>
      </c>
      <c r="H13" s="5">
        <v>757601</v>
      </c>
      <c r="I13" s="5">
        <f t="shared" si="0"/>
        <v>757601</v>
      </c>
      <c r="J13" s="11">
        <v>6073770</v>
      </c>
      <c r="K13" s="308">
        <v>2.6579999999999999</v>
      </c>
      <c r="L13" s="11">
        <v>1167690</v>
      </c>
      <c r="M13" s="309">
        <v>0.126</v>
      </c>
      <c r="N13" s="310">
        <v>6.1000000000000004E-3</v>
      </c>
      <c r="O13" s="11">
        <v>757600</v>
      </c>
      <c r="P13" s="309">
        <v>7.7369400000000005E-2</v>
      </c>
    </row>
    <row r="14" spans="1:17">
      <c r="B14" s="82" t="s">
        <v>279</v>
      </c>
      <c r="C14" s="10" t="s">
        <v>271</v>
      </c>
      <c r="D14" s="10" t="s">
        <v>601</v>
      </c>
      <c r="E14" s="10"/>
      <c r="F14" s="5" t="s">
        <v>9</v>
      </c>
      <c r="G14" s="5" t="s">
        <v>9</v>
      </c>
      <c r="H14" s="5">
        <v>745820</v>
      </c>
      <c r="I14" s="5">
        <f t="shared" si="0"/>
        <v>745820</v>
      </c>
      <c r="J14" s="11">
        <v>6012498</v>
      </c>
      <c r="K14" s="308">
        <v>2.504</v>
      </c>
      <c r="L14" s="11">
        <v>1165766</v>
      </c>
      <c r="M14" s="309">
        <v>0.11890000000000001</v>
      </c>
      <c r="N14" s="310">
        <v>5.0000000000000001E-3</v>
      </c>
      <c r="O14" s="11">
        <v>745819</v>
      </c>
      <c r="P14" s="309">
        <v>7.0917099999999997E-2</v>
      </c>
    </row>
    <row r="15" spans="1:17">
      <c r="B15" s="82" t="s">
        <v>285</v>
      </c>
      <c r="C15" s="10" t="s">
        <v>271</v>
      </c>
      <c r="D15" s="10" t="s">
        <v>601</v>
      </c>
      <c r="E15" s="10"/>
      <c r="F15" s="5" t="s">
        <v>9</v>
      </c>
      <c r="G15" s="5" t="s">
        <v>9</v>
      </c>
      <c r="H15" s="5">
        <v>745820</v>
      </c>
      <c r="I15" s="5">
        <f t="shared" si="0"/>
        <v>745820</v>
      </c>
      <c r="J15" s="11">
        <v>6011907</v>
      </c>
      <c r="K15" s="308">
        <v>2.6459999999999999</v>
      </c>
      <c r="L15" s="11">
        <v>1165504</v>
      </c>
      <c r="M15" s="309">
        <v>0.1298</v>
      </c>
      <c r="N15" s="310">
        <v>5.7000000000000002E-3</v>
      </c>
      <c r="O15" s="11">
        <v>745819</v>
      </c>
      <c r="P15" s="309">
        <v>8.0133899999999994E-2</v>
      </c>
    </row>
    <row r="16" spans="1:17">
      <c r="F16" s="304"/>
      <c r="G16" s="304"/>
      <c r="H16" s="304"/>
      <c r="I16" s="304"/>
      <c r="J16" s="11"/>
      <c r="K16" s="308"/>
      <c r="L16" s="11"/>
      <c r="M16" s="309"/>
      <c r="N16" s="310"/>
      <c r="O16" s="11"/>
      <c r="P16" s="309"/>
    </row>
    <row r="17" spans="1:21" s="1" customFormat="1">
      <c r="A17" s="51" t="s">
        <v>32</v>
      </c>
      <c r="B17" s="52"/>
      <c r="C17" s="52"/>
      <c r="D17" s="52"/>
      <c r="E17" s="52"/>
      <c r="F17" s="311"/>
      <c r="G17" s="53"/>
      <c r="H17" s="53"/>
      <c r="I17" s="53"/>
      <c r="J17" s="53"/>
      <c r="K17" s="198"/>
      <c r="L17" s="84"/>
      <c r="M17" s="312"/>
      <c r="N17" s="313"/>
      <c r="O17" s="84"/>
      <c r="P17" s="312"/>
      <c r="Q17"/>
    </row>
    <row r="18" spans="1:21" ht="20.399999999999999">
      <c r="B18" s="82" t="s">
        <v>33</v>
      </c>
      <c r="C18" s="10" t="s">
        <v>1177</v>
      </c>
      <c r="E18" s="82" t="s">
        <v>601</v>
      </c>
      <c r="F18" s="5" t="s">
        <v>9</v>
      </c>
      <c r="G18" s="11">
        <v>363646</v>
      </c>
      <c r="H18" s="11">
        <v>1314264</v>
      </c>
      <c r="I18" s="11">
        <f>G18+H18</f>
        <v>1677910</v>
      </c>
      <c r="J18" s="11">
        <v>5245060</v>
      </c>
      <c r="K18" s="308">
        <v>1.196</v>
      </c>
      <c r="L18" s="11">
        <v>927985</v>
      </c>
      <c r="M18" s="309">
        <v>4.8000000000000001E-2</v>
      </c>
      <c r="N18" s="310">
        <v>1.03E-2</v>
      </c>
      <c r="O18" s="11">
        <v>237732</v>
      </c>
      <c r="P18" s="309">
        <v>7.6701599999999997E-3</v>
      </c>
    </row>
    <row r="19" spans="1:21">
      <c r="B19" s="82" t="s">
        <v>46</v>
      </c>
      <c r="C19" s="10" t="s">
        <v>48</v>
      </c>
      <c r="D19" s="10"/>
      <c r="E19" s="10"/>
      <c r="F19" s="5" t="s">
        <v>9</v>
      </c>
      <c r="G19" s="5">
        <v>172503</v>
      </c>
      <c r="H19" s="5" t="s">
        <v>9</v>
      </c>
      <c r="I19" s="5">
        <f>SUM(F19:H19)</f>
        <v>172503</v>
      </c>
      <c r="J19" s="11">
        <v>6068158</v>
      </c>
      <c r="K19" s="308">
        <v>1.1990000000000001</v>
      </c>
      <c r="L19" s="11">
        <v>1158581</v>
      </c>
      <c r="M19" s="309">
        <v>6.88E-2</v>
      </c>
      <c r="N19" s="310">
        <v>4.4000000000000003E-3</v>
      </c>
      <c r="O19" s="11">
        <v>172502</v>
      </c>
      <c r="P19" s="309">
        <v>1.13615E-2</v>
      </c>
    </row>
    <row r="20" spans="1:21">
      <c r="B20" s="82" t="s">
        <v>50</v>
      </c>
      <c r="C20" s="10" t="s">
        <v>52</v>
      </c>
      <c r="D20" s="10"/>
      <c r="E20" s="10"/>
      <c r="F20" s="11">
        <v>225056</v>
      </c>
      <c r="G20" s="5" t="s">
        <v>9</v>
      </c>
      <c r="H20" s="5">
        <v>35298</v>
      </c>
      <c r="I20" s="5">
        <f>SUM(F20:H20)</f>
        <v>260354</v>
      </c>
      <c r="J20" s="11">
        <v>6244879</v>
      </c>
      <c r="K20" s="308">
        <v>1.8720000000000001</v>
      </c>
      <c r="L20" s="11">
        <v>1163744</v>
      </c>
      <c r="M20" s="309">
        <v>0.23150000000000001</v>
      </c>
      <c r="N20" s="310">
        <v>8.3999999999999995E-3</v>
      </c>
      <c r="O20" s="11">
        <v>222914</v>
      </c>
      <c r="P20" s="309">
        <v>0.107043</v>
      </c>
    </row>
    <row r="21" spans="1:21">
      <c r="B21" s="82" t="s">
        <v>65</v>
      </c>
      <c r="C21" s="10" t="s">
        <v>67</v>
      </c>
      <c r="D21" s="10"/>
      <c r="E21" s="10" t="s">
        <v>601</v>
      </c>
      <c r="F21" s="11" t="s">
        <v>9</v>
      </c>
      <c r="G21" s="5">
        <v>2272216</v>
      </c>
      <c r="H21" s="5">
        <v>765283.06</v>
      </c>
      <c r="I21" s="5">
        <f>SUM(F21:H21)</f>
        <v>3037499.06</v>
      </c>
      <c r="J21" s="11">
        <v>5689608</v>
      </c>
      <c r="K21" s="308">
        <v>6.0039999999999996</v>
      </c>
      <c r="L21" s="11">
        <v>1062680</v>
      </c>
      <c r="M21" s="309">
        <v>0.1326</v>
      </c>
      <c r="N21" s="310">
        <v>3.3999999999999998E-3</v>
      </c>
      <c r="O21" s="11">
        <v>2155939</v>
      </c>
      <c r="P21" s="309">
        <v>0.109598</v>
      </c>
    </row>
    <row r="22" spans="1:21">
      <c r="B22" s="82" t="s">
        <v>107</v>
      </c>
      <c r="C22" s="10" t="s">
        <v>48</v>
      </c>
      <c r="D22" s="10"/>
      <c r="E22" s="10"/>
      <c r="F22" s="5" t="s">
        <v>9</v>
      </c>
      <c r="G22" s="5">
        <v>430439</v>
      </c>
      <c r="H22" s="5" t="s">
        <v>9</v>
      </c>
      <c r="I22" s="5">
        <f>SUM(F22:H22)</f>
        <v>430439</v>
      </c>
      <c r="J22" s="11">
        <v>6070107</v>
      </c>
      <c r="K22" s="308">
        <v>2.1190000000000002</v>
      </c>
      <c r="L22" s="11">
        <v>1157962</v>
      </c>
      <c r="M22" s="309">
        <v>0.15090000000000001</v>
      </c>
      <c r="N22" s="310">
        <v>4.4000000000000003E-3</v>
      </c>
      <c r="O22" s="11">
        <v>430439</v>
      </c>
      <c r="P22" s="309">
        <v>7.8440899999999994E-2</v>
      </c>
    </row>
    <row r="23" spans="1:21">
      <c r="B23" s="82" t="s">
        <v>109</v>
      </c>
      <c r="C23" s="10" t="s">
        <v>48</v>
      </c>
      <c r="D23" s="10"/>
      <c r="E23" s="10"/>
      <c r="F23" s="5" t="s">
        <v>9</v>
      </c>
      <c r="G23" s="5">
        <v>564692</v>
      </c>
      <c r="H23" s="5" t="s">
        <v>9</v>
      </c>
      <c r="I23" s="5">
        <f>SUM(F23:H23)</f>
        <v>564692</v>
      </c>
      <c r="J23" s="11">
        <v>6070704</v>
      </c>
      <c r="K23" s="308">
        <v>2.42</v>
      </c>
      <c r="L23" s="11">
        <v>1157810</v>
      </c>
      <c r="M23" s="309">
        <v>0.1467</v>
      </c>
      <c r="N23" s="310">
        <v>4.1000000000000003E-3</v>
      </c>
      <c r="O23" s="11">
        <v>564692</v>
      </c>
      <c r="P23" s="309">
        <v>8.5078699999999993E-2</v>
      </c>
    </row>
    <row r="24" spans="1:21">
      <c r="F24" s="304"/>
      <c r="G24" s="304"/>
      <c r="H24" s="304"/>
      <c r="I24" s="304"/>
      <c r="J24" s="11"/>
      <c r="K24" s="308"/>
      <c r="L24" s="11"/>
      <c r="M24" s="309"/>
      <c r="N24" s="310"/>
      <c r="O24" s="11"/>
      <c r="P24" s="309"/>
    </row>
    <row r="25" spans="1:21" s="1" customFormat="1">
      <c r="A25" s="61" t="s">
        <v>111</v>
      </c>
      <c r="B25" s="62"/>
      <c r="C25" s="52"/>
      <c r="D25" s="52"/>
      <c r="E25" s="52"/>
      <c r="F25" s="311"/>
      <c r="G25" s="53"/>
      <c r="H25" s="53"/>
      <c r="I25" s="53"/>
      <c r="J25" s="53"/>
      <c r="K25" s="198"/>
      <c r="L25" s="53"/>
      <c r="M25" s="314"/>
      <c r="N25" s="313"/>
      <c r="O25" s="84"/>
      <c r="P25" s="312"/>
      <c r="Q25"/>
    </row>
    <row r="26" spans="1:21">
      <c r="B26" s="82" t="s">
        <v>112</v>
      </c>
      <c r="C26" s="10" t="s">
        <v>114</v>
      </c>
      <c r="D26" s="10"/>
      <c r="E26" s="10" t="s">
        <v>601</v>
      </c>
      <c r="F26" s="11" t="s">
        <v>9</v>
      </c>
      <c r="G26" s="5">
        <v>9370</v>
      </c>
      <c r="H26" s="5">
        <v>542901</v>
      </c>
      <c r="I26" s="5">
        <f>SUM(F26:H26)</f>
        <v>552271</v>
      </c>
      <c r="J26" s="11">
        <v>4114723</v>
      </c>
      <c r="K26" s="308">
        <v>1.643</v>
      </c>
      <c r="L26" s="11">
        <v>1077709</v>
      </c>
      <c r="M26" s="309">
        <v>0.16889999999999999</v>
      </c>
      <c r="N26" s="310">
        <v>6.7999999999999996E-3</v>
      </c>
      <c r="O26" s="11">
        <v>181585</v>
      </c>
      <c r="P26" s="309">
        <v>5.7131700000000001E-2</v>
      </c>
    </row>
    <row r="27" spans="1:21">
      <c r="B27" s="82" t="s">
        <v>575</v>
      </c>
      <c r="C27" s="10" t="s">
        <v>125</v>
      </c>
      <c r="D27" s="10"/>
      <c r="E27" s="10"/>
      <c r="F27" s="5" t="s">
        <v>9</v>
      </c>
      <c r="G27" s="5">
        <v>76831</v>
      </c>
      <c r="H27" s="5">
        <v>252514</v>
      </c>
      <c r="I27" s="5">
        <f>SUM(F27:H27)</f>
        <v>329345</v>
      </c>
      <c r="J27" s="11">
        <v>5743131</v>
      </c>
      <c r="K27" s="308">
        <v>2.0499999999999998</v>
      </c>
      <c r="L27" s="11">
        <v>1105694</v>
      </c>
      <c r="M27" s="309">
        <v>0.1951</v>
      </c>
      <c r="N27" s="310">
        <v>6.6E-3</v>
      </c>
      <c r="O27" s="11">
        <v>309043</v>
      </c>
      <c r="P27" s="309">
        <v>9.7788600000000003E-2</v>
      </c>
    </row>
    <row r="28" spans="1:21">
      <c r="B28" s="82" t="s">
        <v>137</v>
      </c>
      <c r="C28" s="10" t="s">
        <v>139</v>
      </c>
      <c r="D28" s="10" t="s">
        <v>601</v>
      </c>
      <c r="E28" s="10"/>
      <c r="F28" s="5" t="s">
        <v>9</v>
      </c>
      <c r="G28" s="5" t="s">
        <v>9</v>
      </c>
      <c r="H28" s="5">
        <v>397338</v>
      </c>
      <c r="I28" s="5">
        <f>SUM(F28:H28)</f>
        <v>397338</v>
      </c>
      <c r="J28" s="11">
        <v>6543540</v>
      </c>
      <c r="K28" s="308">
        <v>1.9279999999999999</v>
      </c>
      <c r="L28" s="11">
        <v>1116235</v>
      </c>
      <c r="M28" s="309">
        <v>0.14549999999999999</v>
      </c>
      <c r="N28" s="310">
        <v>5.0000000000000001E-3</v>
      </c>
      <c r="O28" s="11">
        <v>397338</v>
      </c>
      <c r="P28" s="309">
        <v>7.1399299999999999E-2</v>
      </c>
    </row>
    <row r="29" spans="1:21">
      <c r="B29" s="82" t="s">
        <v>576</v>
      </c>
      <c r="C29" s="10" t="s">
        <v>144</v>
      </c>
      <c r="D29" s="10"/>
      <c r="E29" s="10"/>
      <c r="F29" s="5" t="s">
        <v>9</v>
      </c>
      <c r="G29" s="5">
        <v>55871</v>
      </c>
      <c r="H29" s="5" t="s">
        <v>9</v>
      </c>
      <c r="I29" s="5">
        <f t="shared" ref="I29:I34" si="1">SUM(F29:H29)</f>
        <v>55871</v>
      </c>
      <c r="J29" s="11">
        <v>5886973</v>
      </c>
      <c r="K29" s="308">
        <v>1.0920000000000001</v>
      </c>
      <c r="L29" s="11">
        <v>1159915</v>
      </c>
      <c r="M29" s="309">
        <v>9.4600000000000004E-2</v>
      </c>
      <c r="N29" s="310">
        <v>1.0699999999999999E-2</v>
      </c>
      <c r="O29" s="11">
        <v>55870</v>
      </c>
      <c r="P29" s="309">
        <v>7.6585300000000002E-3</v>
      </c>
    </row>
    <row r="30" spans="1:21">
      <c r="B30" s="82" t="s">
        <v>577</v>
      </c>
      <c r="C30" s="10" t="s">
        <v>12</v>
      </c>
      <c r="D30" s="10" t="s">
        <v>601</v>
      </c>
      <c r="E30" s="10"/>
      <c r="F30" s="5">
        <f>48062+44425+44448</f>
        <v>136935</v>
      </c>
      <c r="G30" s="5" t="s">
        <v>9</v>
      </c>
      <c r="H30" s="5" t="s">
        <v>9</v>
      </c>
      <c r="I30" s="5">
        <f t="shared" si="1"/>
        <v>136935</v>
      </c>
      <c r="J30" s="11">
        <v>6483169</v>
      </c>
      <c r="K30" s="308">
        <v>1.083</v>
      </c>
      <c r="L30" s="11">
        <v>1175548</v>
      </c>
      <c r="M30" s="309">
        <v>6.0499999999999998E-2</v>
      </c>
      <c r="N30" s="310">
        <v>7.1000000000000004E-3</v>
      </c>
      <c r="O30" s="11">
        <v>83060</v>
      </c>
      <c r="P30" s="309">
        <v>4.6754300000000004E-3</v>
      </c>
    </row>
    <row r="31" spans="1:21">
      <c r="B31" s="82" t="s">
        <v>578</v>
      </c>
      <c r="C31" s="10" t="s">
        <v>148</v>
      </c>
      <c r="D31" s="10" t="s">
        <v>601</v>
      </c>
      <c r="E31" s="10"/>
      <c r="F31" s="5" t="s">
        <v>9</v>
      </c>
      <c r="G31" s="5" t="s">
        <v>9</v>
      </c>
      <c r="H31" s="5">
        <v>450082</v>
      </c>
      <c r="I31" s="5">
        <f t="shared" si="1"/>
        <v>450082</v>
      </c>
      <c r="J31" s="11">
        <v>6502679</v>
      </c>
      <c r="K31" s="308">
        <v>1.2709999999999999</v>
      </c>
      <c r="L31" s="11">
        <v>1173037</v>
      </c>
      <c r="M31" s="309">
        <v>3.5999999999999997E-2</v>
      </c>
      <c r="N31" s="310">
        <v>2E-3</v>
      </c>
      <c r="O31" s="11">
        <v>450082</v>
      </c>
      <c r="P31" s="309">
        <v>7.6546399999999999E-3</v>
      </c>
      <c r="T31" s="66"/>
      <c r="U31" s="307"/>
    </row>
    <row r="32" spans="1:21">
      <c r="B32" s="82" t="s">
        <v>579</v>
      </c>
      <c r="C32" s="10" t="s">
        <v>12</v>
      </c>
      <c r="D32" s="10" t="s">
        <v>601</v>
      </c>
      <c r="E32" s="10"/>
      <c r="F32" s="5">
        <f>76188+72953+72782</f>
        <v>221923</v>
      </c>
      <c r="G32" s="5" t="s">
        <v>9</v>
      </c>
      <c r="H32" s="5" t="s">
        <v>9</v>
      </c>
      <c r="I32" s="5">
        <f t="shared" si="1"/>
        <v>221923</v>
      </c>
      <c r="J32" s="11">
        <v>6488420</v>
      </c>
      <c r="K32" s="308">
        <v>1.1679999999999999</v>
      </c>
      <c r="L32" s="11">
        <v>1175715</v>
      </c>
      <c r="M32" s="309">
        <v>5.2400000000000002E-2</v>
      </c>
      <c r="N32" s="310">
        <v>3.7000000000000002E-3</v>
      </c>
      <c r="O32" s="11">
        <v>190180</v>
      </c>
      <c r="P32" s="309">
        <v>7.4635200000000004E-3</v>
      </c>
      <c r="T32" s="66"/>
    </row>
    <row r="33" spans="1:26">
      <c r="B33" s="82" t="s">
        <v>580</v>
      </c>
      <c r="C33" s="10" t="s">
        <v>150</v>
      </c>
      <c r="D33" s="10"/>
      <c r="E33" s="10" t="s">
        <v>601</v>
      </c>
      <c r="F33" s="11">
        <f>48062+44425+44448</f>
        <v>136935</v>
      </c>
      <c r="G33" s="5" t="s">
        <v>9</v>
      </c>
      <c r="H33" s="5">
        <v>92935</v>
      </c>
      <c r="I33" s="5">
        <f t="shared" si="1"/>
        <v>229870</v>
      </c>
      <c r="J33" s="11">
        <v>2001404</v>
      </c>
      <c r="K33" s="308">
        <v>1.133</v>
      </c>
      <c r="L33" s="11">
        <v>1051424</v>
      </c>
      <c r="M33" s="309">
        <v>5.0799999999999998E-2</v>
      </c>
      <c r="N33" s="310">
        <v>4.7000000000000002E-3</v>
      </c>
      <c r="O33" s="11">
        <v>127936</v>
      </c>
      <c r="P33" s="309">
        <v>4.9648299999999999E-3</v>
      </c>
      <c r="T33" s="66"/>
    </row>
    <row r="34" spans="1:26">
      <c r="B34" s="82" t="s">
        <v>581</v>
      </c>
      <c r="C34" s="10" t="s">
        <v>148</v>
      </c>
      <c r="D34" s="10" t="s">
        <v>601</v>
      </c>
      <c r="E34" s="10"/>
      <c r="F34" s="5" t="s">
        <v>9</v>
      </c>
      <c r="G34" s="5" t="s">
        <v>9</v>
      </c>
      <c r="H34" s="5">
        <v>785604</v>
      </c>
      <c r="I34" s="5">
        <f t="shared" si="1"/>
        <v>785604</v>
      </c>
      <c r="J34" s="11">
        <v>6600592</v>
      </c>
      <c r="K34" s="308">
        <v>1.369</v>
      </c>
      <c r="L34" s="11">
        <v>1172862</v>
      </c>
      <c r="M34" s="309">
        <v>2.8299999999999999E-2</v>
      </c>
      <c r="N34" s="310">
        <v>1.2999999999999999E-3</v>
      </c>
      <c r="O34" s="11">
        <v>785604</v>
      </c>
      <c r="P34" s="309">
        <v>7.6512500000000001E-3</v>
      </c>
    </row>
    <row r="35" spans="1:26">
      <c r="B35" s="82" t="s">
        <v>582</v>
      </c>
      <c r="C35" s="10" t="s">
        <v>150</v>
      </c>
      <c r="D35" s="10"/>
      <c r="E35" s="10" t="s">
        <v>601</v>
      </c>
      <c r="F35" s="5">
        <f>76188+72953+72782</f>
        <v>221923</v>
      </c>
      <c r="G35" s="5" t="s">
        <v>9</v>
      </c>
      <c r="H35" s="5">
        <v>211595</v>
      </c>
      <c r="I35" s="5">
        <f>SUM(F35:H35)</f>
        <v>433518</v>
      </c>
      <c r="J35" s="11">
        <v>2001626</v>
      </c>
      <c r="K35" s="308">
        <v>1.3080000000000001</v>
      </c>
      <c r="L35" s="11">
        <v>1051264</v>
      </c>
      <c r="M35" s="309">
        <v>8.4599999999999995E-2</v>
      </c>
      <c r="N35" s="310">
        <v>4.7000000000000002E-3</v>
      </c>
      <c r="O35" s="11">
        <v>180081</v>
      </c>
      <c r="P35" s="309">
        <v>1.7131299999999999E-2</v>
      </c>
    </row>
    <row r="36" spans="1:26">
      <c r="F36" s="304"/>
      <c r="G36" s="304"/>
      <c r="H36" s="304"/>
      <c r="I36" s="304"/>
      <c r="J36" s="11"/>
      <c r="K36" s="308"/>
      <c r="L36" s="11"/>
      <c r="M36" s="309"/>
      <c r="N36" s="310"/>
      <c r="O36" s="11"/>
      <c r="P36" s="309"/>
    </row>
    <row r="37" spans="1:26" s="1" customFormat="1">
      <c r="A37" s="61" t="s">
        <v>574</v>
      </c>
      <c r="B37" s="62"/>
      <c r="C37" s="52"/>
      <c r="D37" s="52"/>
      <c r="E37" s="52"/>
      <c r="F37" s="311"/>
      <c r="G37" s="53"/>
      <c r="H37" s="53"/>
      <c r="I37" s="53"/>
      <c r="J37" s="53"/>
      <c r="K37" s="198"/>
      <c r="L37" s="53"/>
      <c r="M37" s="312"/>
      <c r="N37" s="313"/>
      <c r="O37" s="84"/>
      <c r="P37" s="312"/>
      <c r="Q37"/>
      <c r="R37"/>
      <c r="S37"/>
      <c r="T37"/>
      <c r="U37"/>
      <c r="V37"/>
      <c r="W37"/>
      <c r="X37"/>
      <c r="Y37"/>
      <c r="Z37" s="14"/>
    </row>
    <row r="38" spans="1:26">
      <c r="B38" s="82" t="s">
        <v>186</v>
      </c>
      <c r="C38" s="10" t="s">
        <v>144</v>
      </c>
      <c r="D38" s="10"/>
      <c r="E38" s="10"/>
      <c r="F38" s="5" t="s">
        <v>9</v>
      </c>
      <c r="G38" s="5">
        <v>46646</v>
      </c>
      <c r="H38" s="5" t="s">
        <v>9</v>
      </c>
      <c r="I38" s="5">
        <f t="shared" ref="I38:I45" si="2">SUM(F38:H38)</f>
        <v>46646</v>
      </c>
      <c r="J38" s="11">
        <v>5152018</v>
      </c>
      <c r="K38" s="308">
        <v>1.0980000000000001</v>
      </c>
      <c r="L38" s="11">
        <v>1121673</v>
      </c>
      <c r="M38" s="309">
        <v>0.1</v>
      </c>
      <c r="N38" s="310">
        <v>1.34E-2</v>
      </c>
      <c r="O38" s="11">
        <v>46646</v>
      </c>
      <c r="P38" s="309">
        <v>7.2135300000000001E-3</v>
      </c>
    </row>
    <row r="39" spans="1:26">
      <c r="B39" s="82" t="s">
        <v>187</v>
      </c>
      <c r="C39" s="10" t="s">
        <v>144</v>
      </c>
      <c r="D39" s="10"/>
      <c r="E39" s="10"/>
      <c r="F39" s="5" t="s">
        <v>9</v>
      </c>
      <c r="G39" s="11">
        <v>46646</v>
      </c>
      <c r="H39" s="5" t="s">
        <v>9</v>
      </c>
      <c r="I39" s="5">
        <f t="shared" si="2"/>
        <v>46646</v>
      </c>
      <c r="J39" s="11">
        <v>5152018</v>
      </c>
      <c r="K39" s="308">
        <v>1.081</v>
      </c>
      <c r="L39" s="11">
        <v>1121559</v>
      </c>
      <c r="M39" s="309">
        <v>8.3000000000000004E-2</v>
      </c>
      <c r="N39" s="310">
        <v>1.2699999999999999E-2</v>
      </c>
      <c r="O39" s="11">
        <v>46646</v>
      </c>
      <c r="P39" s="309">
        <v>5.0311000000000002E-3</v>
      </c>
    </row>
    <row r="40" spans="1:26">
      <c r="B40" s="82" t="s">
        <v>188</v>
      </c>
      <c r="C40" s="10" t="s">
        <v>11</v>
      </c>
      <c r="D40" s="10"/>
      <c r="E40" s="10" t="s">
        <v>601</v>
      </c>
      <c r="F40" s="5">
        <f>148063+148045+148047</f>
        <v>444155</v>
      </c>
      <c r="G40" s="11">
        <v>46646</v>
      </c>
      <c r="H40" s="5" t="s">
        <v>9</v>
      </c>
      <c r="I40" s="5">
        <f t="shared" si="2"/>
        <v>490801</v>
      </c>
      <c r="J40" s="11">
        <v>4113243</v>
      </c>
      <c r="K40" s="308">
        <v>1.212</v>
      </c>
      <c r="L40" s="11">
        <v>1129099</v>
      </c>
      <c r="M40" s="309">
        <v>0.11260000000000001</v>
      </c>
      <c r="N40" s="310">
        <v>1.18E-2</v>
      </c>
      <c r="O40" s="11">
        <v>87047</v>
      </c>
      <c r="P40" s="309">
        <v>1.5811200000000001E-2</v>
      </c>
    </row>
    <row r="41" spans="1:26" ht="20.399999999999999">
      <c r="B41" s="82" t="s">
        <v>198</v>
      </c>
      <c r="C41" s="10" t="s">
        <v>200</v>
      </c>
      <c r="D41" s="10"/>
      <c r="E41" s="10" t="s">
        <v>601</v>
      </c>
      <c r="F41" s="11">
        <f>148641+148630+148638</f>
        <v>445909</v>
      </c>
      <c r="G41" s="5">
        <v>15072</v>
      </c>
      <c r="H41" s="5">
        <v>1369372</v>
      </c>
      <c r="I41" s="5">
        <f t="shared" si="2"/>
        <v>1830353</v>
      </c>
      <c r="J41" s="11">
        <v>3227424</v>
      </c>
      <c r="K41" s="308">
        <v>2.056</v>
      </c>
      <c r="L41" s="11">
        <v>903445</v>
      </c>
      <c r="M41" s="309">
        <v>0.13489999999999999</v>
      </c>
      <c r="N41" s="310">
        <v>1.0800000000000001E-2</v>
      </c>
      <c r="O41" s="11">
        <v>353336</v>
      </c>
      <c r="P41" s="309">
        <v>5.9722400000000002E-2</v>
      </c>
    </row>
    <row r="42" spans="1:26" ht="20.399999999999999">
      <c r="B42" s="82" t="s">
        <v>210</v>
      </c>
      <c r="C42" s="10" t="s">
        <v>212</v>
      </c>
      <c r="D42" s="10"/>
      <c r="E42" s="10" t="s">
        <v>601</v>
      </c>
      <c r="F42" s="11">
        <f>142239+142562+142597</f>
        <v>427398</v>
      </c>
      <c r="G42" s="11">
        <v>135538</v>
      </c>
      <c r="H42" s="5">
        <v>242569</v>
      </c>
      <c r="I42" s="5">
        <f t="shared" si="2"/>
        <v>805505</v>
      </c>
      <c r="J42" s="11">
        <v>5581200</v>
      </c>
      <c r="K42" s="308">
        <v>1.714</v>
      </c>
      <c r="L42" s="11">
        <v>1154655</v>
      </c>
      <c r="M42" s="309">
        <v>8.1100000000000005E-2</v>
      </c>
      <c r="N42" s="310">
        <v>6.4000000000000003E-3</v>
      </c>
      <c r="O42" s="11">
        <v>503850</v>
      </c>
      <c r="P42" s="309">
        <v>3.2856000000000003E-2</v>
      </c>
    </row>
    <row r="43" spans="1:26">
      <c r="B43" s="82" t="s">
        <v>583</v>
      </c>
      <c r="C43" s="10" t="s">
        <v>293</v>
      </c>
      <c r="D43" s="10" t="s">
        <v>601</v>
      </c>
      <c r="E43" s="10"/>
      <c r="F43" s="5">
        <f>81905+80031+80007</f>
        <v>241943</v>
      </c>
      <c r="G43" s="5" t="s">
        <v>9</v>
      </c>
      <c r="H43" s="5">
        <f>247173</f>
        <v>247173</v>
      </c>
      <c r="I43" s="5">
        <f t="shared" si="2"/>
        <v>489116</v>
      </c>
      <c r="J43" s="11">
        <v>5998587</v>
      </c>
      <c r="K43" s="308">
        <v>1.518</v>
      </c>
      <c r="L43" s="11">
        <v>1144665</v>
      </c>
      <c r="M43" s="309">
        <v>0.108</v>
      </c>
      <c r="N43" s="310">
        <v>1.04E-2</v>
      </c>
      <c r="O43" s="11">
        <v>300842</v>
      </c>
      <c r="P43" s="309">
        <v>3.7939100000000003E-2</v>
      </c>
    </row>
    <row r="44" spans="1:26">
      <c r="B44" s="82" t="s">
        <v>332</v>
      </c>
      <c r="C44" s="10" t="s">
        <v>334</v>
      </c>
      <c r="D44" s="10"/>
      <c r="E44" s="10" t="s">
        <v>601</v>
      </c>
      <c r="F44" s="11">
        <v>445965</v>
      </c>
      <c r="G44" s="5" t="s">
        <v>9</v>
      </c>
      <c r="H44" s="5">
        <v>992289</v>
      </c>
      <c r="I44" s="5">
        <f t="shared" si="2"/>
        <v>1438254</v>
      </c>
      <c r="J44" s="11">
        <v>4132281</v>
      </c>
      <c r="K44" s="308">
        <v>1.427</v>
      </c>
      <c r="L44" s="11">
        <v>907105</v>
      </c>
      <c r="M44" s="309">
        <v>4.7399999999999998E-2</v>
      </c>
      <c r="N44" s="310">
        <v>2.5000000000000001E-3</v>
      </c>
      <c r="O44" s="11">
        <v>492884</v>
      </c>
      <c r="P44" s="309">
        <v>1.3284000000000001E-2</v>
      </c>
    </row>
    <row r="45" spans="1:26">
      <c r="B45" s="82" t="s">
        <v>584</v>
      </c>
      <c r="C45" s="29" t="s">
        <v>339</v>
      </c>
      <c r="D45" s="29" t="s">
        <v>601</v>
      </c>
      <c r="E45" s="29"/>
      <c r="F45" s="31" t="s">
        <v>9</v>
      </c>
      <c r="G45" s="31" t="s">
        <v>9</v>
      </c>
      <c r="H45" s="31">
        <f>1165720+336924</f>
        <v>1502644</v>
      </c>
      <c r="I45" s="31">
        <f t="shared" si="2"/>
        <v>1502644</v>
      </c>
      <c r="J45" s="11">
        <v>6390352</v>
      </c>
      <c r="K45" s="308">
        <v>1.613</v>
      </c>
      <c r="L45" s="11">
        <v>1140347</v>
      </c>
      <c r="M45" s="309">
        <v>6.1899999999999997E-2</v>
      </c>
      <c r="N45" s="310">
        <v>4.4000000000000003E-3</v>
      </c>
      <c r="O45" s="11">
        <v>621056</v>
      </c>
      <c r="P45" s="309">
        <v>2.4172699999999998E-2</v>
      </c>
    </row>
    <row r="46" spans="1:26">
      <c r="B46" s="82" t="s">
        <v>371</v>
      </c>
      <c r="C46" s="10" t="s">
        <v>12</v>
      </c>
      <c r="D46" s="10"/>
      <c r="E46" s="10" t="s">
        <v>601</v>
      </c>
      <c r="F46" s="5">
        <f>106333+108183+107763</f>
        <v>322279</v>
      </c>
      <c r="G46" s="5" t="s">
        <v>9</v>
      </c>
      <c r="H46" s="5" t="s">
        <v>9</v>
      </c>
      <c r="I46" s="5">
        <f t="shared" ref="I46:I53" si="3">SUM(F46:H46)</f>
        <v>322279</v>
      </c>
      <c r="J46" s="11">
        <v>6490296</v>
      </c>
      <c r="K46" s="308">
        <v>1.0569999999999999</v>
      </c>
      <c r="L46" s="11">
        <v>1175711</v>
      </c>
      <c r="M46" s="309">
        <v>1.04E-2</v>
      </c>
      <c r="N46" s="310">
        <v>2.2000000000000001E-3</v>
      </c>
      <c r="O46" s="11">
        <v>274065</v>
      </c>
      <c r="P46" s="309">
        <v>4.71643E-4</v>
      </c>
    </row>
    <row r="47" spans="1:26">
      <c r="B47" s="82" t="s">
        <v>379</v>
      </c>
      <c r="C47" s="10" t="s">
        <v>11</v>
      </c>
      <c r="D47" s="10"/>
      <c r="E47" s="10" t="s">
        <v>601</v>
      </c>
      <c r="F47" s="11">
        <f>129696+128878+128749</f>
        <v>387323</v>
      </c>
      <c r="G47" s="5">
        <v>15072</v>
      </c>
      <c r="H47" s="5" t="s">
        <v>9</v>
      </c>
      <c r="I47" s="5">
        <f t="shared" si="3"/>
        <v>402395</v>
      </c>
      <c r="J47" s="11">
        <v>4108704</v>
      </c>
      <c r="K47" s="308">
        <v>1.5489999999999999</v>
      </c>
      <c r="L47" s="11">
        <v>1127801</v>
      </c>
      <c r="M47" s="309">
        <v>0.14829999999999999</v>
      </c>
      <c r="N47" s="310">
        <v>1.12E-2</v>
      </c>
      <c r="O47" s="11">
        <v>169683</v>
      </c>
      <c r="P47" s="309">
        <v>4.3819200000000003E-2</v>
      </c>
    </row>
    <row r="48" spans="1:26">
      <c r="B48" s="82" t="s">
        <v>384</v>
      </c>
      <c r="C48" s="10" t="s">
        <v>386</v>
      </c>
      <c r="D48" s="10" t="s">
        <v>601</v>
      </c>
      <c r="E48" s="10"/>
      <c r="F48" s="11">
        <f>140201+140286+140239</f>
        <v>420726</v>
      </c>
      <c r="G48" s="5" t="s">
        <v>9</v>
      </c>
      <c r="H48" s="5">
        <v>34652</v>
      </c>
      <c r="I48" s="5">
        <f t="shared" si="3"/>
        <v>455378</v>
      </c>
      <c r="J48" s="11">
        <v>5845682</v>
      </c>
      <c r="K48" s="308">
        <v>1.2390000000000001</v>
      </c>
      <c r="L48" s="11">
        <v>1163321</v>
      </c>
      <c r="M48" s="309">
        <v>0.3236</v>
      </c>
      <c r="N48" s="310">
        <v>3.04E-2</v>
      </c>
      <c r="O48" s="11">
        <v>46467</v>
      </c>
      <c r="P48" s="309">
        <v>6.4846699999999993E-2</v>
      </c>
    </row>
    <row r="49" spans="1:25" ht="20.399999999999999">
      <c r="B49" s="82" t="s">
        <v>397</v>
      </c>
      <c r="C49" s="10" t="s">
        <v>399</v>
      </c>
      <c r="D49" s="10"/>
      <c r="E49" s="10" t="s">
        <v>601</v>
      </c>
      <c r="F49" s="11">
        <f>141942+141873+141839</f>
        <v>425654</v>
      </c>
      <c r="G49" s="11">
        <v>283985</v>
      </c>
      <c r="H49" s="5">
        <v>588413</v>
      </c>
      <c r="I49" s="5">
        <f t="shared" si="3"/>
        <v>1298052</v>
      </c>
      <c r="J49" s="11">
        <v>5607108</v>
      </c>
      <c r="K49" s="308">
        <v>1.6619999999999999</v>
      </c>
      <c r="L49" s="11">
        <v>1150055</v>
      </c>
      <c r="M49" s="309">
        <v>6.0100000000000001E-2</v>
      </c>
      <c r="N49" s="310">
        <v>2.7000000000000001E-3</v>
      </c>
      <c r="O49" s="11">
        <v>654740</v>
      </c>
      <c r="P49" s="309">
        <v>2.3803999999999999E-2</v>
      </c>
    </row>
    <row r="50" spans="1:25">
      <c r="B50" s="82" t="s">
        <v>407</v>
      </c>
      <c r="C50" s="10" t="s">
        <v>409</v>
      </c>
      <c r="D50" s="10"/>
      <c r="E50" s="10" t="s">
        <v>601</v>
      </c>
      <c r="F50" s="11" t="s">
        <v>9</v>
      </c>
      <c r="G50" s="11">
        <v>191843</v>
      </c>
      <c r="H50" s="5">
        <f>260974.1</f>
        <v>260974.1</v>
      </c>
      <c r="I50" s="5">
        <f t="shared" si="3"/>
        <v>452817.1</v>
      </c>
      <c r="J50" s="11">
        <v>5790010</v>
      </c>
      <c r="K50" s="308">
        <v>2.4540000000000002</v>
      </c>
      <c r="L50" s="11">
        <v>1165747</v>
      </c>
      <c r="M50" s="309">
        <v>0.24099999999999999</v>
      </c>
      <c r="N50" s="310">
        <v>1.0999999999999999E-2</v>
      </c>
      <c r="O50" s="11">
        <v>371584</v>
      </c>
      <c r="P50" s="309">
        <v>0.14431099999999999</v>
      </c>
    </row>
    <row r="51" spans="1:25">
      <c r="B51" s="82" t="s">
        <v>422</v>
      </c>
      <c r="C51" s="10" t="s">
        <v>424</v>
      </c>
      <c r="D51" s="10" t="s">
        <v>601</v>
      </c>
      <c r="E51" s="10"/>
      <c r="F51" s="5">
        <f>66736+68599</f>
        <v>135335</v>
      </c>
      <c r="G51" s="11" t="s">
        <v>9</v>
      </c>
      <c r="H51" s="5">
        <f>140306</f>
        <v>140306</v>
      </c>
      <c r="I51" s="5">
        <f>SUM(F51:H51)</f>
        <v>275641</v>
      </c>
      <c r="J51" s="11">
        <v>6200257</v>
      </c>
      <c r="K51" s="308">
        <v>1.4390000000000001</v>
      </c>
      <c r="L51" s="11">
        <v>1155661</v>
      </c>
      <c r="M51" s="309">
        <v>0.12790000000000001</v>
      </c>
      <c r="N51" s="310">
        <v>1.52E-2</v>
      </c>
      <c r="O51" s="11">
        <v>198252</v>
      </c>
      <c r="P51" s="309">
        <v>3.7994600000000003E-2</v>
      </c>
    </row>
    <row r="52" spans="1:25">
      <c r="B52" s="82" t="s">
        <v>449</v>
      </c>
      <c r="C52" s="10" t="s">
        <v>11</v>
      </c>
      <c r="D52" s="10"/>
      <c r="E52" s="10"/>
      <c r="F52" s="11">
        <v>444386</v>
      </c>
      <c r="G52" s="11">
        <v>758713</v>
      </c>
      <c r="H52" s="5" t="s">
        <v>9</v>
      </c>
      <c r="I52" s="5">
        <f t="shared" si="3"/>
        <v>1203099</v>
      </c>
      <c r="J52" s="11">
        <v>5956904</v>
      </c>
      <c r="K52" s="308">
        <v>2.4670000000000001</v>
      </c>
      <c r="L52" s="11">
        <v>1161643</v>
      </c>
      <c r="M52" s="309">
        <v>9.3299999999999994E-2</v>
      </c>
      <c r="N52" s="310">
        <v>2.3999999999999998E-3</v>
      </c>
      <c r="O52" s="11">
        <v>911102</v>
      </c>
      <c r="P52" s="309">
        <v>5.4694699999999999E-2</v>
      </c>
    </row>
    <row r="53" spans="1:25">
      <c r="B53" s="82" t="s">
        <v>454</v>
      </c>
      <c r="C53" s="10" t="s">
        <v>456</v>
      </c>
      <c r="D53" s="10" t="s">
        <v>601</v>
      </c>
      <c r="E53" s="10"/>
      <c r="F53" s="11" t="s">
        <v>9</v>
      </c>
      <c r="G53" s="11" t="s">
        <v>9</v>
      </c>
      <c r="H53" s="5">
        <f>933970</f>
        <v>933970</v>
      </c>
      <c r="I53" s="5">
        <f t="shared" si="3"/>
        <v>933970</v>
      </c>
      <c r="J53" s="11">
        <v>6632275</v>
      </c>
      <c r="K53" s="308">
        <v>1.6850000000000001</v>
      </c>
      <c r="L53" s="11">
        <v>1166183</v>
      </c>
      <c r="M53" s="309">
        <v>4.8399999999999999E-2</v>
      </c>
      <c r="N53" s="310">
        <v>2.5999999999999999E-3</v>
      </c>
      <c r="O53" s="11">
        <v>933969</v>
      </c>
      <c r="P53" s="309">
        <v>2.0796499999999999E-2</v>
      </c>
    </row>
    <row r="54" spans="1:25">
      <c r="B54" s="82"/>
      <c r="F54" s="304"/>
      <c r="G54" s="304"/>
      <c r="H54" s="304"/>
      <c r="I54" s="304"/>
      <c r="J54" s="11"/>
      <c r="K54" s="308"/>
      <c r="L54" s="11"/>
      <c r="M54" s="309"/>
      <c r="N54" s="310"/>
      <c r="O54" s="11"/>
      <c r="P54" s="309"/>
    </row>
    <row r="55" spans="1:25" s="1" customFormat="1">
      <c r="A55" s="61" t="s">
        <v>585</v>
      </c>
      <c r="B55" s="62"/>
      <c r="C55" s="52"/>
      <c r="D55" s="52"/>
      <c r="E55" s="52"/>
      <c r="F55" s="311"/>
      <c r="G55" s="53"/>
      <c r="H55" s="53"/>
      <c r="I55" s="53"/>
      <c r="J55" s="53"/>
      <c r="K55" s="203"/>
      <c r="L55" s="53"/>
      <c r="M55" s="312"/>
      <c r="N55" s="313"/>
      <c r="O55" s="84"/>
      <c r="P55" s="312"/>
      <c r="Q55"/>
      <c r="R55"/>
      <c r="S55"/>
      <c r="T55"/>
      <c r="U55"/>
      <c r="V55"/>
      <c r="W55"/>
      <c r="X55"/>
      <c r="Y55"/>
    </row>
    <row r="56" spans="1:25">
      <c r="B56" s="82" t="s">
        <v>467</v>
      </c>
      <c r="C56" s="39" t="s">
        <v>144</v>
      </c>
      <c r="D56" s="39"/>
      <c r="E56" s="39"/>
      <c r="F56" s="36" t="s">
        <v>9</v>
      </c>
      <c r="G56" s="46">
        <v>557923</v>
      </c>
      <c r="H56" s="36" t="s">
        <v>9</v>
      </c>
      <c r="I56" s="36">
        <f t="shared" ref="I56:I63" si="4">SUM(F56:H56)</f>
        <v>557923</v>
      </c>
      <c r="J56" s="11">
        <v>6070564</v>
      </c>
      <c r="K56" s="308">
        <v>1.8049999999999999</v>
      </c>
      <c r="L56" s="11">
        <v>1157731</v>
      </c>
      <c r="M56" s="309">
        <v>8.1500000000000003E-2</v>
      </c>
      <c r="N56" s="310">
        <v>3.3E-3</v>
      </c>
      <c r="O56" s="11">
        <v>557923</v>
      </c>
      <c r="P56" s="309">
        <v>3.5136399999999998E-2</v>
      </c>
    </row>
    <row r="57" spans="1:25">
      <c r="B57" s="82" t="s">
        <v>469</v>
      </c>
      <c r="C57" s="10" t="s">
        <v>144</v>
      </c>
      <c r="D57" s="10"/>
      <c r="E57" s="10"/>
      <c r="F57" s="5" t="s">
        <v>9</v>
      </c>
      <c r="G57" s="11">
        <v>59176</v>
      </c>
      <c r="H57" s="5" t="s">
        <v>9</v>
      </c>
      <c r="I57" s="5">
        <f t="shared" si="4"/>
        <v>59176</v>
      </c>
      <c r="J57" s="11">
        <v>5882648</v>
      </c>
      <c r="K57" s="308">
        <v>1.087</v>
      </c>
      <c r="L57" s="11">
        <v>1154997</v>
      </c>
      <c r="M57" s="309">
        <v>8.5900000000000004E-2</v>
      </c>
      <c r="N57" s="310">
        <v>9.4000000000000004E-3</v>
      </c>
      <c r="O57" s="11">
        <v>59175</v>
      </c>
      <c r="P57" s="309">
        <v>6.7089699999999999E-3</v>
      </c>
    </row>
    <row r="58" spans="1:25">
      <c r="B58" s="82" t="s">
        <v>470</v>
      </c>
      <c r="C58" s="10" t="s">
        <v>144</v>
      </c>
      <c r="D58" s="10"/>
      <c r="E58" s="10"/>
      <c r="F58" s="5" t="s">
        <v>9</v>
      </c>
      <c r="G58" s="11">
        <v>46861</v>
      </c>
      <c r="H58" s="5" t="s">
        <v>9</v>
      </c>
      <c r="I58" s="5">
        <f t="shared" si="4"/>
        <v>46861</v>
      </c>
      <c r="J58" s="11">
        <v>5883313</v>
      </c>
      <c r="K58" s="308">
        <v>1.081</v>
      </c>
      <c r="L58" s="11">
        <v>1161389</v>
      </c>
      <c r="M58" s="309">
        <v>0.1043</v>
      </c>
      <c r="N58" s="310">
        <v>1.2500000000000001E-2</v>
      </c>
      <c r="O58" s="11">
        <v>46861</v>
      </c>
      <c r="P58" s="309">
        <v>7.85631E-3</v>
      </c>
    </row>
    <row r="59" spans="1:25">
      <c r="B59" s="82" t="s">
        <v>471</v>
      </c>
      <c r="C59" s="10" t="s">
        <v>144</v>
      </c>
      <c r="D59" s="10"/>
      <c r="E59" s="10"/>
      <c r="F59" s="5" t="s">
        <v>9</v>
      </c>
      <c r="G59" s="11">
        <v>59176</v>
      </c>
      <c r="H59" s="5" t="s">
        <v>9</v>
      </c>
      <c r="I59" s="5">
        <f t="shared" si="4"/>
        <v>59176</v>
      </c>
      <c r="J59" s="11">
        <v>5882648</v>
      </c>
      <c r="K59" s="308">
        <v>1.0980000000000001</v>
      </c>
      <c r="L59" s="11">
        <v>1155047</v>
      </c>
      <c r="M59" s="309">
        <v>9.9099999999999994E-2</v>
      </c>
      <c r="N59" s="310">
        <v>9.1000000000000004E-3</v>
      </c>
      <c r="O59" s="11">
        <v>59176</v>
      </c>
      <c r="P59" s="309">
        <v>8.8235299999999996E-3</v>
      </c>
    </row>
    <row r="60" spans="1:25">
      <c r="B60" s="82" t="s">
        <v>472</v>
      </c>
      <c r="C60" s="10" t="s">
        <v>144</v>
      </c>
      <c r="D60" s="10"/>
      <c r="E60" s="10"/>
      <c r="F60" s="5" t="s">
        <v>9</v>
      </c>
      <c r="G60" s="11">
        <v>23217</v>
      </c>
      <c r="H60" s="5" t="s">
        <v>9</v>
      </c>
      <c r="I60" s="5">
        <f t="shared" si="4"/>
        <v>23217</v>
      </c>
      <c r="J60" s="11">
        <v>6073966</v>
      </c>
      <c r="K60" s="308">
        <v>1.026</v>
      </c>
      <c r="L60" s="11">
        <v>1160968</v>
      </c>
      <c r="M60" s="309">
        <v>7.4099999999999999E-2</v>
      </c>
      <c r="N60" s="310">
        <v>1.7299999999999999E-2</v>
      </c>
      <c r="O60" s="11">
        <v>23217</v>
      </c>
      <c r="P60" s="309">
        <v>2.0654499999999999E-3</v>
      </c>
    </row>
    <row r="61" spans="1:25">
      <c r="B61" s="82" t="s">
        <v>473</v>
      </c>
      <c r="C61" s="10" t="s">
        <v>475</v>
      </c>
      <c r="D61" s="10"/>
      <c r="E61" s="10"/>
      <c r="F61" s="5" t="s">
        <v>9</v>
      </c>
      <c r="G61" s="11">
        <v>59225</v>
      </c>
      <c r="H61" s="11">
        <v>63030</v>
      </c>
      <c r="I61" s="5">
        <f t="shared" si="4"/>
        <v>122255</v>
      </c>
      <c r="J61" s="11">
        <v>5033701</v>
      </c>
      <c r="K61" s="308">
        <v>1.29</v>
      </c>
      <c r="L61" s="11">
        <v>1115500</v>
      </c>
      <c r="M61" s="309">
        <v>0.1973</v>
      </c>
      <c r="N61" s="310">
        <v>1.06E-2</v>
      </c>
      <c r="O61" s="11">
        <v>73906</v>
      </c>
      <c r="P61" s="309">
        <v>3.8574600000000001E-2</v>
      </c>
    </row>
    <row r="62" spans="1:25">
      <c r="B62" s="82" t="s">
        <v>478</v>
      </c>
      <c r="C62" s="10" t="s">
        <v>144</v>
      </c>
      <c r="D62" s="10"/>
      <c r="E62" s="10"/>
      <c r="F62" s="5" t="s">
        <v>9</v>
      </c>
      <c r="G62" s="11">
        <v>507804</v>
      </c>
      <c r="H62" s="5" t="s">
        <v>9</v>
      </c>
      <c r="I62" s="5">
        <f t="shared" si="4"/>
        <v>507804</v>
      </c>
      <c r="J62" s="11">
        <v>6070335</v>
      </c>
      <c r="K62" s="308">
        <v>1.5249999999999999</v>
      </c>
      <c r="L62" s="11">
        <v>1157595</v>
      </c>
      <c r="M62" s="309">
        <v>5.8099999999999999E-2</v>
      </c>
      <c r="N62" s="310">
        <v>2.3E-3</v>
      </c>
      <c r="O62" s="11">
        <v>507803</v>
      </c>
      <c r="P62" s="309">
        <v>1.9151700000000001E-2</v>
      </c>
    </row>
    <row r="63" spans="1:25">
      <c r="B63" s="82" t="s">
        <v>480</v>
      </c>
      <c r="C63" s="10" t="s">
        <v>12</v>
      </c>
      <c r="D63" s="10"/>
      <c r="E63" s="10"/>
      <c r="F63" s="11">
        <v>168313</v>
      </c>
      <c r="G63" s="5" t="s">
        <v>9</v>
      </c>
      <c r="H63" s="5" t="s">
        <v>9</v>
      </c>
      <c r="I63" s="5">
        <f t="shared" si="4"/>
        <v>168313</v>
      </c>
      <c r="J63" s="11">
        <v>6485582</v>
      </c>
      <c r="K63" s="308">
        <v>1.165</v>
      </c>
      <c r="L63" s="11">
        <v>1176072</v>
      </c>
      <c r="M63" s="309">
        <v>7.1599999999999997E-2</v>
      </c>
      <c r="N63" s="310">
        <v>4.3E-3</v>
      </c>
      <c r="O63" s="11">
        <v>141864</v>
      </c>
      <c r="P63" s="309">
        <v>1.03663E-2</v>
      </c>
    </row>
    <row r="64" spans="1:25">
      <c r="B64" s="82" t="s">
        <v>485</v>
      </c>
      <c r="C64" s="10" t="s">
        <v>12</v>
      </c>
      <c r="D64" s="10"/>
      <c r="E64" s="10"/>
      <c r="F64" s="11">
        <v>169051</v>
      </c>
      <c r="G64" s="5" t="s">
        <v>9</v>
      </c>
      <c r="H64" s="5" t="s">
        <v>9</v>
      </c>
      <c r="I64" s="5">
        <f t="shared" ref="I64:I70" si="5">SUM(F64:H64)</f>
        <v>169051</v>
      </c>
      <c r="J64" s="11">
        <v>6485525</v>
      </c>
      <c r="K64" s="308">
        <v>1.159</v>
      </c>
      <c r="L64" s="11">
        <v>1176069</v>
      </c>
      <c r="M64" s="309">
        <v>7.1300000000000002E-2</v>
      </c>
      <c r="N64" s="310">
        <v>4.8999999999999998E-3</v>
      </c>
      <c r="O64" s="11">
        <v>134080</v>
      </c>
      <c r="P64" s="309">
        <v>9.7990500000000001E-3</v>
      </c>
    </row>
    <row r="65" spans="1:25">
      <c r="B65" s="82" t="s">
        <v>486</v>
      </c>
      <c r="C65" s="10" t="s">
        <v>12</v>
      </c>
      <c r="D65" s="10"/>
      <c r="E65" s="10"/>
      <c r="F65" s="11">
        <v>168001</v>
      </c>
      <c r="G65" s="5" t="s">
        <v>9</v>
      </c>
      <c r="H65" s="5" t="s">
        <v>9</v>
      </c>
      <c r="I65" s="5">
        <f t="shared" si="5"/>
        <v>168001</v>
      </c>
      <c r="J65" s="11">
        <v>6485346</v>
      </c>
      <c r="K65" s="308">
        <v>1.1759999999999999</v>
      </c>
      <c r="L65" s="11">
        <v>1176059</v>
      </c>
      <c r="M65" s="309">
        <v>7.6300000000000007E-2</v>
      </c>
      <c r="N65" s="310">
        <v>4.8999999999999998E-3</v>
      </c>
      <c r="O65" s="11">
        <v>138807</v>
      </c>
      <c r="P65" s="309">
        <v>1.1447499999999999E-2</v>
      </c>
    </row>
    <row r="66" spans="1:25">
      <c r="B66" s="82" t="s">
        <v>586</v>
      </c>
      <c r="C66" s="10" t="s">
        <v>12</v>
      </c>
      <c r="D66" s="10"/>
      <c r="E66" s="10"/>
      <c r="F66" s="11">
        <v>115038</v>
      </c>
      <c r="G66" s="5" t="s">
        <v>9</v>
      </c>
      <c r="H66" s="5" t="s">
        <v>9</v>
      </c>
      <c r="I66" s="5">
        <f t="shared" si="5"/>
        <v>115038</v>
      </c>
      <c r="J66" s="11">
        <v>6480657</v>
      </c>
      <c r="K66" s="308">
        <v>1.0860000000000001</v>
      </c>
      <c r="L66" s="11">
        <v>1175937</v>
      </c>
      <c r="M66" s="309">
        <v>7.4999999999999997E-2</v>
      </c>
      <c r="N66" s="310">
        <v>7.9000000000000008E-3</v>
      </c>
      <c r="O66" s="11">
        <v>66733</v>
      </c>
      <c r="P66" s="309">
        <v>5.7745299999999999E-3</v>
      </c>
    </row>
    <row r="67" spans="1:25">
      <c r="B67" s="82" t="s">
        <v>492</v>
      </c>
      <c r="C67" s="10" t="s">
        <v>12</v>
      </c>
      <c r="D67" s="10"/>
      <c r="E67" s="10"/>
      <c r="F67" s="11">
        <v>439525</v>
      </c>
      <c r="G67" s="5" t="s">
        <v>9</v>
      </c>
      <c r="H67" s="5" t="s">
        <v>9</v>
      </c>
      <c r="I67" s="5">
        <f t="shared" si="5"/>
        <v>439525</v>
      </c>
      <c r="J67" s="11">
        <v>6492148</v>
      </c>
      <c r="K67" s="308">
        <v>1.2729999999999999</v>
      </c>
      <c r="L67" s="11">
        <v>1176212</v>
      </c>
      <c r="M67" s="309">
        <v>0.04</v>
      </c>
      <c r="N67" s="310">
        <v>2.0999999999999999E-3</v>
      </c>
      <c r="O67" s="11">
        <v>410968</v>
      </c>
      <c r="P67" s="309">
        <v>8.6023000000000002E-3</v>
      </c>
    </row>
    <row r="68" spans="1:25">
      <c r="B68" s="82" t="s">
        <v>493</v>
      </c>
      <c r="C68" s="10" t="s">
        <v>11</v>
      </c>
      <c r="D68" s="10"/>
      <c r="E68" s="10"/>
      <c r="F68" s="11">
        <v>401076</v>
      </c>
      <c r="G68" s="11">
        <v>91967</v>
      </c>
      <c r="H68" s="5" t="s">
        <v>9</v>
      </c>
      <c r="I68" s="5">
        <f t="shared" si="5"/>
        <v>493043</v>
      </c>
      <c r="J68" s="11">
        <v>5073973</v>
      </c>
      <c r="K68" s="308">
        <v>2.1</v>
      </c>
      <c r="L68" s="11">
        <v>1141073</v>
      </c>
      <c r="M68" s="309">
        <v>0.15840000000000001</v>
      </c>
      <c r="N68" s="310">
        <v>5.1999999999999998E-3</v>
      </c>
      <c r="O68" s="11">
        <v>362840</v>
      </c>
      <c r="P68" s="309">
        <v>7.7496899999999994E-2</v>
      </c>
    </row>
    <row r="69" spans="1:25">
      <c r="B69" s="82" t="s">
        <v>588</v>
      </c>
      <c r="C69" s="10" t="s">
        <v>144</v>
      </c>
      <c r="D69" s="10" t="s">
        <v>601</v>
      </c>
      <c r="E69" s="10"/>
      <c r="F69" s="11" t="s">
        <v>9</v>
      </c>
      <c r="G69" s="11">
        <v>606824</v>
      </c>
      <c r="H69" s="5" t="s">
        <v>9</v>
      </c>
      <c r="I69" s="5">
        <f t="shared" si="5"/>
        <v>606824</v>
      </c>
      <c r="J69" s="11">
        <v>5994901</v>
      </c>
      <c r="K69" s="308">
        <v>1.534</v>
      </c>
      <c r="L69" s="11">
        <v>1115591</v>
      </c>
      <c r="M69" s="309">
        <v>5.0599999999999999E-2</v>
      </c>
      <c r="N69" s="310">
        <v>1.9E-3</v>
      </c>
      <c r="O69" s="11">
        <v>606824</v>
      </c>
      <c r="P69" s="309">
        <v>1.7128999999999998E-2</v>
      </c>
    </row>
    <row r="70" spans="1:25">
      <c r="B70" s="82" t="s">
        <v>500</v>
      </c>
      <c r="C70" s="10" t="s">
        <v>144</v>
      </c>
      <c r="D70" s="10"/>
      <c r="E70" s="10"/>
      <c r="F70" s="5" t="s">
        <v>9</v>
      </c>
      <c r="G70" s="11">
        <v>452535</v>
      </c>
      <c r="H70" s="5" t="s">
        <v>9</v>
      </c>
      <c r="I70" s="5">
        <f t="shared" si="5"/>
        <v>452535</v>
      </c>
      <c r="J70" s="11">
        <v>6070099</v>
      </c>
      <c r="K70" s="308">
        <v>1.375</v>
      </c>
      <c r="L70" s="11">
        <v>1157640</v>
      </c>
      <c r="M70" s="309">
        <v>4.6800000000000001E-2</v>
      </c>
      <c r="N70" s="310">
        <v>2.5000000000000001E-3</v>
      </c>
      <c r="O70" s="11">
        <v>452535</v>
      </c>
      <c r="P70" s="309">
        <v>1.2209599999999999E-2</v>
      </c>
    </row>
    <row r="71" spans="1:25" ht="20.399999999999999">
      <c r="B71" s="82" t="s">
        <v>502</v>
      </c>
      <c r="C71" s="10" t="s">
        <v>504</v>
      </c>
      <c r="D71" s="10"/>
      <c r="E71" s="10"/>
      <c r="F71" s="11">
        <v>361688</v>
      </c>
      <c r="G71" s="11">
        <v>59206</v>
      </c>
      <c r="H71" s="11">
        <v>63666</v>
      </c>
      <c r="I71" s="5">
        <f t="shared" ref="I71:I78" si="6">SUM(F71:H71)</f>
        <v>484560</v>
      </c>
      <c r="J71" s="11">
        <v>4353421</v>
      </c>
      <c r="K71" s="308">
        <v>2.11</v>
      </c>
      <c r="L71" s="11">
        <v>1047840</v>
      </c>
      <c r="M71" s="309">
        <v>0.12620000000000001</v>
      </c>
      <c r="N71" s="310">
        <v>6.0000000000000001E-3</v>
      </c>
      <c r="O71" s="11">
        <v>389237</v>
      </c>
      <c r="P71" s="309">
        <v>5.6809600000000002E-2</v>
      </c>
    </row>
    <row r="72" spans="1:25">
      <c r="B72" s="82" t="s">
        <v>516</v>
      </c>
      <c r="C72" s="10" t="s">
        <v>518</v>
      </c>
      <c r="D72" s="10"/>
      <c r="E72" s="10"/>
      <c r="F72" s="5" t="s">
        <v>9</v>
      </c>
      <c r="G72" s="11">
        <v>59176</v>
      </c>
      <c r="H72" s="11">
        <v>17375</v>
      </c>
      <c r="I72" s="5">
        <f t="shared" si="6"/>
        <v>76551</v>
      </c>
      <c r="J72" s="11">
        <v>1894573</v>
      </c>
      <c r="K72" s="308">
        <v>1.175</v>
      </c>
      <c r="L72" s="11">
        <v>999638</v>
      </c>
      <c r="M72" s="309">
        <v>0.1119</v>
      </c>
      <c r="N72" s="310">
        <v>8.3000000000000001E-3</v>
      </c>
      <c r="O72" s="11">
        <v>72308</v>
      </c>
      <c r="P72" s="309">
        <v>1.3297E-2</v>
      </c>
    </row>
    <row r="73" spans="1:25">
      <c r="B73" s="82" t="s">
        <v>418</v>
      </c>
      <c r="C73" s="10" t="s">
        <v>417</v>
      </c>
      <c r="D73" s="10"/>
      <c r="E73" s="10" t="s">
        <v>601</v>
      </c>
      <c r="F73" s="11" t="s">
        <v>9</v>
      </c>
      <c r="G73" s="11">
        <v>265934</v>
      </c>
      <c r="H73" s="5">
        <v>608595</v>
      </c>
      <c r="I73" s="5">
        <f t="shared" si="6"/>
        <v>874529</v>
      </c>
      <c r="J73" s="11">
        <v>5766478</v>
      </c>
      <c r="K73" s="308">
        <v>1.508</v>
      </c>
      <c r="L73" s="11">
        <v>1118659</v>
      </c>
      <c r="M73" s="309">
        <v>5.7200000000000001E-2</v>
      </c>
      <c r="N73" s="310">
        <v>2.3999999999999998E-3</v>
      </c>
      <c r="O73" s="11">
        <v>490222</v>
      </c>
      <c r="P73" s="309">
        <v>1.8218000000000002E-2</v>
      </c>
    </row>
    <row r="74" spans="1:25">
      <c r="B74" s="82" t="s">
        <v>587</v>
      </c>
      <c r="C74" s="10" t="s">
        <v>12</v>
      </c>
      <c r="D74" s="10"/>
      <c r="E74" s="10"/>
      <c r="F74" s="11">
        <v>444842</v>
      </c>
      <c r="G74" s="5" t="s">
        <v>9</v>
      </c>
      <c r="H74" s="5" t="s">
        <v>9</v>
      </c>
      <c r="I74" s="5">
        <f t="shared" si="6"/>
        <v>444842</v>
      </c>
      <c r="J74" s="11">
        <v>6492220</v>
      </c>
      <c r="K74" s="308">
        <v>1.3169999999999999</v>
      </c>
      <c r="L74" s="11">
        <v>1176220</v>
      </c>
      <c r="M74" s="309">
        <v>5.1799999999999999E-2</v>
      </c>
      <c r="N74" s="310">
        <v>2.3E-3</v>
      </c>
      <c r="O74" s="11">
        <v>383466</v>
      </c>
      <c r="P74" s="309">
        <v>1.28836E-2</v>
      </c>
    </row>
    <row r="75" spans="1:25">
      <c r="B75" s="82" t="s">
        <v>525</v>
      </c>
      <c r="C75" s="10" t="s">
        <v>144</v>
      </c>
      <c r="D75" s="10"/>
      <c r="E75" s="10"/>
      <c r="F75" s="5" t="s">
        <v>9</v>
      </c>
      <c r="G75" s="11">
        <v>476144</v>
      </c>
      <c r="H75" s="5" t="s">
        <v>9</v>
      </c>
      <c r="I75" s="5">
        <f t="shared" si="6"/>
        <v>476144</v>
      </c>
      <c r="J75" s="11">
        <v>6070315</v>
      </c>
      <c r="K75" s="308">
        <v>1.2889999999999999</v>
      </c>
      <c r="L75" s="11">
        <v>1158084</v>
      </c>
      <c r="M75" s="309">
        <v>3.4299999999999997E-2</v>
      </c>
      <c r="N75" s="310">
        <v>1.6999999999999999E-3</v>
      </c>
      <c r="O75" s="11">
        <v>476143</v>
      </c>
      <c r="P75" s="309">
        <v>7.3387299999999999E-3</v>
      </c>
    </row>
    <row r="76" spans="1:25">
      <c r="B76" s="82" t="s">
        <v>526</v>
      </c>
      <c r="C76" s="10" t="s">
        <v>144</v>
      </c>
      <c r="D76" s="10"/>
      <c r="E76" s="10"/>
      <c r="F76" s="5" t="s">
        <v>9</v>
      </c>
      <c r="G76" s="11">
        <v>86529</v>
      </c>
      <c r="H76" s="5" t="s">
        <v>9</v>
      </c>
      <c r="I76" s="5">
        <f t="shared" si="6"/>
        <v>86529</v>
      </c>
      <c r="J76" s="11">
        <v>6062699</v>
      </c>
      <c r="K76" s="308">
        <v>1.1040000000000001</v>
      </c>
      <c r="L76" s="11">
        <v>1160534</v>
      </c>
      <c r="M76" s="309">
        <v>6.9400000000000003E-2</v>
      </c>
      <c r="N76" s="310">
        <v>5.7999999999999996E-3</v>
      </c>
      <c r="O76" s="11">
        <v>86528</v>
      </c>
      <c r="P76" s="309">
        <v>6.3139099999999998E-3</v>
      </c>
    </row>
    <row r="77" spans="1:25">
      <c r="B77" s="82" t="s">
        <v>527</v>
      </c>
      <c r="C77" s="10" t="s">
        <v>529</v>
      </c>
      <c r="D77" s="10"/>
      <c r="E77" s="10"/>
      <c r="F77" s="5" t="s">
        <v>9</v>
      </c>
      <c r="G77" s="11">
        <v>969309</v>
      </c>
      <c r="H77" s="5">
        <v>458558</v>
      </c>
      <c r="I77" s="5">
        <f t="shared" si="6"/>
        <v>1427867</v>
      </c>
      <c r="J77" s="11">
        <v>5705829</v>
      </c>
      <c r="K77" s="308">
        <v>1.998</v>
      </c>
      <c r="L77" s="11">
        <v>1088849</v>
      </c>
      <c r="M77" s="309">
        <v>5.1299999999999998E-2</v>
      </c>
      <c r="N77" s="310">
        <v>2.2000000000000001E-3</v>
      </c>
      <c r="O77" s="11">
        <v>1070480</v>
      </c>
      <c r="P77" s="309">
        <v>2.4515100000000001E-2</v>
      </c>
    </row>
    <row r="78" spans="1:25" ht="23.5" customHeight="1">
      <c r="B78" s="9" t="s">
        <v>535</v>
      </c>
      <c r="C78" s="10" t="s">
        <v>537</v>
      </c>
      <c r="D78" s="10"/>
      <c r="E78" s="10" t="s">
        <v>601</v>
      </c>
      <c r="F78" s="11">
        <f>61929+53333+53957</f>
        <v>169219</v>
      </c>
      <c r="G78" s="11">
        <v>728752</v>
      </c>
      <c r="H78" s="11">
        <v>95886.15</v>
      </c>
      <c r="I78" s="5">
        <f t="shared" si="6"/>
        <v>993857.15</v>
      </c>
      <c r="J78" s="11">
        <v>5158995</v>
      </c>
      <c r="K78" s="308">
        <v>1.7070000000000001</v>
      </c>
      <c r="L78" s="11">
        <v>1060258</v>
      </c>
      <c r="M78" s="309">
        <v>7.6899999999999996E-2</v>
      </c>
      <c r="N78" s="310">
        <v>2.8E-3</v>
      </c>
      <c r="O78" s="11">
        <v>497893</v>
      </c>
      <c r="P78" s="309">
        <v>2.9956300000000002E-2</v>
      </c>
    </row>
    <row r="79" spans="1:25">
      <c r="F79" s="304"/>
      <c r="G79" s="304"/>
      <c r="H79" s="304"/>
      <c r="I79" s="304"/>
      <c r="J79" s="11"/>
      <c r="K79" s="308"/>
      <c r="L79" s="11"/>
      <c r="M79" s="309"/>
      <c r="N79" s="310"/>
      <c r="O79" s="11"/>
      <c r="P79" s="309"/>
    </row>
    <row r="80" spans="1:25" s="1" customFormat="1">
      <c r="A80" s="51" t="s">
        <v>565</v>
      </c>
      <c r="B80" s="86"/>
      <c r="C80" s="86"/>
      <c r="D80" s="86"/>
      <c r="E80" s="60"/>
      <c r="F80" s="315"/>
      <c r="G80" s="84"/>
      <c r="H80" s="88"/>
      <c r="I80" s="88"/>
      <c r="J80" s="84"/>
      <c r="K80" s="203"/>
      <c r="L80" s="84"/>
      <c r="M80" s="312"/>
      <c r="N80" s="313"/>
      <c r="O80" s="84"/>
      <c r="P80" s="312"/>
      <c r="Q80"/>
      <c r="R80"/>
      <c r="S80"/>
      <c r="T80"/>
      <c r="U80"/>
      <c r="V80"/>
      <c r="W80"/>
      <c r="X80"/>
      <c r="Y80"/>
    </row>
    <row r="81" spans="1:25">
      <c r="B81" s="82" t="s">
        <v>193</v>
      </c>
      <c r="C81" s="10" t="s">
        <v>195</v>
      </c>
      <c r="D81" s="10" t="s">
        <v>601</v>
      </c>
      <c r="E81" s="10"/>
      <c r="F81" s="5" t="s">
        <v>9</v>
      </c>
      <c r="G81" s="5" t="s">
        <v>9</v>
      </c>
      <c r="H81" s="5">
        <v>72517</v>
      </c>
      <c r="I81" s="5">
        <f>SUM(F81:H81)</f>
        <v>72517</v>
      </c>
      <c r="J81" s="11">
        <v>5290110</v>
      </c>
      <c r="K81" s="308">
        <v>1.24</v>
      </c>
      <c r="L81" s="11">
        <v>994872</v>
      </c>
      <c r="M81" s="309">
        <v>0.17610000000000001</v>
      </c>
      <c r="N81" s="310">
        <v>1.2699999999999999E-2</v>
      </c>
      <c r="O81" s="11">
        <v>72517</v>
      </c>
      <c r="P81" s="309">
        <v>3.0903300000000002E-2</v>
      </c>
    </row>
    <row r="82" spans="1:25">
      <c r="B82" s="82" t="s">
        <v>218</v>
      </c>
      <c r="C82" s="10" t="s">
        <v>220</v>
      </c>
      <c r="D82" s="10"/>
      <c r="E82" s="10" t="s">
        <v>601</v>
      </c>
      <c r="F82" s="5" t="s">
        <v>9</v>
      </c>
      <c r="G82" s="11">
        <v>62380</v>
      </c>
      <c r="H82" s="5">
        <v>225534</v>
      </c>
      <c r="I82" s="5">
        <f t="shared" ref="I82:I87" si="7">SUM(F82:H82)</f>
        <v>287914</v>
      </c>
      <c r="J82" s="11">
        <v>5235492</v>
      </c>
      <c r="K82" s="308">
        <v>1.389</v>
      </c>
      <c r="L82" s="11">
        <v>1052343</v>
      </c>
      <c r="M82" s="309">
        <v>9.0399999999999994E-2</v>
      </c>
      <c r="N82" s="310">
        <v>4.3E-3</v>
      </c>
      <c r="O82" s="11">
        <v>231543</v>
      </c>
      <c r="P82" s="309">
        <v>2.33803E-2</v>
      </c>
    </row>
    <row r="83" spans="1:25">
      <c r="B83" s="82" t="s">
        <v>221</v>
      </c>
      <c r="C83" s="10" t="s">
        <v>223</v>
      </c>
      <c r="D83" s="10" t="s">
        <v>601</v>
      </c>
      <c r="E83" s="10"/>
      <c r="F83" s="5" t="s">
        <v>9</v>
      </c>
      <c r="G83" s="5" t="s">
        <v>9</v>
      </c>
      <c r="H83" s="5">
        <v>46350</v>
      </c>
      <c r="I83" s="5">
        <f t="shared" si="7"/>
        <v>46350</v>
      </c>
      <c r="J83" s="11">
        <v>6009133</v>
      </c>
      <c r="K83" s="308">
        <v>1.1639999999999999</v>
      </c>
      <c r="L83" s="11">
        <v>1079498</v>
      </c>
      <c r="M83" s="309">
        <v>0.2014</v>
      </c>
      <c r="N83" s="310">
        <v>1.5599999999999999E-2</v>
      </c>
      <c r="O83" s="11">
        <v>46350</v>
      </c>
      <c r="P83" s="309">
        <v>2.7115500000000001E-2</v>
      </c>
    </row>
    <row r="84" spans="1:25">
      <c r="B84" s="82" t="s">
        <v>224</v>
      </c>
      <c r="C84" s="10" t="s">
        <v>226</v>
      </c>
      <c r="D84" s="10" t="s">
        <v>601</v>
      </c>
      <c r="E84" s="10"/>
      <c r="F84" s="5">
        <f>30116+23840+24146</f>
        <v>78102</v>
      </c>
      <c r="G84" s="11" t="s">
        <v>9</v>
      </c>
      <c r="H84" s="5">
        <v>413466</v>
      </c>
      <c r="I84" s="5">
        <f t="shared" si="7"/>
        <v>491568</v>
      </c>
      <c r="J84" s="11">
        <v>5913050</v>
      </c>
      <c r="K84" s="308">
        <v>1.53</v>
      </c>
      <c r="L84" s="11">
        <v>1122712</v>
      </c>
      <c r="M84" s="309">
        <v>6.9699999999999998E-2</v>
      </c>
      <c r="N84" s="310">
        <v>2.5999999999999999E-3</v>
      </c>
      <c r="O84" s="11">
        <v>443295</v>
      </c>
      <c r="P84" s="309">
        <v>2.36922E-2</v>
      </c>
    </row>
    <row r="85" spans="1:25" ht="20.399999999999999">
      <c r="B85" s="82" t="s">
        <v>348</v>
      </c>
      <c r="C85" s="10" t="s">
        <v>350</v>
      </c>
      <c r="D85" s="10"/>
      <c r="E85" s="10"/>
      <c r="F85" s="11">
        <v>404984</v>
      </c>
      <c r="G85" s="5">
        <v>307354</v>
      </c>
      <c r="H85" s="5">
        <v>230241</v>
      </c>
      <c r="I85" s="5">
        <f t="shared" si="7"/>
        <v>942579</v>
      </c>
      <c r="J85" s="11">
        <v>5799310</v>
      </c>
      <c r="K85" s="308">
        <v>1.7969999999999999</v>
      </c>
      <c r="L85" s="11">
        <v>1156062</v>
      </c>
      <c r="M85" s="309">
        <v>7.22E-2</v>
      </c>
      <c r="N85" s="310">
        <v>2.5000000000000001E-3</v>
      </c>
      <c r="O85" s="11">
        <v>619272</v>
      </c>
      <c r="P85" s="309">
        <v>3.0829200000000001E-2</v>
      </c>
    </row>
    <row r="86" spans="1:25">
      <c r="B86" s="82" t="s">
        <v>391</v>
      </c>
      <c r="C86" s="10" t="s">
        <v>393</v>
      </c>
      <c r="D86" s="10" t="s">
        <v>601</v>
      </c>
      <c r="E86" s="10"/>
      <c r="F86" s="11" t="s">
        <v>9</v>
      </c>
      <c r="G86" s="5">
        <v>944460</v>
      </c>
      <c r="H86" s="5">
        <v>386533</v>
      </c>
      <c r="I86" s="5">
        <f t="shared" si="7"/>
        <v>1330993</v>
      </c>
      <c r="J86" s="11">
        <v>5779969</v>
      </c>
      <c r="K86" s="308">
        <v>1.89</v>
      </c>
      <c r="L86" s="11">
        <v>1120651</v>
      </c>
      <c r="M86" s="309">
        <v>4.4900000000000002E-2</v>
      </c>
      <c r="N86" s="310">
        <v>1.2999999999999999E-3</v>
      </c>
      <c r="O86" s="11">
        <v>1135428</v>
      </c>
      <c r="P86" s="309">
        <v>2.0625500000000001E-2</v>
      </c>
    </row>
    <row r="87" spans="1:25">
      <c r="B87" s="82" t="s">
        <v>439</v>
      </c>
      <c r="C87" s="10" t="s">
        <v>441</v>
      </c>
      <c r="D87" s="10" t="s">
        <v>601</v>
      </c>
      <c r="E87" s="10"/>
      <c r="F87" s="5">
        <f>29386+23047+23366</f>
        <v>75799</v>
      </c>
      <c r="G87" s="11" t="s">
        <v>9</v>
      </c>
      <c r="H87" s="5">
        <f>161405</f>
        <v>161405</v>
      </c>
      <c r="I87" s="5">
        <f t="shared" si="7"/>
        <v>237204</v>
      </c>
      <c r="J87" s="11">
        <v>6023754</v>
      </c>
      <c r="K87" s="308">
        <v>1.9690000000000001</v>
      </c>
      <c r="L87" s="11">
        <v>1149436</v>
      </c>
      <c r="M87" s="309">
        <v>0.32550000000000001</v>
      </c>
      <c r="N87" s="310">
        <v>1.14E-2</v>
      </c>
      <c r="O87" s="11">
        <v>167145</v>
      </c>
      <c r="P87" s="309">
        <v>0.15479200000000001</v>
      </c>
    </row>
    <row r="88" spans="1:25">
      <c r="F88" s="304"/>
      <c r="G88" s="304"/>
      <c r="H88" s="304"/>
      <c r="I88" s="304"/>
      <c r="J88" s="11"/>
      <c r="K88" s="308"/>
      <c r="L88" s="11"/>
      <c r="M88" s="309"/>
      <c r="N88" s="310"/>
      <c r="O88" s="11"/>
      <c r="P88" s="309"/>
    </row>
    <row r="89" spans="1:25" s="1" customFormat="1">
      <c r="A89" s="51" t="s">
        <v>566</v>
      </c>
      <c r="B89" s="86"/>
      <c r="C89" s="86"/>
      <c r="D89" s="86"/>
      <c r="E89" s="60"/>
      <c r="F89" s="315"/>
      <c r="G89" s="84"/>
      <c r="H89" s="88"/>
      <c r="I89" s="88"/>
      <c r="J89" s="84"/>
      <c r="K89" s="203"/>
      <c r="L89" s="84"/>
      <c r="M89" s="312"/>
      <c r="N89" s="313"/>
      <c r="O89" s="84"/>
      <c r="P89" s="312"/>
      <c r="Q89"/>
      <c r="R89"/>
      <c r="S89"/>
      <c r="T89"/>
      <c r="U89"/>
      <c r="V89"/>
      <c r="W89"/>
      <c r="X89"/>
      <c r="Y89"/>
    </row>
    <row r="90" spans="1:25">
      <c r="B90" s="82" t="s">
        <v>159</v>
      </c>
      <c r="C90" s="10" t="s">
        <v>161</v>
      </c>
      <c r="D90" s="10"/>
      <c r="E90" s="10" t="s">
        <v>601</v>
      </c>
      <c r="F90" s="11">
        <v>131660</v>
      </c>
      <c r="G90" s="5">
        <v>19407</v>
      </c>
      <c r="H90" s="5">
        <v>46568</v>
      </c>
      <c r="I90" s="5">
        <f t="shared" ref="I90:I96" si="8">SUM(F90:H90)</f>
        <v>197635</v>
      </c>
      <c r="J90" s="11">
        <v>5844322</v>
      </c>
      <c r="K90" s="308">
        <v>1.2250000000000001</v>
      </c>
      <c r="L90" s="11">
        <v>1158680</v>
      </c>
      <c r="M90" s="309">
        <v>9.8400000000000001E-2</v>
      </c>
      <c r="N90" s="310">
        <v>6.1000000000000004E-3</v>
      </c>
      <c r="O90" s="11">
        <v>126291</v>
      </c>
      <c r="P90" s="309">
        <v>1.6883499999999999E-2</v>
      </c>
    </row>
    <row r="91" spans="1:25">
      <c r="B91" s="82" t="s">
        <v>171</v>
      </c>
      <c r="C91" s="10" t="s">
        <v>169</v>
      </c>
      <c r="D91" s="10" t="s">
        <v>601</v>
      </c>
      <c r="E91" s="10"/>
      <c r="F91" s="11" t="s">
        <v>9</v>
      </c>
      <c r="G91" s="5">
        <v>81419</v>
      </c>
      <c r="H91" s="5">
        <v>323386</v>
      </c>
      <c r="I91" s="5">
        <f t="shared" si="8"/>
        <v>404805</v>
      </c>
      <c r="J91" s="11">
        <v>6159459</v>
      </c>
      <c r="K91" s="308">
        <v>1.3089999999999999</v>
      </c>
      <c r="L91" s="11">
        <v>1148188</v>
      </c>
      <c r="M91" s="309">
        <v>5.3999999999999999E-2</v>
      </c>
      <c r="N91" s="310">
        <v>2.8999999999999998E-3</v>
      </c>
      <c r="O91" s="11">
        <v>330306</v>
      </c>
      <c r="P91" s="309">
        <v>1.23743E-2</v>
      </c>
    </row>
    <row r="92" spans="1:25">
      <c r="B92" s="82" t="s">
        <v>303</v>
      </c>
      <c r="C92" s="10" t="s">
        <v>305</v>
      </c>
      <c r="D92" s="10"/>
      <c r="E92" s="10"/>
      <c r="F92" s="11">
        <v>144112</v>
      </c>
      <c r="G92" s="11">
        <v>22771</v>
      </c>
      <c r="H92" s="5">
        <v>35297</v>
      </c>
      <c r="I92" s="5">
        <f t="shared" si="8"/>
        <v>202180</v>
      </c>
      <c r="J92" s="11">
        <v>4860547</v>
      </c>
      <c r="K92" s="308">
        <v>1.256</v>
      </c>
      <c r="L92" s="11">
        <v>1105010</v>
      </c>
      <c r="M92" s="309">
        <v>8.2699999999999996E-2</v>
      </c>
      <c r="N92" s="310">
        <v>5.4999999999999997E-3</v>
      </c>
      <c r="O92" s="11">
        <v>156756</v>
      </c>
      <c r="P92" s="309">
        <v>1.4693599999999999E-2</v>
      </c>
    </row>
    <row r="93" spans="1:25">
      <c r="B93" s="82" t="s">
        <v>589</v>
      </c>
      <c r="C93" s="10" t="s">
        <v>320</v>
      </c>
      <c r="D93" s="10"/>
      <c r="E93" s="10" t="s">
        <v>601</v>
      </c>
      <c r="F93" s="11" t="s">
        <v>9</v>
      </c>
      <c r="G93" s="11">
        <v>76186</v>
      </c>
      <c r="H93" s="5">
        <v>326497</v>
      </c>
      <c r="I93" s="5">
        <f t="shared" si="8"/>
        <v>402683</v>
      </c>
      <c r="J93" s="11">
        <v>6159637</v>
      </c>
      <c r="K93" s="308">
        <v>1.5409999999999999</v>
      </c>
      <c r="L93" s="11">
        <v>1146269</v>
      </c>
      <c r="M93" s="309">
        <v>0.1094</v>
      </c>
      <c r="N93" s="310">
        <v>1.3899999999999999E-2</v>
      </c>
      <c r="O93" s="11">
        <v>299375</v>
      </c>
      <c r="P93" s="309">
        <v>3.8630400000000002E-2</v>
      </c>
    </row>
    <row r="94" spans="1:25">
      <c r="B94" s="82" t="s">
        <v>364</v>
      </c>
      <c r="C94" s="10" t="s">
        <v>320</v>
      </c>
      <c r="D94" s="10"/>
      <c r="E94" s="10" t="s">
        <v>601</v>
      </c>
      <c r="F94" s="31" t="s">
        <v>9</v>
      </c>
      <c r="G94" s="5">
        <v>403938</v>
      </c>
      <c r="H94" s="5">
        <v>666978</v>
      </c>
      <c r="I94" s="5">
        <f t="shared" si="8"/>
        <v>1070916</v>
      </c>
      <c r="J94" s="11">
        <v>6160353</v>
      </c>
      <c r="K94" s="308">
        <v>1.7030000000000001</v>
      </c>
      <c r="L94" s="11">
        <v>1149682</v>
      </c>
      <c r="M94" s="309">
        <v>4.2999999999999997E-2</v>
      </c>
      <c r="N94" s="310">
        <v>1.9E-3</v>
      </c>
      <c r="O94" s="11">
        <v>900182</v>
      </c>
      <c r="P94" s="309">
        <v>1.68623E-2</v>
      </c>
    </row>
    <row r="95" spans="1:25">
      <c r="B95" s="82" t="s">
        <v>372</v>
      </c>
      <c r="C95" s="10" t="s">
        <v>320</v>
      </c>
      <c r="D95" s="10"/>
      <c r="E95" s="10" t="s">
        <v>601</v>
      </c>
      <c r="F95" s="11" t="s">
        <v>9</v>
      </c>
      <c r="G95" s="11">
        <v>623146</v>
      </c>
      <c r="H95" s="5">
        <v>805431</v>
      </c>
      <c r="I95" s="5">
        <f t="shared" si="8"/>
        <v>1428577</v>
      </c>
      <c r="J95" s="11">
        <v>6156002</v>
      </c>
      <c r="K95" s="308">
        <v>2.7029999999999998</v>
      </c>
      <c r="L95" s="11">
        <v>1157018</v>
      </c>
      <c r="M95" s="309">
        <v>8.48E-2</v>
      </c>
      <c r="N95" s="310">
        <v>2.8E-3</v>
      </c>
      <c r="O95" s="11">
        <v>1150055</v>
      </c>
      <c r="P95" s="309">
        <v>5.25003E-2</v>
      </c>
    </row>
    <row r="96" spans="1:25">
      <c r="B96" s="82" t="s">
        <v>431</v>
      </c>
      <c r="C96" s="10" t="s">
        <v>320</v>
      </c>
      <c r="D96" s="10" t="s">
        <v>601</v>
      </c>
      <c r="E96" s="10"/>
      <c r="F96" s="11" t="s">
        <v>9</v>
      </c>
      <c r="G96" s="5">
        <v>244329</v>
      </c>
      <c r="H96" s="5">
        <v>388313</v>
      </c>
      <c r="I96" s="5">
        <f t="shared" si="8"/>
        <v>632642</v>
      </c>
      <c r="J96" s="11">
        <v>6161609</v>
      </c>
      <c r="K96" s="308">
        <v>1.5089999999999999</v>
      </c>
      <c r="L96" s="11">
        <v>1109315</v>
      </c>
      <c r="M96" s="309">
        <v>5.9700000000000003E-2</v>
      </c>
      <c r="N96" s="310">
        <v>2.5999999999999999E-3</v>
      </c>
      <c r="O96" s="11">
        <v>524041</v>
      </c>
      <c r="P96" s="309">
        <v>2.04604E-2</v>
      </c>
    </row>
    <row r="97" spans="1:16" ht="56.2" customHeight="1">
      <c r="A97" s="565" t="s">
        <v>1593</v>
      </c>
      <c r="B97" s="565"/>
      <c r="C97" s="565"/>
      <c r="D97" s="565"/>
      <c r="E97" s="565"/>
      <c r="F97" s="565"/>
      <c r="G97" s="565"/>
      <c r="H97" s="565"/>
      <c r="I97" s="565"/>
      <c r="J97" s="565"/>
      <c r="K97" s="565"/>
      <c r="L97" s="565"/>
      <c r="M97" s="565"/>
      <c r="N97" s="565"/>
      <c r="O97" s="565"/>
      <c r="P97" s="565"/>
    </row>
  </sheetData>
  <mergeCells count="2">
    <mergeCell ref="A2:B2"/>
    <mergeCell ref="A97:P97"/>
  </mergeCells>
  <pageMargins left="0.7" right="0.7" top="0.75" bottom="0.75" header="0.3" footer="0.3"/>
  <pageSetup paperSize="9" orientation="portrait"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26A1E-F8AA-4EE0-863E-845B7BC63501}">
  <dimension ref="A1:M800"/>
  <sheetViews>
    <sheetView topLeftCell="A772" zoomScaleNormal="100" workbookViewId="0">
      <selection activeCell="C801" sqref="C801"/>
    </sheetView>
  </sheetViews>
  <sheetFormatPr defaultColWidth="8.7890625" defaultRowHeight="14.4"/>
  <cols>
    <col min="1" max="1" width="21.47265625" style="8" customWidth="1"/>
    <col min="2" max="2" width="29.47265625" style="82" customWidth="1"/>
    <col min="3" max="3" width="29.15625" style="82" customWidth="1"/>
    <col min="4" max="5" width="8.7890625" style="107"/>
    <col min="6" max="6" width="14.15625" style="107" customWidth="1"/>
    <col min="7" max="7" width="15" style="107" customWidth="1"/>
    <col min="11" max="11" width="29.47265625" customWidth="1"/>
    <col min="12" max="12" width="30.47265625" customWidth="1"/>
  </cols>
  <sheetData>
    <row r="1" spans="1:13">
      <c r="A1" s="650" t="s">
        <v>1547</v>
      </c>
      <c r="B1" s="650"/>
      <c r="C1" s="650"/>
      <c r="D1" s="650"/>
      <c r="E1" s="650"/>
      <c r="F1" s="650"/>
      <c r="G1" s="650"/>
      <c r="H1" s="318"/>
      <c r="I1" s="318"/>
      <c r="J1" s="318"/>
      <c r="K1" s="318"/>
      <c r="L1" s="318"/>
      <c r="M1" s="318"/>
    </row>
    <row r="2" spans="1:13">
      <c r="B2" s="196" t="s">
        <v>773</v>
      </c>
      <c r="C2" s="196" t="s">
        <v>774</v>
      </c>
      <c r="D2" s="381" t="s">
        <v>1470</v>
      </c>
      <c r="E2" s="202" t="s">
        <v>1471</v>
      </c>
      <c r="F2" s="202" t="s">
        <v>698</v>
      </c>
      <c r="G2" s="202" t="s">
        <v>1472</v>
      </c>
    </row>
    <row r="3" spans="1:13">
      <c r="A3" s="56" t="s">
        <v>6</v>
      </c>
      <c r="B3" s="52"/>
      <c r="C3" s="52"/>
      <c r="D3" s="101"/>
      <c r="E3" s="101"/>
      <c r="F3" s="198"/>
      <c r="G3" s="198"/>
      <c r="H3" s="193"/>
      <c r="I3" s="194"/>
      <c r="J3" s="195"/>
    </row>
    <row r="4" spans="1:13">
      <c r="A4" s="612" t="s">
        <v>7</v>
      </c>
      <c r="B4" s="204" t="s">
        <v>715</v>
      </c>
      <c r="C4" s="204" t="s">
        <v>14</v>
      </c>
      <c r="D4" s="207">
        <v>0.94069999999999998</v>
      </c>
      <c r="E4" s="207">
        <v>1.5100000000000001E-2</v>
      </c>
      <c r="F4" s="207">
        <v>5.0000000000000001E-4</v>
      </c>
      <c r="G4" s="207">
        <v>9.4000000000000004E-3</v>
      </c>
      <c r="H4" s="193"/>
    </row>
    <row r="5" spans="1:13">
      <c r="A5" s="616"/>
      <c r="B5" s="82" t="s">
        <v>715</v>
      </c>
      <c r="C5" s="82" t="s">
        <v>16</v>
      </c>
      <c r="D5" s="107">
        <v>0.94820000000000004</v>
      </c>
      <c r="E5" s="107">
        <v>1.4E-2</v>
      </c>
      <c r="F5" s="107">
        <v>5.3E-3</v>
      </c>
      <c r="G5" s="107">
        <v>8.8000000000000005E-3</v>
      </c>
    </row>
    <row r="6" spans="1:13">
      <c r="A6" s="616"/>
      <c r="B6" s="82" t="s">
        <v>715</v>
      </c>
      <c r="C6" s="82" t="s">
        <v>18</v>
      </c>
      <c r="D6" s="107">
        <v>0.93659999999999999</v>
      </c>
      <c r="E6" s="107">
        <v>1.3100000000000001E-2</v>
      </c>
      <c r="F6" s="107">
        <v>5.4999999999999997E-3</v>
      </c>
      <c r="G6" s="107">
        <v>8.8999999999999999E-3</v>
      </c>
    </row>
    <row r="7" spans="1:13">
      <c r="A7" s="616"/>
      <c r="B7" s="82" t="s">
        <v>14</v>
      </c>
      <c r="C7" s="82" t="s">
        <v>16</v>
      </c>
      <c r="D7" s="107">
        <v>1.0071000000000001</v>
      </c>
      <c r="E7" s="107">
        <v>1.4500000000000001E-2</v>
      </c>
      <c r="F7" s="107">
        <v>2.35E-2</v>
      </c>
      <c r="G7" s="107">
        <v>9.5999999999999992E-3</v>
      </c>
    </row>
    <row r="8" spans="1:13">
      <c r="A8" s="616"/>
      <c r="B8" s="82" t="s">
        <v>14</v>
      </c>
      <c r="C8" s="82" t="s">
        <v>18</v>
      </c>
      <c r="D8" s="107">
        <v>1.0076000000000001</v>
      </c>
      <c r="E8" s="107">
        <v>1.4500000000000001E-2</v>
      </c>
      <c r="F8" s="107">
        <v>1.67E-2</v>
      </c>
      <c r="G8" s="107">
        <v>9.5999999999999992E-3</v>
      </c>
    </row>
    <row r="9" spans="1:13">
      <c r="A9" s="613"/>
      <c r="B9" s="209" t="s">
        <v>16</v>
      </c>
      <c r="C9" s="209" t="s">
        <v>18</v>
      </c>
      <c r="D9" s="212">
        <v>1.0039</v>
      </c>
      <c r="E9" s="212">
        <v>1.43E-2</v>
      </c>
      <c r="F9" s="212">
        <v>1.9099999999999999E-2</v>
      </c>
      <c r="G9" s="212">
        <v>8.8999999999999999E-3</v>
      </c>
    </row>
    <row r="10" spans="1:13">
      <c r="A10" s="616" t="s">
        <v>19</v>
      </c>
      <c r="B10" s="82" t="s">
        <v>779</v>
      </c>
      <c r="C10" s="82" t="s">
        <v>778</v>
      </c>
      <c r="D10" s="107">
        <v>0.97389999999999999</v>
      </c>
      <c r="E10" s="107">
        <v>4.4000000000000003E-3</v>
      </c>
      <c r="F10" s="107">
        <v>0.81640000000000001</v>
      </c>
      <c r="G10" s="107">
        <v>0.18149999999999999</v>
      </c>
    </row>
    <row r="11" spans="1:13">
      <c r="A11" s="616"/>
      <c r="B11" s="82" t="s">
        <v>779</v>
      </c>
      <c r="C11" s="82" t="s">
        <v>14</v>
      </c>
      <c r="D11" s="107">
        <v>0.96309999999999996</v>
      </c>
      <c r="E11" s="107">
        <v>7.1000000000000004E-3</v>
      </c>
      <c r="F11" s="107">
        <v>0.27950000000000003</v>
      </c>
      <c r="G11" s="107">
        <v>8.2299999999999998E-2</v>
      </c>
    </row>
    <row r="12" spans="1:13">
      <c r="A12" s="616"/>
      <c r="B12" s="82" t="s">
        <v>779</v>
      </c>
      <c r="C12" s="82" t="s">
        <v>16</v>
      </c>
      <c r="D12" s="107">
        <v>0.96050000000000002</v>
      </c>
      <c r="E12" s="107">
        <v>7.6E-3</v>
      </c>
      <c r="F12" s="107">
        <v>0.29820000000000002</v>
      </c>
      <c r="G12" s="107">
        <v>8.4000000000000005E-2</v>
      </c>
    </row>
    <row r="13" spans="1:13">
      <c r="A13" s="616"/>
      <c r="B13" s="82" t="s">
        <v>779</v>
      </c>
      <c r="C13" s="82" t="s">
        <v>18</v>
      </c>
      <c r="D13" s="107">
        <v>0.96499999999999997</v>
      </c>
      <c r="E13" s="107">
        <v>6.4000000000000003E-3</v>
      </c>
      <c r="F13" s="107">
        <v>0.27550000000000002</v>
      </c>
      <c r="G13" s="107">
        <v>8.4199999999999997E-2</v>
      </c>
    </row>
    <row r="14" spans="1:13">
      <c r="A14" s="616"/>
      <c r="B14" s="82" t="s">
        <v>779</v>
      </c>
      <c r="C14" s="82" t="s">
        <v>726</v>
      </c>
      <c r="D14" s="107">
        <v>0.95189999999999997</v>
      </c>
      <c r="E14" s="107">
        <v>8.0999999999999996E-3</v>
      </c>
      <c r="F14" s="107">
        <v>0.29830000000000001</v>
      </c>
      <c r="G14" s="107">
        <v>8.48E-2</v>
      </c>
    </row>
    <row r="15" spans="1:13">
      <c r="A15" s="616"/>
      <c r="B15" s="82" t="s">
        <v>779</v>
      </c>
      <c r="C15" s="82" t="s">
        <v>762</v>
      </c>
      <c r="D15" s="107">
        <v>0.98029999999999995</v>
      </c>
      <c r="E15" s="107">
        <v>4.3E-3</v>
      </c>
      <c r="F15" s="107">
        <v>0.82879999999999998</v>
      </c>
      <c r="G15" s="107">
        <v>0.1918</v>
      </c>
    </row>
    <row r="16" spans="1:13">
      <c r="A16" s="616"/>
      <c r="B16" s="82" t="s">
        <v>779</v>
      </c>
      <c r="C16" s="82" t="s">
        <v>763</v>
      </c>
      <c r="D16" s="107">
        <v>0.98519999999999996</v>
      </c>
      <c r="E16" s="107">
        <v>5.1000000000000004E-3</v>
      </c>
      <c r="F16" s="107">
        <v>0.70089999999999997</v>
      </c>
      <c r="G16" s="107">
        <v>0.14829999999999999</v>
      </c>
    </row>
    <row r="17" spans="1:7">
      <c r="A17" s="616"/>
      <c r="B17" s="82" t="s">
        <v>778</v>
      </c>
      <c r="C17" s="82" t="s">
        <v>14</v>
      </c>
      <c r="D17" s="107">
        <v>0.95409999999999995</v>
      </c>
      <c r="E17" s="107">
        <v>7.6E-3</v>
      </c>
      <c r="F17" s="107">
        <v>0.2492</v>
      </c>
      <c r="G17" s="107">
        <v>7.6499999999999999E-2</v>
      </c>
    </row>
    <row r="18" spans="1:7">
      <c r="A18" s="616"/>
      <c r="B18" s="82" t="s">
        <v>778</v>
      </c>
      <c r="C18" s="82" t="s">
        <v>16</v>
      </c>
      <c r="D18" s="107">
        <v>0.95469999999999999</v>
      </c>
      <c r="E18" s="107">
        <v>7.4000000000000003E-3</v>
      </c>
      <c r="F18" s="107">
        <v>0.2626</v>
      </c>
      <c r="G18" s="107">
        <v>7.7899999999999997E-2</v>
      </c>
    </row>
    <row r="19" spans="1:7">
      <c r="A19" s="616"/>
      <c r="B19" s="82" t="s">
        <v>778</v>
      </c>
      <c r="C19" s="82" t="s">
        <v>18</v>
      </c>
      <c r="D19" s="107">
        <v>0.95279999999999998</v>
      </c>
      <c r="E19" s="107">
        <v>7.3000000000000001E-3</v>
      </c>
      <c r="F19" s="107">
        <v>0.25159999999999999</v>
      </c>
      <c r="G19" s="107">
        <v>7.5800000000000006E-2</v>
      </c>
    </row>
    <row r="20" spans="1:7">
      <c r="A20" s="616"/>
      <c r="B20" s="82" t="s">
        <v>778</v>
      </c>
      <c r="C20" s="82" t="s">
        <v>726</v>
      </c>
      <c r="D20" s="107">
        <v>0.94979999999999998</v>
      </c>
      <c r="E20" s="107">
        <v>7.1000000000000004E-3</v>
      </c>
      <c r="F20" s="107">
        <v>0.26950000000000002</v>
      </c>
      <c r="G20" s="107">
        <v>7.9399999999999998E-2</v>
      </c>
    </row>
    <row r="21" spans="1:7">
      <c r="A21" s="616"/>
      <c r="B21" s="82" t="s">
        <v>778</v>
      </c>
      <c r="C21" s="82" t="s">
        <v>762</v>
      </c>
      <c r="D21" s="107">
        <v>0.97570000000000001</v>
      </c>
      <c r="E21" s="107">
        <v>4.4999999999999997E-3</v>
      </c>
      <c r="F21" s="107">
        <v>0.76910000000000001</v>
      </c>
      <c r="G21" s="107">
        <v>0.1779</v>
      </c>
    </row>
    <row r="22" spans="1:7">
      <c r="A22" s="616"/>
      <c r="B22" s="82" t="s">
        <v>778</v>
      </c>
      <c r="C22" s="82" t="s">
        <v>763</v>
      </c>
      <c r="D22" s="107">
        <v>0.98560000000000003</v>
      </c>
      <c r="E22" s="107">
        <v>5.1999999999999998E-3</v>
      </c>
      <c r="F22" s="107">
        <v>0.65249999999999997</v>
      </c>
      <c r="G22" s="107">
        <v>0.1396</v>
      </c>
    </row>
    <row r="23" spans="1:7">
      <c r="A23" s="616"/>
      <c r="B23" s="82" t="s">
        <v>14</v>
      </c>
      <c r="C23" s="82" t="s">
        <v>16</v>
      </c>
      <c r="D23" s="107">
        <v>0.98540000000000005</v>
      </c>
      <c r="E23" s="107">
        <v>8.3999999999999995E-3</v>
      </c>
      <c r="F23" s="107">
        <v>0.1202</v>
      </c>
      <c r="G23" s="107">
        <v>2.8899999999999999E-2</v>
      </c>
    </row>
    <row r="24" spans="1:7">
      <c r="A24" s="616"/>
      <c r="B24" s="82" t="s">
        <v>14</v>
      </c>
      <c r="C24" s="82" t="s">
        <v>18</v>
      </c>
      <c r="D24" s="107">
        <v>0.98360000000000003</v>
      </c>
      <c r="E24" s="107">
        <v>7.7999999999999996E-3</v>
      </c>
      <c r="F24" s="107">
        <v>0.1099</v>
      </c>
      <c r="G24" s="107">
        <v>3.0099999999999998E-2</v>
      </c>
    </row>
    <row r="25" spans="1:7">
      <c r="A25" s="616"/>
      <c r="B25" s="82" t="s">
        <v>16</v>
      </c>
      <c r="C25" s="82" t="s">
        <v>18</v>
      </c>
      <c r="D25" s="107">
        <v>0.99619999999999997</v>
      </c>
      <c r="E25" s="107">
        <v>9.4000000000000004E-3</v>
      </c>
      <c r="F25" s="107">
        <v>0.113</v>
      </c>
      <c r="G25" s="107">
        <v>2.9899999999999999E-2</v>
      </c>
    </row>
    <row r="26" spans="1:7">
      <c r="A26" s="616"/>
      <c r="B26" s="82" t="s">
        <v>726</v>
      </c>
      <c r="C26" s="82" t="s">
        <v>14</v>
      </c>
      <c r="D26" s="107">
        <v>0.95389999999999997</v>
      </c>
      <c r="E26" s="107">
        <v>9.4000000000000004E-3</v>
      </c>
      <c r="F26" s="107">
        <v>9.4E-2</v>
      </c>
      <c r="G26" s="107">
        <v>3.1E-2</v>
      </c>
    </row>
    <row r="27" spans="1:7">
      <c r="A27" s="616"/>
      <c r="B27" s="82" t="s">
        <v>726</v>
      </c>
      <c r="C27" s="82" t="s">
        <v>16</v>
      </c>
      <c r="D27" s="107">
        <v>0.95469999999999999</v>
      </c>
      <c r="E27" s="107">
        <v>8.3999999999999995E-3</v>
      </c>
      <c r="F27" s="107">
        <v>9.8100000000000007E-2</v>
      </c>
      <c r="G27" s="107">
        <v>3.1800000000000002E-2</v>
      </c>
    </row>
    <row r="28" spans="1:7">
      <c r="A28" s="616"/>
      <c r="B28" s="82" t="s">
        <v>726</v>
      </c>
      <c r="C28" s="82" t="s">
        <v>18</v>
      </c>
      <c r="D28" s="107">
        <v>0.9425</v>
      </c>
      <c r="E28" s="107">
        <v>9.5999999999999992E-3</v>
      </c>
      <c r="F28" s="107">
        <v>0.1071</v>
      </c>
      <c r="G28" s="107">
        <v>3.2000000000000001E-2</v>
      </c>
    </row>
    <row r="29" spans="1:7">
      <c r="A29" s="616"/>
      <c r="B29" s="82" t="s">
        <v>726</v>
      </c>
      <c r="C29" s="82" t="s">
        <v>762</v>
      </c>
      <c r="D29" s="107">
        <v>0.97670000000000001</v>
      </c>
      <c r="E29" s="107">
        <v>6.3E-3</v>
      </c>
      <c r="F29" s="107">
        <v>0.5877</v>
      </c>
      <c r="G29" s="107">
        <v>7.85E-2</v>
      </c>
    </row>
    <row r="30" spans="1:7">
      <c r="A30" s="616"/>
      <c r="B30" s="82" t="s">
        <v>726</v>
      </c>
      <c r="C30" s="82" t="s">
        <v>763</v>
      </c>
      <c r="D30" s="107">
        <v>0.99070000000000003</v>
      </c>
      <c r="E30" s="107">
        <v>6.1000000000000004E-3</v>
      </c>
      <c r="F30" s="107">
        <v>0.62619999999999998</v>
      </c>
      <c r="G30" s="107">
        <v>6.1699999999999998E-2</v>
      </c>
    </row>
    <row r="31" spans="1:7">
      <c r="A31" s="616"/>
      <c r="B31" s="82" t="s">
        <v>762</v>
      </c>
      <c r="C31" s="82" t="s">
        <v>14</v>
      </c>
      <c r="D31" s="107">
        <v>0.98440000000000005</v>
      </c>
      <c r="E31" s="107">
        <v>5.7999999999999996E-3</v>
      </c>
      <c r="F31" s="107">
        <v>0.65400000000000003</v>
      </c>
      <c r="G31" s="107">
        <v>7.5899999999999995E-2</v>
      </c>
    </row>
    <row r="32" spans="1:7">
      <c r="A32" s="616"/>
      <c r="B32" s="82" t="s">
        <v>762</v>
      </c>
      <c r="C32" s="82" t="s">
        <v>16</v>
      </c>
      <c r="D32" s="107">
        <v>0.98409999999999997</v>
      </c>
      <c r="E32" s="107">
        <v>6.0000000000000001E-3</v>
      </c>
      <c r="F32" s="107">
        <v>0.65329999999999999</v>
      </c>
      <c r="G32" s="107">
        <v>7.8799999999999995E-2</v>
      </c>
    </row>
    <row r="33" spans="1:7">
      <c r="A33" s="616"/>
      <c r="B33" s="82" t="s">
        <v>762</v>
      </c>
      <c r="C33" s="82" t="s">
        <v>18</v>
      </c>
      <c r="D33" s="107">
        <v>0.98280000000000001</v>
      </c>
      <c r="E33" s="107">
        <v>5.5999999999999999E-3</v>
      </c>
      <c r="F33" s="107">
        <v>0.64300000000000002</v>
      </c>
      <c r="G33" s="107">
        <v>7.8899999999999998E-2</v>
      </c>
    </row>
    <row r="34" spans="1:7">
      <c r="A34" s="616"/>
      <c r="B34" s="82" t="s">
        <v>762</v>
      </c>
      <c r="C34" s="82" t="s">
        <v>763</v>
      </c>
      <c r="D34" s="107">
        <v>0.99950000000000006</v>
      </c>
      <c r="E34" s="107">
        <v>2.3E-3</v>
      </c>
      <c r="F34" s="107">
        <v>1.698</v>
      </c>
      <c r="G34" s="107">
        <v>0.15970000000000001</v>
      </c>
    </row>
    <row r="35" spans="1:7">
      <c r="A35" s="616"/>
      <c r="B35" s="82" t="s">
        <v>763</v>
      </c>
      <c r="C35" s="82" t="s">
        <v>14</v>
      </c>
      <c r="D35" s="107">
        <v>0.9859</v>
      </c>
      <c r="E35" s="107">
        <v>8.3999999999999995E-3</v>
      </c>
      <c r="F35" s="107">
        <v>0.26179999999999998</v>
      </c>
      <c r="G35" s="107">
        <v>5.9400000000000001E-2</v>
      </c>
    </row>
    <row r="36" spans="1:7">
      <c r="A36" s="616"/>
      <c r="B36" s="82" t="s">
        <v>763</v>
      </c>
      <c r="C36" s="82" t="s">
        <v>16</v>
      </c>
      <c r="D36" s="107">
        <v>0.98070000000000002</v>
      </c>
      <c r="E36" s="107">
        <v>8.0999999999999996E-3</v>
      </c>
      <c r="F36" s="107">
        <v>0.27839999999999998</v>
      </c>
      <c r="G36" s="107">
        <v>6.25E-2</v>
      </c>
    </row>
    <row r="37" spans="1:7">
      <c r="A37" s="616"/>
      <c r="B37" s="82" t="s">
        <v>763</v>
      </c>
      <c r="C37" s="82" t="s">
        <v>18</v>
      </c>
      <c r="D37" s="107">
        <v>0.97350000000000003</v>
      </c>
      <c r="E37" s="107">
        <v>7.4999999999999997E-3</v>
      </c>
      <c r="F37" s="107">
        <v>0.27710000000000001</v>
      </c>
      <c r="G37" s="107">
        <v>6.2799999999999995E-2</v>
      </c>
    </row>
    <row r="38" spans="1:7">
      <c r="A38" s="51" t="s">
        <v>564</v>
      </c>
      <c r="B38" s="52"/>
      <c r="C38" s="83"/>
      <c r="D38" s="101"/>
      <c r="E38" s="203"/>
      <c r="F38" s="200"/>
      <c r="G38" s="198"/>
    </row>
    <row r="39" spans="1:7">
      <c r="A39" s="612" t="s">
        <v>234</v>
      </c>
      <c r="B39" s="204" t="s">
        <v>743</v>
      </c>
      <c r="C39" s="204" t="s">
        <v>744</v>
      </c>
      <c r="D39" s="207">
        <v>1.0218</v>
      </c>
      <c r="E39" s="207">
        <v>4.3E-3</v>
      </c>
      <c r="F39" s="207">
        <v>1.2178</v>
      </c>
      <c r="G39" s="207">
        <v>0.1077</v>
      </c>
    </row>
    <row r="40" spans="1:7">
      <c r="A40" s="616"/>
      <c r="B40" s="82" t="s">
        <v>743</v>
      </c>
      <c r="C40" s="82" t="s">
        <v>714</v>
      </c>
      <c r="D40" s="107">
        <v>1.0279</v>
      </c>
      <c r="E40" s="107">
        <v>4.3499999999999997E-2</v>
      </c>
      <c r="F40" s="107">
        <v>0.64800000000000002</v>
      </c>
      <c r="G40" s="107">
        <v>9.01E-2</v>
      </c>
    </row>
    <row r="41" spans="1:7">
      <c r="A41" s="616"/>
      <c r="B41" s="82" t="s">
        <v>743</v>
      </c>
      <c r="C41" s="82" t="s">
        <v>14</v>
      </c>
      <c r="D41" s="107">
        <v>1.0325</v>
      </c>
      <c r="E41" s="107">
        <v>5.4199999999999998E-2</v>
      </c>
      <c r="F41" s="107">
        <v>0.42149999999999999</v>
      </c>
      <c r="G41" s="107">
        <v>5.57E-2</v>
      </c>
    </row>
    <row r="42" spans="1:7">
      <c r="A42" s="616"/>
      <c r="B42" s="82" t="s">
        <v>743</v>
      </c>
      <c r="C42" s="82" t="s">
        <v>16</v>
      </c>
      <c r="D42" s="107">
        <v>1.0196000000000001</v>
      </c>
      <c r="E42" s="107">
        <v>4.6600000000000003E-2</v>
      </c>
      <c r="F42" s="107">
        <v>0.42230000000000001</v>
      </c>
      <c r="G42" s="107">
        <v>5.5100000000000003E-2</v>
      </c>
    </row>
    <row r="43" spans="1:7">
      <c r="A43" s="616"/>
      <c r="B43" s="82" t="s">
        <v>743</v>
      </c>
      <c r="C43" s="82" t="s">
        <v>18</v>
      </c>
      <c r="D43" s="107">
        <v>1.0269999999999999</v>
      </c>
      <c r="E43" s="107">
        <v>4.87E-2</v>
      </c>
      <c r="F43" s="107">
        <v>0.42770000000000002</v>
      </c>
      <c r="G43" s="107">
        <v>5.7099999999999998E-2</v>
      </c>
    </row>
    <row r="44" spans="1:7">
      <c r="A44" s="616"/>
      <c r="B44" s="82" t="s">
        <v>744</v>
      </c>
      <c r="C44" s="82" t="s">
        <v>714</v>
      </c>
      <c r="D44" s="107">
        <v>1.0398000000000001</v>
      </c>
      <c r="E44" s="107">
        <v>4.6399999999999997E-2</v>
      </c>
      <c r="F44" s="107">
        <v>0.2742</v>
      </c>
      <c r="G44" s="107">
        <v>8.8099999999999998E-2</v>
      </c>
    </row>
    <row r="45" spans="1:7">
      <c r="A45" s="616"/>
      <c r="B45" s="82" t="s">
        <v>744</v>
      </c>
      <c r="C45" s="82" t="s">
        <v>14</v>
      </c>
      <c r="D45" s="107">
        <v>1.0412999999999999</v>
      </c>
      <c r="E45" s="107">
        <v>5.5399999999999998E-2</v>
      </c>
      <c r="F45" s="107">
        <v>0.18779999999999999</v>
      </c>
      <c r="G45" s="107">
        <v>5.5599999999999997E-2</v>
      </c>
    </row>
    <row r="46" spans="1:7">
      <c r="A46" s="616"/>
      <c r="B46" s="82" t="s">
        <v>744</v>
      </c>
      <c r="C46" s="82" t="s">
        <v>16</v>
      </c>
      <c r="D46" s="107">
        <v>1.0221</v>
      </c>
      <c r="E46" s="107">
        <v>4.7100000000000003E-2</v>
      </c>
      <c r="F46" s="107">
        <v>0.19500000000000001</v>
      </c>
      <c r="G46" s="107">
        <v>5.5899999999999998E-2</v>
      </c>
    </row>
    <row r="47" spans="1:7">
      <c r="A47" s="616"/>
      <c r="B47" s="82" t="s">
        <v>744</v>
      </c>
      <c r="C47" s="82" t="s">
        <v>18</v>
      </c>
      <c r="D47" s="107">
        <v>1.0306999999999999</v>
      </c>
      <c r="E47" s="107">
        <v>4.9399999999999999E-2</v>
      </c>
      <c r="F47" s="107">
        <v>0.19800000000000001</v>
      </c>
      <c r="G47" s="107">
        <v>5.7500000000000002E-2</v>
      </c>
    </row>
    <row r="48" spans="1:7">
      <c r="A48" s="616"/>
      <c r="B48" s="82" t="s">
        <v>714</v>
      </c>
      <c r="C48" s="82" t="s">
        <v>14</v>
      </c>
      <c r="D48" s="107">
        <v>1.0227999999999999</v>
      </c>
      <c r="E48" s="107">
        <v>3.0800000000000001E-2</v>
      </c>
      <c r="F48" s="107">
        <v>0.49409999999999998</v>
      </c>
      <c r="G48" s="107">
        <v>5.9900000000000002E-2</v>
      </c>
    </row>
    <row r="49" spans="1:7">
      <c r="A49" s="616"/>
      <c r="B49" s="82" t="s">
        <v>714</v>
      </c>
      <c r="C49" s="82" t="s">
        <v>16</v>
      </c>
      <c r="D49" s="107">
        <v>1.0146999999999999</v>
      </c>
      <c r="E49" s="107">
        <v>2.6700000000000002E-2</v>
      </c>
      <c r="F49" s="107">
        <v>0.72230000000000005</v>
      </c>
      <c r="G49" s="107">
        <v>6.0100000000000001E-2</v>
      </c>
    </row>
    <row r="50" spans="1:7">
      <c r="A50" s="616"/>
      <c r="B50" s="82" t="s">
        <v>714</v>
      </c>
      <c r="C50" s="82" t="s">
        <v>18</v>
      </c>
      <c r="D50" s="107">
        <v>1.0185999999999999</v>
      </c>
      <c r="E50" s="107">
        <v>2.8299999999999999E-2</v>
      </c>
      <c r="F50" s="107">
        <v>0.751</v>
      </c>
      <c r="G50" s="107">
        <v>6.2700000000000006E-2</v>
      </c>
    </row>
    <row r="51" spans="1:7">
      <c r="A51" s="616"/>
      <c r="B51" s="82" t="s">
        <v>14</v>
      </c>
      <c r="C51" s="82" t="s">
        <v>16</v>
      </c>
      <c r="D51" s="107">
        <v>1.0241</v>
      </c>
      <c r="E51" s="107">
        <v>2.98E-2</v>
      </c>
      <c r="F51" s="107">
        <v>0.1138</v>
      </c>
      <c r="G51" s="107">
        <v>4.58E-2</v>
      </c>
    </row>
    <row r="52" spans="1:7">
      <c r="A52" s="616"/>
      <c r="B52" s="82" t="s">
        <v>14</v>
      </c>
      <c r="C52" s="82" t="s">
        <v>18</v>
      </c>
      <c r="D52" s="107">
        <v>1.0317000000000001</v>
      </c>
      <c r="E52" s="107">
        <v>3.3099999999999997E-2</v>
      </c>
      <c r="F52" s="107">
        <v>0.12559999999999999</v>
      </c>
      <c r="G52" s="107">
        <v>4.6199999999999998E-2</v>
      </c>
    </row>
    <row r="53" spans="1:7">
      <c r="A53" s="613"/>
      <c r="B53" s="209" t="s">
        <v>16</v>
      </c>
      <c r="C53" s="209" t="s">
        <v>18</v>
      </c>
      <c r="D53" s="212">
        <v>0.9909</v>
      </c>
      <c r="E53" s="212">
        <v>2.5000000000000001E-2</v>
      </c>
      <c r="F53" s="212">
        <v>0.13420000000000001</v>
      </c>
      <c r="G53" s="212">
        <v>4.6399999999999997E-2</v>
      </c>
    </row>
    <row r="54" spans="1:7">
      <c r="A54" s="612" t="s">
        <v>245</v>
      </c>
      <c r="B54" s="204" t="s">
        <v>743</v>
      </c>
      <c r="C54" s="204" t="s">
        <v>744</v>
      </c>
      <c r="D54" s="207">
        <v>1.0313000000000001</v>
      </c>
      <c r="E54" s="207">
        <v>1.12E-2</v>
      </c>
      <c r="F54" s="207">
        <v>1.0406</v>
      </c>
      <c r="G54" s="207">
        <v>9.5100000000000004E-2</v>
      </c>
    </row>
    <row r="55" spans="1:7">
      <c r="A55" s="616"/>
      <c r="B55" s="82" t="s">
        <v>743</v>
      </c>
      <c r="C55" s="82" t="s">
        <v>714</v>
      </c>
      <c r="D55" s="107">
        <v>0.97889999999999999</v>
      </c>
      <c r="E55" s="107">
        <v>2.92E-2</v>
      </c>
      <c r="F55" s="107">
        <v>0.5696</v>
      </c>
      <c r="G55" s="107">
        <v>9.2899999999999996E-2</v>
      </c>
    </row>
    <row r="56" spans="1:7">
      <c r="A56" s="616"/>
      <c r="B56" s="82" t="s">
        <v>743</v>
      </c>
      <c r="C56" s="82" t="s">
        <v>14</v>
      </c>
      <c r="D56" s="107">
        <v>1.0366</v>
      </c>
      <c r="E56" s="107">
        <v>9.3600000000000003E-2</v>
      </c>
      <c r="F56" s="107">
        <v>0.37609999999999999</v>
      </c>
      <c r="G56" s="107">
        <v>5.74E-2</v>
      </c>
    </row>
    <row r="57" spans="1:7">
      <c r="A57" s="616"/>
      <c r="B57" s="82" t="s">
        <v>743</v>
      </c>
      <c r="C57" s="82" t="s">
        <v>16</v>
      </c>
      <c r="D57" s="107">
        <v>1.0459000000000001</v>
      </c>
      <c r="E57" s="107">
        <v>9.8500000000000004E-2</v>
      </c>
      <c r="F57" s="107">
        <v>0.36730000000000002</v>
      </c>
      <c r="G57" s="107">
        <v>5.8299999999999998E-2</v>
      </c>
    </row>
    <row r="58" spans="1:7">
      <c r="A58" s="616"/>
      <c r="B58" s="82" t="s">
        <v>743</v>
      </c>
      <c r="C58" s="82" t="s">
        <v>18</v>
      </c>
      <c r="D58" s="107">
        <v>1.0542</v>
      </c>
      <c r="E58" s="107">
        <v>9.4500000000000001E-2</v>
      </c>
      <c r="F58" s="107">
        <v>0.37540000000000001</v>
      </c>
      <c r="G58" s="107">
        <v>5.8000000000000003E-2</v>
      </c>
    </row>
    <row r="59" spans="1:7">
      <c r="A59" s="616"/>
      <c r="B59" s="82" t="s">
        <v>744</v>
      </c>
      <c r="C59" s="82" t="s">
        <v>714</v>
      </c>
      <c r="D59" s="107">
        <v>0.96889999999999998</v>
      </c>
      <c r="E59" s="107">
        <v>2.5399999999999999E-2</v>
      </c>
      <c r="F59" s="107">
        <v>0.18029999999999999</v>
      </c>
      <c r="G59" s="107">
        <v>9.6000000000000002E-2</v>
      </c>
    </row>
    <row r="60" spans="1:7">
      <c r="A60" s="616"/>
      <c r="B60" s="82" t="s">
        <v>744</v>
      </c>
      <c r="C60" s="82" t="s">
        <v>14</v>
      </c>
      <c r="D60" s="107">
        <v>1.0319</v>
      </c>
      <c r="E60" s="107">
        <v>9.2399999999999996E-2</v>
      </c>
      <c r="F60" s="107">
        <v>0.12959999999999999</v>
      </c>
      <c r="G60" s="107">
        <v>6.0600000000000001E-2</v>
      </c>
    </row>
    <row r="61" spans="1:7">
      <c r="A61" s="616"/>
      <c r="B61" s="82" t="s">
        <v>744</v>
      </c>
      <c r="C61" s="82" t="s">
        <v>16</v>
      </c>
      <c r="D61" s="107">
        <v>1.0455000000000001</v>
      </c>
      <c r="E61" s="107">
        <v>9.74E-2</v>
      </c>
      <c r="F61" s="107">
        <v>0.1234</v>
      </c>
      <c r="G61" s="107">
        <v>6.13E-2</v>
      </c>
    </row>
    <row r="62" spans="1:7">
      <c r="A62" s="616"/>
      <c r="B62" s="82" t="s">
        <v>744</v>
      </c>
      <c r="C62" s="82" t="s">
        <v>18</v>
      </c>
      <c r="D62" s="107">
        <v>1.0527</v>
      </c>
      <c r="E62" s="107">
        <v>9.4299999999999995E-2</v>
      </c>
      <c r="F62" s="107">
        <v>0.1341</v>
      </c>
      <c r="G62" s="107">
        <v>6.1400000000000003E-2</v>
      </c>
    </row>
    <row r="63" spans="1:7">
      <c r="A63" s="616"/>
      <c r="B63" s="82" t="s">
        <v>714</v>
      </c>
      <c r="C63" s="82" t="s">
        <v>14</v>
      </c>
      <c r="D63" s="107">
        <v>1.0199</v>
      </c>
      <c r="E63" s="107">
        <v>4.2000000000000003E-2</v>
      </c>
      <c r="F63" s="107">
        <v>0.43480000000000002</v>
      </c>
      <c r="G63" s="107">
        <v>6.6900000000000001E-2</v>
      </c>
    </row>
    <row r="64" spans="1:7">
      <c r="A64" s="616"/>
      <c r="B64" s="82" t="s">
        <v>714</v>
      </c>
      <c r="C64" s="82" t="s">
        <v>16</v>
      </c>
      <c r="D64" s="107">
        <v>1.0262</v>
      </c>
      <c r="E64" s="107">
        <v>3.73E-2</v>
      </c>
      <c r="F64" s="107">
        <v>0.65169999999999995</v>
      </c>
      <c r="G64" s="107">
        <v>6.7400000000000002E-2</v>
      </c>
    </row>
    <row r="65" spans="1:7">
      <c r="A65" s="616"/>
      <c r="B65" s="82" t="s">
        <v>714</v>
      </c>
      <c r="C65" s="82" t="s">
        <v>18</v>
      </c>
      <c r="D65" s="107">
        <v>1.0432999999999999</v>
      </c>
      <c r="E65" s="107">
        <v>3.7499999999999999E-2</v>
      </c>
      <c r="F65" s="107">
        <v>0.67810000000000004</v>
      </c>
      <c r="G65" s="107">
        <v>6.8599999999999994E-2</v>
      </c>
    </row>
    <row r="66" spans="1:7">
      <c r="A66" s="616"/>
      <c r="B66" s="82" t="s">
        <v>14</v>
      </c>
      <c r="C66" s="82" t="s">
        <v>16</v>
      </c>
      <c r="D66" s="107">
        <v>0.99029999999999996</v>
      </c>
      <c r="E66" s="107">
        <v>2.76E-2</v>
      </c>
      <c r="F66" s="107">
        <v>0.1207</v>
      </c>
      <c r="G66" s="107">
        <v>8.4099999999999994E-2</v>
      </c>
    </row>
    <row r="67" spans="1:7">
      <c r="A67" s="616"/>
      <c r="B67" s="82" t="s">
        <v>14</v>
      </c>
      <c r="C67" s="82" t="s">
        <v>18</v>
      </c>
      <c r="D67" s="107">
        <v>1.0271999999999999</v>
      </c>
      <c r="E67" s="107">
        <v>2.86E-2</v>
      </c>
      <c r="F67" s="107">
        <v>0.11559999999999999</v>
      </c>
      <c r="G67" s="107">
        <v>8.2299999999999998E-2</v>
      </c>
    </row>
    <row r="68" spans="1:7">
      <c r="A68" s="613"/>
      <c r="B68" s="209" t="s">
        <v>16</v>
      </c>
      <c r="C68" s="209" t="s">
        <v>18</v>
      </c>
      <c r="D68" s="212">
        <v>1.0112000000000001</v>
      </c>
      <c r="E68" s="212">
        <v>2.81E-2</v>
      </c>
      <c r="F68" s="212">
        <v>0.1206</v>
      </c>
      <c r="G68" s="212">
        <v>8.3299999999999999E-2</v>
      </c>
    </row>
    <row r="69" spans="1:7">
      <c r="A69" s="612" t="s">
        <v>251</v>
      </c>
      <c r="B69" s="204" t="s">
        <v>743</v>
      </c>
      <c r="C69" s="204" t="s">
        <v>744</v>
      </c>
      <c r="D69" s="207">
        <v>1.0235000000000001</v>
      </c>
      <c r="E69" s="207">
        <v>1.4500000000000001E-2</v>
      </c>
      <c r="F69" s="207">
        <v>1.0246</v>
      </c>
      <c r="G69" s="207">
        <v>7.6300000000000007E-2</v>
      </c>
    </row>
    <row r="70" spans="1:7">
      <c r="A70" s="616"/>
      <c r="B70" s="82" t="s">
        <v>743</v>
      </c>
      <c r="C70" s="82" t="s">
        <v>14</v>
      </c>
      <c r="D70" s="107">
        <v>1.0582</v>
      </c>
      <c r="E70" s="107">
        <v>9.3399999999999997E-2</v>
      </c>
      <c r="F70" s="107">
        <v>0.40770000000000001</v>
      </c>
      <c r="G70" s="107">
        <v>5.21E-2</v>
      </c>
    </row>
    <row r="71" spans="1:7">
      <c r="A71" s="616"/>
      <c r="B71" s="82" t="s">
        <v>743</v>
      </c>
      <c r="C71" s="82" t="s">
        <v>16</v>
      </c>
      <c r="D71" s="107">
        <v>1.0698000000000001</v>
      </c>
      <c r="E71" s="107">
        <v>0.10639999999999999</v>
      </c>
      <c r="F71" s="107">
        <v>0.40699999999999997</v>
      </c>
      <c r="G71" s="107">
        <v>5.2600000000000001E-2</v>
      </c>
    </row>
    <row r="72" spans="1:7">
      <c r="A72" s="616"/>
      <c r="B72" s="82" t="s">
        <v>743</v>
      </c>
      <c r="C72" s="82" t="s">
        <v>18</v>
      </c>
      <c r="D72" s="107">
        <v>1.0844</v>
      </c>
      <c r="E72" s="107">
        <v>0.10970000000000001</v>
      </c>
      <c r="F72" s="107">
        <v>0.41139999999999999</v>
      </c>
      <c r="G72" s="107">
        <v>5.28E-2</v>
      </c>
    </row>
    <row r="73" spans="1:7">
      <c r="A73" s="616"/>
      <c r="B73" s="82" t="s">
        <v>744</v>
      </c>
      <c r="C73" s="82" t="s">
        <v>14</v>
      </c>
      <c r="D73" s="107">
        <v>1.0699000000000001</v>
      </c>
      <c r="E73" s="107">
        <v>8.6099999999999996E-2</v>
      </c>
      <c r="F73" s="107">
        <v>0.1167</v>
      </c>
      <c r="G73" s="107">
        <v>5.45E-2</v>
      </c>
    </row>
    <row r="74" spans="1:7">
      <c r="A74" s="616"/>
      <c r="B74" s="82" t="s">
        <v>744</v>
      </c>
      <c r="C74" s="82" t="s">
        <v>16</v>
      </c>
      <c r="D74" s="107">
        <v>1.0914999999999999</v>
      </c>
      <c r="E74" s="107">
        <v>0.10059999999999999</v>
      </c>
      <c r="F74" s="107">
        <v>0.1166</v>
      </c>
      <c r="G74" s="107">
        <v>5.45E-2</v>
      </c>
    </row>
    <row r="75" spans="1:7">
      <c r="A75" s="616"/>
      <c r="B75" s="82" t="s">
        <v>744</v>
      </c>
      <c r="C75" s="82" t="s">
        <v>18</v>
      </c>
      <c r="D75" s="107">
        <v>1.1029</v>
      </c>
      <c r="E75" s="107">
        <v>0.10390000000000001</v>
      </c>
      <c r="F75" s="107">
        <v>0.12479999999999999</v>
      </c>
      <c r="G75" s="107">
        <v>5.4699999999999999E-2</v>
      </c>
    </row>
    <row r="76" spans="1:7">
      <c r="A76" s="616"/>
      <c r="B76" s="82" t="s">
        <v>14</v>
      </c>
      <c r="C76" s="82" t="s">
        <v>16</v>
      </c>
      <c r="D76" s="107">
        <v>0.98809999999999998</v>
      </c>
      <c r="E76" s="107">
        <v>3.1300000000000001E-2</v>
      </c>
      <c r="F76" s="107">
        <v>0.13020000000000001</v>
      </c>
      <c r="G76" s="107">
        <v>8.2000000000000003E-2</v>
      </c>
    </row>
    <row r="77" spans="1:7">
      <c r="A77" s="616"/>
      <c r="B77" s="82" t="s">
        <v>14</v>
      </c>
      <c r="C77" s="82" t="s">
        <v>18</v>
      </c>
      <c r="D77" s="107">
        <v>1.0248999999999999</v>
      </c>
      <c r="E77" s="107">
        <v>3.5299999999999998E-2</v>
      </c>
      <c r="F77" s="107">
        <v>0.128</v>
      </c>
      <c r="G77" s="107">
        <v>8.14E-2</v>
      </c>
    </row>
    <row r="78" spans="1:7">
      <c r="A78" s="613"/>
      <c r="B78" s="209" t="s">
        <v>16</v>
      </c>
      <c r="C78" s="209" t="s">
        <v>18</v>
      </c>
      <c r="D78" s="212">
        <v>0.97660000000000002</v>
      </c>
      <c r="E78" s="212">
        <v>2.7199999999999998E-2</v>
      </c>
      <c r="F78" s="212">
        <v>0.1434</v>
      </c>
      <c r="G78" s="212">
        <v>8.6999999999999994E-2</v>
      </c>
    </row>
    <row r="79" spans="1:7">
      <c r="A79" s="612" t="s">
        <v>258</v>
      </c>
      <c r="B79" s="204" t="s">
        <v>743</v>
      </c>
      <c r="C79" s="204" t="s">
        <v>744</v>
      </c>
      <c r="D79" s="207">
        <v>1.0174000000000001</v>
      </c>
      <c r="E79" s="207">
        <v>6.7999999999999996E-3</v>
      </c>
      <c r="F79" s="207">
        <v>1.0820000000000001</v>
      </c>
      <c r="G79" s="207">
        <v>8.2199999999999995E-2</v>
      </c>
    </row>
    <row r="80" spans="1:7">
      <c r="A80" s="616"/>
      <c r="B80" s="82" t="s">
        <v>743</v>
      </c>
      <c r="C80" s="82" t="s">
        <v>714</v>
      </c>
      <c r="D80" s="107">
        <v>0.98170000000000002</v>
      </c>
      <c r="E80" s="107">
        <v>3.0300000000000001E-2</v>
      </c>
      <c r="F80" s="107">
        <v>0.57720000000000005</v>
      </c>
      <c r="G80" s="107">
        <v>8.2600000000000007E-2</v>
      </c>
    </row>
    <row r="81" spans="1:7">
      <c r="A81" s="616"/>
      <c r="B81" s="82" t="s">
        <v>743</v>
      </c>
      <c r="C81" s="82" t="s">
        <v>14</v>
      </c>
      <c r="D81" s="107">
        <v>1.0302</v>
      </c>
      <c r="E81" s="107">
        <v>8.8400000000000006E-2</v>
      </c>
      <c r="F81" s="107">
        <v>0.38040000000000002</v>
      </c>
      <c r="G81" s="107">
        <v>5.1400000000000001E-2</v>
      </c>
    </row>
    <row r="82" spans="1:7">
      <c r="A82" s="616"/>
      <c r="B82" s="82" t="s">
        <v>743</v>
      </c>
      <c r="C82" s="82" t="s">
        <v>16</v>
      </c>
      <c r="D82" s="107">
        <v>1.0397000000000001</v>
      </c>
      <c r="E82" s="107">
        <v>8.7499999999999994E-2</v>
      </c>
      <c r="F82" s="107">
        <v>0.37430000000000002</v>
      </c>
      <c r="G82" s="107">
        <v>5.21E-2</v>
      </c>
    </row>
    <row r="83" spans="1:7">
      <c r="A83" s="616"/>
      <c r="B83" s="82" t="s">
        <v>743</v>
      </c>
      <c r="C83" s="82" t="s">
        <v>18</v>
      </c>
      <c r="D83" s="107">
        <v>1.0644</v>
      </c>
      <c r="E83" s="107">
        <v>9.5399999999999999E-2</v>
      </c>
      <c r="F83" s="107">
        <v>0.39250000000000002</v>
      </c>
      <c r="G83" s="107">
        <v>5.1700000000000003E-2</v>
      </c>
    </row>
    <row r="84" spans="1:7">
      <c r="A84" s="616"/>
      <c r="B84" s="82" t="s">
        <v>744</v>
      </c>
      <c r="C84" s="82" t="s">
        <v>714</v>
      </c>
      <c r="D84" s="107">
        <v>0.9869</v>
      </c>
      <c r="E84" s="107">
        <v>2.8899999999999999E-2</v>
      </c>
      <c r="F84" s="107">
        <v>0.18970000000000001</v>
      </c>
      <c r="G84" s="107">
        <v>8.0799999999999997E-2</v>
      </c>
    </row>
    <row r="85" spans="1:7">
      <c r="A85" s="616"/>
      <c r="B85" s="82" t="s">
        <v>744</v>
      </c>
      <c r="C85" s="82" t="s">
        <v>14</v>
      </c>
      <c r="D85" s="107">
        <v>1.0347</v>
      </c>
      <c r="E85" s="107">
        <v>8.3500000000000005E-2</v>
      </c>
      <c r="F85" s="107">
        <v>0.13339999999999999</v>
      </c>
      <c r="G85" s="107">
        <v>5.1799999999999999E-2</v>
      </c>
    </row>
    <row r="86" spans="1:7">
      <c r="A86" s="616"/>
      <c r="B86" s="82" t="s">
        <v>744</v>
      </c>
      <c r="C86" s="82" t="s">
        <v>16</v>
      </c>
      <c r="D86" s="107">
        <v>1.0497000000000001</v>
      </c>
      <c r="E86" s="107">
        <v>8.3400000000000002E-2</v>
      </c>
      <c r="F86" s="107">
        <v>0.1293</v>
      </c>
      <c r="G86" s="107">
        <v>5.2499999999999998E-2</v>
      </c>
    </row>
    <row r="87" spans="1:7">
      <c r="A87" s="616"/>
      <c r="B87" s="82" t="s">
        <v>744</v>
      </c>
      <c r="C87" s="82" t="s">
        <v>18</v>
      </c>
      <c r="D87" s="107">
        <v>1.0710999999999999</v>
      </c>
      <c r="E87" s="107">
        <v>9.2899999999999996E-2</v>
      </c>
      <c r="F87" s="107">
        <v>0.15</v>
      </c>
      <c r="G87" s="107">
        <v>5.2200000000000003E-2</v>
      </c>
    </row>
    <row r="88" spans="1:7">
      <c r="A88" s="616"/>
      <c r="B88" s="82" t="s">
        <v>714</v>
      </c>
      <c r="C88" s="82" t="s">
        <v>14</v>
      </c>
      <c r="D88" s="107">
        <v>1.0243</v>
      </c>
      <c r="E88" s="107">
        <v>4.4200000000000003E-2</v>
      </c>
      <c r="F88" s="107">
        <v>0.42320000000000002</v>
      </c>
      <c r="G88" s="107">
        <v>6.5100000000000005E-2</v>
      </c>
    </row>
    <row r="89" spans="1:7">
      <c r="A89" s="616"/>
      <c r="B89" s="82" t="s">
        <v>714</v>
      </c>
      <c r="C89" s="82" t="s">
        <v>16</v>
      </c>
      <c r="D89" s="107">
        <v>1.0289999999999999</v>
      </c>
      <c r="E89" s="107">
        <v>3.9699999999999999E-2</v>
      </c>
      <c r="F89" s="107">
        <v>0.64490000000000003</v>
      </c>
      <c r="G89" s="107">
        <v>6.5100000000000005E-2</v>
      </c>
    </row>
    <row r="90" spans="1:7">
      <c r="A90" s="616"/>
      <c r="B90" s="82" t="s">
        <v>714</v>
      </c>
      <c r="C90" s="82" t="s">
        <v>18</v>
      </c>
      <c r="D90" s="107">
        <v>1.042</v>
      </c>
      <c r="E90" s="107">
        <v>3.9399999999999998E-2</v>
      </c>
      <c r="F90" s="107">
        <v>0.67290000000000005</v>
      </c>
      <c r="G90" s="107">
        <v>6.5000000000000002E-2</v>
      </c>
    </row>
    <row r="91" spans="1:7">
      <c r="A91" s="616"/>
      <c r="B91" s="82" t="s">
        <v>14</v>
      </c>
      <c r="C91" s="82" t="s">
        <v>16</v>
      </c>
      <c r="D91" s="107">
        <v>0.97389999999999999</v>
      </c>
      <c r="E91" s="107">
        <v>2.2599999999999999E-2</v>
      </c>
      <c r="F91" s="107">
        <v>0.1139</v>
      </c>
      <c r="G91" s="107">
        <v>8.09E-2</v>
      </c>
    </row>
    <row r="92" spans="1:7">
      <c r="A92" s="616"/>
      <c r="B92" s="82" t="s">
        <v>14</v>
      </c>
      <c r="C92" s="82" t="s">
        <v>18</v>
      </c>
      <c r="D92" s="107">
        <v>1.0276000000000001</v>
      </c>
      <c r="E92" s="107">
        <v>4.0300000000000002E-2</v>
      </c>
      <c r="F92" s="107">
        <v>0.1142</v>
      </c>
      <c r="G92" s="107">
        <v>7.8700000000000006E-2</v>
      </c>
    </row>
    <row r="93" spans="1:7">
      <c r="A93" s="613"/>
      <c r="B93" s="209" t="s">
        <v>16</v>
      </c>
      <c r="C93" s="209" t="s">
        <v>18</v>
      </c>
      <c r="D93" s="212">
        <v>1.0206999999999999</v>
      </c>
      <c r="E93" s="212">
        <v>4.0500000000000001E-2</v>
      </c>
      <c r="F93" s="212">
        <v>0.11509999999999999</v>
      </c>
      <c r="G93" s="212">
        <v>7.6999999999999999E-2</v>
      </c>
    </row>
    <row r="94" spans="1:7">
      <c r="A94" s="612" t="s">
        <v>264</v>
      </c>
      <c r="B94" s="204" t="s">
        <v>743</v>
      </c>
      <c r="C94" s="204" t="s">
        <v>744</v>
      </c>
      <c r="D94" s="207">
        <v>1.0049999999999999</v>
      </c>
      <c r="E94" s="207">
        <v>8.3999999999999995E-3</v>
      </c>
      <c r="F94" s="207">
        <v>1.0134000000000001</v>
      </c>
      <c r="G94" s="207">
        <v>0.1431</v>
      </c>
    </row>
    <row r="95" spans="1:7">
      <c r="A95" s="616"/>
      <c r="B95" s="82" t="s">
        <v>743</v>
      </c>
      <c r="C95" s="82" t="s">
        <v>714</v>
      </c>
      <c r="D95" s="107">
        <v>0.97050000000000003</v>
      </c>
      <c r="E95" s="107">
        <v>7.6E-3</v>
      </c>
      <c r="F95" s="107">
        <v>0.48980000000000001</v>
      </c>
      <c r="G95" s="107">
        <v>6.6699999999999995E-2</v>
      </c>
    </row>
    <row r="96" spans="1:7">
      <c r="A96" s="616"/>
      <c r="B96" s="82" t="s">
        <v>743</v>
      </c>
      <c r="C96" s="82" t="s">
        <v>14</v>
      </c>
      <c r="D96" s="107">
        <v>0.95499999999999996</v>
      </c>
      <c r="E96" s="107">
        <v>1.26E-2</v>
      </c>
      <c r="F96" s="107">
        <v>0.33929999999999999</v>
      </c>
      <c r="G96" s="107">
        <v>6.8500000000000005E-2</v>
      </c>
    </row>
    <row r="97" spans="1:7">
      <c r="A97" s="616"/>
      <c r="B97" s="82" t="s">
        <v>743</v>
      </c>
      <c r="C97" s="82" t="s">
        <v>16</v>
      </c>
      <c r="D97" s="107">
        <v>0.95809999999999995</v>
      </c>
      <c r="E97" s="107">
        <v>1.26E-2</v>
      </c>
      <c r="F97" s="107">
        <v>0.33589999999999998</v>
      </c>
      <c r="G97" s="107">
        <v>6.5500000000000003E-2</v>
      </c>
    </row>
    <row r="98" spans="1:7">
      <c r="A98" s="616"/>
      <c r="B98" s="82" t="s">
        <v>743</v>
      </c>
      <c r="C98" s="82" t="s">
        <v>18</v>
      </c>
      <c r="D98" s="107">
        <v>0.96519999999999995</v>
      </c>
      <c r="E98" s="107">
        <v>1.3599999999999999E-2</v>
      </c>
      <c r="F98" s="107">
        <v>0.33179999999999998</v>
      </c>
      <c r="G98" s="107">
        <v>6.9599999999999995E-2</v>
      </c>
    </row>
    <row r="99" spans="1:7">
      <c r="A99" s="616"/>
      <c r="B99" s="82" t="s">
        <v>744</v>
      </c>
      <c r="C99" s="82" t="s">
        <v>714</v>
      </c>
      <c r="D99" s="107">
        <v>0.97760000000000002</v>
      </c>
      <c r="E99" s="107">
        <v>1.09E-2</v>
      </c>
      <c r="F99" s="107">
        <v>9.3200000000000005E-2</v>
      </c>
      <c r="G99" s="107">
        <v>5.8999999999999997E-2</v>
      </c>
    </row>
    <row r="100" spans="1:7">
      <c r="A100" s="616"/>
      <c r="B100" s="82" t="s">
        <v>744</v>
      </c>
      <c r="C100" s="82" t="s">
        <v>14</v>
      </c>
      <c r="D100" s="107">
        <v>0.95979999999999999</v>
      </c>
      <c r="E100" s="107">
        <v>1.44E-2</v>
      </c>
      <c r="F100" s="107">
        <v>8.2799999999999999E-2</v>
      </c>
      <c r="G100" s="107">
        <v>6.2100000000000002E-2</v>
      </c>
    </row>
    <row r="101" spans="1:7">
      <c r="A101" s="616"/>
      <c r="B101" s="82" t="s">
        <v>744</v>
      </c>
      <c r="C101" s="82" t="s">
        <v>16</v>
      </c>
      <c r="D101" s="107">
        <v>0.96660000000000001</v>
      </c>
      <c r="E101" s="107">
        <v>1.4E-2</v>
      </c>
      <c r="F101" s="107">
        <v>8.0399999999999999E-2</v>
      </c>
      <c r="G101" s="107">
        <v>5.9299999999999999E-2</v>
      </c>
    </row>
    <row r="102" spans="1:7">
      <c r="A102" s="616"/>
      <c r="B102" s="82" t="s">
        <v>744</v>
      </c>
      <c r="C102" s="82" t="s">
        <v>18</v>
      </c>
      <c r="D102" s="107">
        <v>0.97509999999999997</v>
      </c>
      <c r="E102" s="107">
        <v>1.43E-2</v>
      </c>
      <c r="F102" s="107">
        <v>7.7299999999999994E-2</v>
      </c>
      <c r="G102" s="107">
        <v>6.2799999999999995E-2</v>
      </c>
    </row>
    <row r="103" spans="1:7">
      <c r="A103" s="616"/>
      <c r="B103" s="82" t="s">
        <v>714</v>
      </c>
      <c r="C103" s="82" t="s">
        <v>14</v>
      </c>
      <c r="D103" s="107">
        <v>0.99629999999999996</v>
      </c>
      <c r="E103" s="107">
        <v>1.0699999999999999E-2</v>
      </c>
      <c r="F103" s="107">
        <v>0.37609999999999999</v>
      </c>
      <c r="G103" s="107">
        <v>3.1899999999999998E-2</v>
      </c>
    </row>
    <row r="104" spans="1:7">
      <c r="A104" s="616"/>
      <c r="B104" s="82" t="s">
        <v>714</v>
      </c>
      <c r="C104" s="82" t="s">
        <v>16</v>
      </c>
      <c r="D104" s="107">
        <v>0.99739999999999995</v>
      </c>
      <c r="E104" s="107">
        <v>9.4999999999999998E-3</v>
      </c>
      <c r="F104" s="107">
        <v>0.59650000000000003</v>
      </c>
      <c r="G104" s="107">
        <v>3.2000000000000001E-2</v>
      </c>
    </row>
    <row r="105" spans="1:7">
      <c r="A105" s="616"/>
      <c r="B105" s="82" t="s">
        <v>714</v>
      </c>
      <c r="C105" s="82" t="s">
        <v>18</v>
      </c>
      <c r="D105" s="107">
        <v>0.99460000000000004</v>
      </c>
      <c r="E105" s="107">
        <v>8.6999999999999994E-3</v>
      </c>
      <c r="F105" s="107">
        <v>0.62109999999999999</v>
      </c>
      <c r="G105" s="107">
        <v>3.3700000000000001E-2</v>
      </c>
    </row>
    <row r="106" spans="1:7">
      <c r="A106" s="616"/>
      <c r="B106" s="82" t="s">
        <v>14</v>
      </c>
      <c r="C106" s="82" t="s">
        <v>16</v>
      </c>
      <c r="D106" s="107">
        <v>0.99519999999999997</v>
      </c>
      <c r="E106" s="107">
        <v>1.7399999999999999E-2</v>
      </c>
      <c r="F106" s="107">
        <v>3.1E-2</v>
      </c>
      <c r="G106" s="107">
        <v>2.7799999999999998E-2</v>
      </c>
    </row>
    <row r="107" spans="1:7">
      <c r="A107" s="616"/>
      <c r="B107" s="82" t="s">
        <v>14</v>
      </c>
      <c r="C107" s="82" t="s">
        <v>18</v>
      </c>
      <c r="D107" s="107">
        <v>0.98040000000000005</v>
      </c>
      <c r="E107" s="107">
        <v>1.7899999999999999E-2</v>
      </c>
      <c r="F107" s="107">
        <v>4.1300000000000003E-2</v>
      </c>
      <c r="G107" s="107">
        <v>2.98E-2</v>
      </c>
    </row>
    <row r="108" spans="1:7">
      <c r="A108" s="613"/>
      <c r="B108" s="209" t="s">
        <v>16</v>
      </c>
      <c r="C108" s="209" t="s">
        <v>18</v>
      </c>
      <c r="D108" s="212">
        <v>0.97109999999999996</v>
      </c>
      <c r="E108" s="212">
        <v>1.9199999999999998E-2</v>
      </c>
      <c r="F108" s="212">
        <v>4.1700000000000001E-2</v>
      </c>
      <c r="G108" s="212">
        <v>2.8799999999999999E-2</v>
      </c>
    </row>
    <row r="109" spans="1:7">
      <c r="A109" s="612" t="s">
        <v>269</v>
      </c>
      <c r="B109" s="204" t="s">
        <v>716</v>
      </c>
      <c r="C109" s="204" t="s">
        <v>748</v>
      </c>
      <c r="D109" s="207">
        <v>0.9859</v>
      </c>
      <c r="E109" s="207">
        <v>5.4999999999999997E-3</v>
      </c>
      <c r="F109" s="207">
        <v>0.74309999999999998</v>
      </c>
      <c r="G109" s="207">
        <v>2.7199999999999998E-2</v>
      </c>
    </row>
    <row r="110" spans="1:7">
      <c r="A110" s="616"/>
      <c r="B110" s="82" t="s">
        <v>716</v>
      </c>
      <c r="C110" s="82" t="s">
        <v>14</v>
      </c>
      <c r="D110" s="107">
        <v>0.91220000000000001</v>
      </c>
      <c r="E110" s="107">
        <v>9.7999999999999997E-3</v>
      </c>
      <c r="F110" s="107">
        <v>0.44309999999999999</v>
      </c>
      <c r="G110" s="107">
        <v>2.0400000000000001E-2</v>
      </c>
    </row>
    <row r="111" spans="1:7">
      <c r="A111" s="616"/>
      <c r="B111" s="82" t="s">
        <v>716</v>
      </c>
      <c r="C111" s="82" t="s">
        <v>16</v>
      </c>
      <c r="D111" s="107">
        <v>0.91</v>
      </c>
      <c r="E111" s="107">
        <v>1.0999999999999999E-2</v>
      </c>
      <c r="F111" s="107">
        <v>0.4597</v>
      </c>
      <c r="G111" s="107">
        <v>1.84E-2</v>
      </c>
    </row>
    <row r="112" spans="1:7">
      <c r="A112" s="616"/>
      <c r="B112" s="82" t="s">
        <v>716</v>
      </c>
      <c r="C112" s="82" t="s">
        <v>18</v>
      </c>
      <c r="D112" s="107">
        <v>0.91859999999999997</v>
      </c>
      <c r="E112" s="107">
        <v>9.5999999999999992E-3</v>
      </c>
      <c r="F112" s="107">
        <v>0.45079999999999998</v>
      </c>
      <c r="G112" s="107">
        <v>1.9400000000000001E-2</v>
      </c>
    </row>
    <row r="113" spans="1:7">
      <c r="A113" s="616"/>
      <c r="B113" s="82" t="s">
        <v>748</v>
      </c>
      <c r="C113" s="82" t="s">
        <v>14</v>
      </c>
      <c r="D113" s="107">
        <v>0.89129999999999998</v>
      </c>
      <c r="E113" s="107">
        <v>1.7600000000000001E-2</v>
      </c>
      <c r="F113" s="107">
        <v>4.6100000000000002E-2</v>
      </c>
      <c r="G113" s="107">
        <v>1.5699999999999999E-2</v>
      </c>
    </row>
    <row r="114" spans="1:7">
      <c r="A114" s="616"/>
      <c r="B114" s="82" t="s">
        <v>748</v>
      </c>
      <c r="C114" s="82" t="s">
        <v>16</v>
      </c>
      <c r="D114" s="107">
        <v>0.87719999999999998</v>
      </c>
      <c r="E114" s="107">
        <v>1.83E-2</v>
      </c>
      <c r="F114" s="107">
        <v>4.9599999999999998E-2</v>
      </c>
      <c r="G114" s="107">
        <v>1.47E-2</v>
      </c>
    </row>
    <row r="115" spans="1:7">
      <c r="A115" s="616"/>
      <c r="B115" s="82" t="s">
        <v>748</v>
      </c>
      <c r="C115" s="82" t="s">
        <v>18</v>
      </c>
      <c r="D115" s="107">
        <v>0.88970000000000005</v>
      </c>
      <c r="E115" s="107">
        <v>1.8700000000000001E-2</v>
      </c>
      <c r="F115" s="107">
        <v>4.9599999999999998E-2</v>
      </c>
      <c r="G115" s="107">
        <v>1.38E-2</v>
      </c>
    </row>
    <row r="116" spans="1:7">
      <c r="A116" s="616"/>
      <c r="B116" s="82" t="s">
        <v>14</v>
      </c>
      <c r="C116" s="82" t="s">
        <v>16</v>
      </c>
      <c r="D116" s="107">
        <v>1.0034000000000001</v>
      </c>
      <c r="E116" s="107">
        <v>0.02</v>
      </c>
      <c r="F116" s="107">
        <v>4.9399999999999999E-2</v>
      </c>
      <c r="G116" s="107">
        <v>1.1299999999999999E-2</v>
      </c>
    </row>
    <row r="117" spans="1:7">
      <c r="A117" s="616"/>
      <c r="B117" s="82" t="s">
        <v>14</v>
      </c>
      <c r="C117" s="82" t="s">
        <v>18</v>
      </c>
      <c r="D117" s="107">
        <v>1.0203</v>
      </c>
      <c r="E117" s="107">
        <v>1.7999999999999999E-2</v>
      </c>
      <c r="F117" s="107">
        <v>3.5299999999999998E-2</v>
      </c>
      <c r="G117" s="107">
        <v>1.0999999999999999E-2</v>
      </c>
    </row>
    <row r="118" spans="1:7">
      <c r="A118" s="613"/>
      <c r="B118" s="209" t="s">
        <v>16</v>
      </c>
      <c r="C118" s="209" t="s">
        <v>18</v>
      </c>
      <c r="D118" s="212">
        <v>1.0039</v>
      </c>
      <c r="E118" s="212">
        <v>1.9099999999999999E-2</v>
      </c>
      <c r="F118" s="212">
        <v>4.7100000000000003E-2</v>
      </c>
      <c r="G118" s="212">
        <v>1.03E-2</v>
      </c>
    </row>
    <row r="119" spans="1:7">
      <c r="A119" s="612" t="s">
        <v>279</v>
      </c>
      <c r="B119" s="204" t="s">
        <v>716</v>
      </c>
      <c r="C119" s="204" t="s">
        <v>748</v>
      </c>
      <c r="D119" s="207">
        <v>0.99219999999999997</v>
      </c>
      <c r="E119" s="207">
        <v>8.6E-3</v>
      </c>
      <c r="F119" s="207">
        <v>0.7127</v>
      </c>
      <c r="G119" s="207">
        <v>2.2200000000000001E-2</v>
      </c>
    </row>
    <row r="120" spans="1:7">
      <c r="A120" s="616"/>
      <c r="B120" s="82" t="s">
        <v>716</v>
      </c>
      <c r="C120" s="82" t="s">
        <v>14</v>
      </c>
      <c r="D120" s="107">
        <v>0.98829999999999996</v>
      </c>
      <c r="E120" s="107">
        <v>1.06E-2</v>
      </c>
      <c r="F120" s="107">
        <v>0.434</v>
      </c>
      <c r="G120" s="107">
        <v>1.78E-2</v>
      </c>
    </row>
    <row r="121" spans="1:7">
      <c r="A121" s="616"/>
      <c r="B121" s="82" t="s">
        <v>716</v>
      </c>
      <c r="C121" s="82" t="s">
        <v>16</v>
      </c>
      <c r="D121" s="107">
        <v>0.97809999999999997</v>
      </c>
      <c r="E121" s="107">
        <v>8.6999999999999994E-3</v>
      </c>
      <c r="F121" s="107">
        <v>0.42209999999999998</v>
      </c>
      <c r="G121" s="107">
        <v>1.7600000000000001E-2</v>
      </c>
    </row>
    <row r="122" spans="1:7">
      <c r="A122" s="616"/>
      <c r="B122" s="82" t="s">
        <v>716</v>
      </c>
      <c r="C122" s="82" t="s">
        <v>18</v>
      </c>
      <c r="D122" s="107">
        <v>0.98199999999999998</v>
      </c>
      <c r="E122" s="107">
        <v>9.5999999999999992E-3</v>
      </c>
      <c r="F122" s="107">
        <v>0.43619999999999998</v>
      </c>
      <c r="G122" s="107">
        <v>1.7299999999999999E-2</v>
      </c>
    </row>
    <row r="123" spans="1:7">
      <c r="A123" s="616"/>
      <c r="B123" s="82" t="s">
        <v>748</v>
      </c>
      <c r="C123" s="82" t="s">
        <v>14</v>
      </c>
      <c r="D123" s="107">
        <v>0.95279999999999998</v>
      </c>
      <c r="E123" s="107">
        <v>2.1100000000000001E-2</v>
      </c>
      <c r="F123" s="107">
        <v>3.7199999999999997E-2</v>
      </c>
      <c r="G123" s="107">
        <v>1.4200000000000001E-2</v>
      </c>
    </row>
    <row r="124" spans="1:7">
      <c r="A124" s="616"/>
      <c r="B124" s="82" t="s">
        <v>748</v>
      </c>
      <c r="C124" s="82" t="s">
        <v>16</v>
      </c>
      <c r="D124" s="107">
        <v>0.95289999999999997</v>
      </c>
      <c r="E124" s="107">
        <v>2.1600000000000001E-2</v>
      </c>
      <c r="F124" s="107">
        <v>1.2699999999999999E-2</v>
      </c>
      <c r="G124" s="107">
        <v>1.2800000000000001E-2</v>
      </c>
    </row>
    <row r="125" spans="1:7">
      <c r="A125" s="616"/>
      <c r="B125" s="82" t="s">
        <v>748</v>
      </c>
      <c r="C125" s="82" t="s">
        <v>18</v>
      </c>
      <c r="D125" s="107">
        <v>0.96009999999999995</v>
      </c>
      <c r="E125" s="107">
        <v>2.1899999999999999E-2</v>
      </c>
      <c r="F125" s="107">
        <v>1.8700000000000001E-2</v>
      </c>
      <c r="G125" s="107">
        <v>1.38E-2</v>
      </c>
    </row>
    <row r="126" spans="1:7">
      <c r="A126" s="616"/>
      <c r="B126" s="82" t="s">
        <v>14</v>
      </c>
      <c r="C126" s="82" t="s">
        <v>16</v>
      </c>
      <c r="D126" s="107">
        <v>1.0306</v>
      </c>
      <c r="E126" s="107">
        <v>2.0299999999999999E-2</v>
      </c>
      <c r="F126" s="107">
        <v>2.4299999999999999E-2</v>
      </c>
      <c r="G126" s="107">
        <v>1.1299999999999999E-2</v>
      </c>
    </row>
    <row r="127" spans="1:7">
      <c r="A127" s="616"/>
      <c r="B127" s="82" t="s">
        <v>14</v>
      </c>
      <c r="C127" s="82" t="s">
        <v>18</v>
      </c>
      <c r="D127" s="107">
        <v>0.99690000000000001</v>
      </c>
      <c r="E127" s="107">
        <v>2.0199999999999999E-2</v>
      </c>
      <c r="F127" s="107">
        <v>4.4400000000000002E-2</v>
      </c>
      <c r="G127" s="107">
        <v>1.0999999999999999E-2</v>
      </c>
    </row>
    <row r="128" spans="1:7">
      <c r="A128" s="613"/>
      <c r="B128" s="209" t="s">
        <v>16</v>
      </c>
      <c r="C128" s="209" t="s">
        <v>18</v>
      </c>
      <c r="D128" s="212">
        <v>0.99150000000000005</v>
      </c>
      <c r="E128" s="212">
        <v>1.7500000000000002E-2</v>
      </c>
      <c r="F128" s="212">
        <v>3.8100000000000002E-2</v>
      </c>
      <c r="G128" s="212">
        <v>1.09E-2</v>
      </c>
    </row>
    <row r="129" spans="1:7">
      <c r="A129" s="616" t="s">
        <v>285</v>
      </c>
      <c r="B129" s="82" t="s">
        <v>716</v>
      </c>
      <c r="C129" s="82" t="s">
        <v>748</v>
      </c>
      <c r="D129" s="107">
        <v>0.99009999999999998</v>
      </c>
      <c r="E129" s="107">
        <v>6.1999999999999998E-3</v>
      </c>
      <c r="F129" s="107">
        <v>0.75480000000000003</v>
      </c>
      <c r="G129" s="107">
        <v>2.7699999999999999E-2</v>
      </c>
    </row>
    <row r="130" spans="1:7">
      <c r="A130" s="616"/>
      <c r="B130" s="82" t="s">
        <v>716</v>
      </c>
      <c r="C130" s="82" t="s">
        <v>14</v>
      </c>
      <c r="D130" s="107">
        <v>0.9546</v>
      </c>
      <c r="E130" s="107">
        <v>1.1299999999999999E-2</v>
      </c>
      <c r="F130" s="107">
        <v>0.45229999999999998</v>
      </c>
      <c r="G130" s="107">
        <v>1.9E-2</v>
      </c>
    </row>
    <row r="131" spans="1:7">
      <c r="A131" s="616"/>
      <c r="B131" s="82" t="s">
        <v>716</v>
      </c>
      <c r="C131" s="82" t="s">
        <v>16</v>
      </c>
      <c r="D131" s="107">
        <v>0.95650000000000002</v>
      </c>
      <c r="E131" s="107">
        <v>9.5999999999999992E-3</v>
      </c>
      <c r="F131" s="107">
        <v>0.44130000000000003</v>
      </c>
      <c r="G131" s="107">
        <v>1.83E-2</v>
      </c>
    </row>
    <row r="132" spans="1:7">
      <c r="A132" s="616"/>
      <c r="B132" s="82" t="s">
        <v>716</v>
      </c>
      <c r="C132" s="82" t="s">
        <v>18</v>
      </c>
      <c r="D132" s="107">
        <v>0.94920000000000004</v>
      </c>
      <c r="E132" s="107">
        <v>8.8999999999999999E-3</v>
      </c>
      <c r="F132" s="107">
        <v>0.44900000000000001</v>
      </c>
      <c r="G132" s="107">
        <v>1.83E-2</v>
      </c>
    </row>
    <row r="133" spans="1:7">
      <c r="A133" s="616"/>
      <c r="B133" s="82" t="s">
        <v>748</v>
      </c>
      <c r="C133" s="82" t="s">
        <v>14</v>
      </c>
      <c r="D133" s="107">
        <v>0.93159999999999998</v>
      </c>
      <c r="E133" s="107">
        <v>1.9800000000000002E-2</v>
      </c>
      <c r="F133" s="107">
        <v>5.5800000000000002E-2</v>
      </c>
      <c r="G133" s="107">
        <v>1.6799999999999999E-2</v>
      </c>
    </row>
    <row r="134" spans="1:7">
      <c r="A134" s="616"/>
      <c r="B134" s="82" t="s">
        <v>748</v>
      </c>
      <c r="C134" s="82" t="s">
        <v>16</v>
      </c>
      <c r="D134" s="107">
        <v>0.9325</v>
      </c>
      <c r="E134" s="107">
        <v>1.8800000000000001E-2</v>
      </c>
      <c r="F134" s="107">
        <v>3.6499999999999998E-2</v>
      </c>
      <c r="G134" s="107">
        <v>1.5299999999999999E-2</v>
      </c>
    </row>
    <row r="135" spans="1:7">
      <c r="A135" s="616"/>
      <c r="B135" s="82" t="s">
        <v>748</v>
      </c>
      <c r="C135" s="82" t="s">
        <v>18</v>
      </c>
      <c r="D135" s="107">
        <v>0.92579999999999996</v>
      </c>
      <c r="E135" s="107">
        <v>1.78E-2</v>
      </c>
      <c r="F135" s="107">
        <v>3.8399999999999997E-2</v>
      </c>
      <c r="G135" s="107">
        <v>1.52E-2</v>
      </c>
    </row>
    <row r="136" spans="1:7">
      <c r="A136" s="616"/>
      <c r="B136" s="82" t="s">
        <v>14</v>
      </c>
      <c r="C136" s="82" t="s">
        <v>16</v>
      </c>
      <c r="D136" s="107">
        <v>1.026</v>
      </c>
      <c r="E136" s="107">
        <v>2.1000000000000001E-2</v>
      </c>
      <c r="F136" s="107">
        <v>4.3799999999999999E-2</v>
      </c>
      <c r="G136" s="107">
        <v>1.14E-2</v>
      </c>
    </row>
    <row r="137" spans="1:7">
      <c r="A137" s="616"/>
      <c r="B137" s="82" t="s">
        <v>14</v>
      </c>
      <c r="C137" s="82" t="s">
        <v>18</v>
      </c>
      <c r="D137" s="107">
        <v>1.0173000000000001</v>
      </c>
      <c r="E137" s="107">
        <v>2.0199999999999999E-2</v>
      </c>
      <c r="F137" s="107">
        <v>4.3400000000000001E-2</v>
      </c>
      <c r="G137" s="107">
        <v>1.0500000000000001E-2</v>
      </c>
    </row>
    <row r="138" spans="1:7">
      <c r="A138" s="616"/>
      <c r="B138" s="82" t="s">
        <v>16</v>
      </c>
      <c r="C138" s="82" t="s">
        <v>18</v>
      </c>
      <c r="D138" s="107">
        <v>0.99419999999999997</v>
      </c>
      <c r="E138" s="107">
        <v>1.7500000000000002E-2</v>
      </c>
      <c r="F138" s="107">
        <v>4.9099999999999998E-2</v>
      </c>
      <c r="G138" s="107">
        <v>1.0200000000000001E-2</v>
      </c>
    </row>
    <row r="139" spans="1:7">
      <c r="A139" s="51" t="s">
        <v>32</v>
      </c>
      <c r="B139" s="52"/>
      <c r="C139" s="52"/>
      <c r="D139" s="101"/>
      <c r="E139" s="198"/>
      <c r="F139" s="198"/>
      <c r="G139" s="198"/>
    </row>
    <row r="140" spans="1:7">
      <c r="A140" s="612" t="s">
        <v>33</v>
      </c>
      <c r="B140" s="82" t="s">
        <v>144</v>
      </c>
      <c r="C140" s="82" t="s">
        <v>703</v>
      </c>
      <c r="D140" s="107">
        <v>0.8357</v>
      </c>
      <c r="E140" s="107">
        <v>0.2291</v>
      </c>
      <c r="F140" s="107">
        <v>1.9400000000000001E-2</v>
      </c>
      <c r="G140" s="107">
        <v>1.6899999999999998E-2</v>
      </c>
    </row>
    <row r="141" spans="1:7">
      <c r="A141" s="616"/>
      <c r="B141" s="82" t="s">
        <v>144</v>
      </c>
      <c r="C141" s="82" t="s">
        <v>1219</v>
      </c>
      <c r="D141" s="107">
        <v>0.86080000000000001</v>
      </c>
      <c r="E141" s="107">
        <v>0.33279999999999998</v>
      </c>
      <c r="F141" s="107">
        <v>0.03</v>
      </c>
      <c r="G141" s="107">
        <v>2.6800000000000001E-2</v>
      </c>
    </row>
    <row r="142" spans="1:7">
      <c r="A142" s="616"/>
      <c r="B142" s="82" t="s">
        <v>144</v>
      </c>
      <c r="C142" s="82" t="s">
        <v>704</v>
      </c>
      <c r="D142" s="107">
        <v>0.90669999999999995</v>
      </c>
      <c r="E142" s="107">
        <v>0.29170000000000001</v>
      </c>
      <c r="F142" s="107">
        <v>4.02E-2</v>
      </c>
      <c r="G142" s="107">
        <v>3.8199999999999998E-2</v>
      </c>
    </row>
    <row r="143" spans="1:7">
      <c r="A143" s="616"/>
      <c r="B143" s="82" t="s">
        <v>703</v>
      </c>
      <c r="C143" s="82" t="s">
        <v>1219</v>
      </c>
      <c r="D143" s="107">
        <v>1.0396000000000001</v>
      </c>
      <c r="E143" s="107">
        <v>7.3899999999999993E-2</v>
      </c>
      <c r="F143" s="107">
        <v>0.20930000000000001</v>
      </c>
      <c r="G143" s="107">
        <v>2.01E-2</v>
      </c>
    </row>
    <row r="144" spans="1:7">
      <c r="A144" s="616"/>
      <c r="B144" s="82" t="s">
        <v>703</v>
      </c>
      <c r="C144" s="82" t="s">
        <v>704</v>
      </c>
      <c r="D144" s="107">
        <v>0.92500000000000004</v>
      </c>
      <c r="E144" s="107">
        <v>4.6100000000000002E-2</v>
      </c>
      <c r="F144" s="107">
        <v>0.44579999999999997</v>
      </c>
      <c r="G144" s="107">
        <v>3.6400000000000002E-2</v>
      </c>
    </row>
    <row r="145" spans="1:7">
      <c r="A145" s="613"/>
      <c r="B145" s="209" t="s">
        <v>1219</v>
      </c>
      <c r="C145" s="209" t="s">
        <v>704</v>
      </c>
      <c r="D145" s="212">
        <v>0.84830000000000005</v>
      </c>
      <c r="E145" s="212">
        <v>0.1119</v>
      </c>
      <c r="F145" s="212">
        <v>0.36930000000000002</v>
      </c>
      <c r="G145" s="212">
        <v>5.3400000000000003E-2</v>
      </c>
    </row>
    <row r="146" spans="1:7">
      <c r="A146" s="214" t="s">
        <v>46</v>
      </c>
      <c r="B146" s="657" t="s">
        <v>9</v>
      </c>
      <c r="C146" s="657"/>
      <c r="D146" s="657"/>
      <c r="E146" s="657"/>
      <c r="F146" s="657"/>
      <c r="G146" s="657"/>
    </row>
    <row r="147" spans="1:7">
      <c r="A147" s="616" t="s">
        <v>50</v>
      </c>
      <c r="B147" s="82" t="s">
        <v>722</v>
      </c>
      <c r="C147" s="82" t="s">
        <v>14</v>
      </c>
      <c r="D147" s="107">
        <v>0.89859999999999995</v>
      </c>
      <c r="E147" s="107">
        <v>6.0100000000000001E-2</v>
      </c>
      <c r="F147" s="107">
        <v>1.01E-2</v>
      </c>
      <c r="G147" s="107">
        <v>6.7999999999999996E-3</v>
      </c>
    </row>
    <row r="148" spans="1:7">
      <c r="A148" s="616"/>
      <c r="B148" s="82" t="s">
        <v>722</v>
      </c>
      <c r="C148" s="82" t="s">
        <v>16</v>
      </c>
      <c r="D148" s="107">
        <v>0.91500000000000004</v>
      </c>
      <c r="E148" s="107">
        <v>6.4899999999999999E-2</v>
      </c>
      <c r="F148" s="107">
        <v>-3.8999999999999998E-3</v>
      </c>
      <c r="G148" s="107">
        <v>6.0000000000000001E-3</v>
      </c>
    </row>
    <row r="149" spans="1:7">
      <c r="A149" s="616"/>
      <c r="B149" s="82" t="s">
        <v>722</v>
      </c>
      <c r="C149" s="82" t="s">
        <v>18</v>
      </c>
      <c r="D149" s="107">
        <v>0.97489999999999999</v>
      </c>
      <c r="E149" s="107">
        <v>6.54E-2</v>
      </c>
      <c r="F149" s="107">
        <v>-2.3E-3</v>
      </c>
      <c r="G149" s="107">
        <v>6.1000000000000004E-3</v>
      </c>
    </row>
    <row r="150" spans="1:7">
      <c r="A150" s="616"/>
      <c r="B150" s="82" t="s">
        <v>14</v>
      </c>
      <c r="C150" s="82" t="s">
        <v>16</v>
      </c>
      <c r="D150" s="107">
        <v>1.0001</v>
      </c>
      <c r="E150" s="107">
        <v>2.8899999999999999E-2</v>
      </c>
      <c r="F150" s="107">
        <v>1.6000000000000001E-3</v>
      </c>
      <c r="G150" s="107">
        <v>7.1999999999999998E-3</v>
      </c>
    </row>
    <row r="151" spans="1:7">
      <c r="A151" s="616"/>
      <c r="B151" s="82" t="s">
        <v>14</v>
      </c>
      <c r="C151" s="82" t="s">
        <v>18</v>
      </c>
      <c r="D151" s="107">
        <v>0.96819999999999995</v>
      </c>
      <c r="E151" s="107">
        <v>2.5999999999999999E-2</v>
      </c>
      <c r="F151" s="107">
        <v>1.41E-2</v>
      </c>
      <c r="G151" s="107">
        <v>6.8999999999999999E-3</v>
      </c>
    </row>
    <row r="152" spans="1:7">
      <c r="A152" s="613"/>
      <c r="B152" s="209" t="s">
        <v>16</v>
      </c>
      <c r="C152" s="209" t="s">
        <v>18</v>
      </c>
      <c r="D152" s="212">
        <v>0.99390000000000001</v>
      </c>
      <c r="E152" s="212">
        <v>2.9499999999999998E-2</v>
      </c>
      <c r="F152" s="212">
        <v>8.5000000000000006E-3</v>
      </c>
      <c r="G152" s="212">
        <v>6.8999999999999999E-3</v>
      </c>
    </row>
    <row r="153" spans="1:7">
      <c r="A153" s="612" t="s">
        <v>65</v>
      </c>
      <c r="B153" s="204" t="s">
        <v>144</v>
      </c>
      <c r="C153" s="204" t="s">
        <v>803</v>
      </c>
      <c r="D153" s="207">
        <v>0.90569999999999995</v>
      </c>
      <c r="E153" s="207">
        <v>6.3E-3</v>
      </c>
      <c r="F153" s="207">
        <v>0.13109999999999999</v>
      </c>
      <c r="G153" s="207">
        <v>2.8000000000000001E-2</v>
      </c>
    </row>
    <row r="154" spans="1:7">
      <c r="A154" s="616"/>
      <c r="B154" s="82" t="s">
        <v>144</v>
      </c>
      <c r="C154" s="82" t="s">
        <v>802</v>
      </c>
      <c r="D154" s="107">
        <v>0.90429999999999999</v>
      </c>
      <c r="E154" s="107">
        <v>6.4000000000000003E-3</v>
      </c>
      <c r="F154" s="107">
        <v>0.12720000000000001</v>
      </c>
      <c r="G154" s="107">
        <v>2.8000000000000001E-2</v>
      </c>
    </row>
    <row r="155" spans="1:7">
      <c r="A155" s="616"/>
      <c r="B155" s="82" t="s">
        <v>144</v>
      </c>
      <c r="C155" s="82" t="s">
        <v>751</v>
      </c>
      <c r="D155" s="107">
        <v>0.90529999999999999</v>
      </c>
      <c r="E155" s="107">
        <v>6.3E-3</v>
      </c>
      <c r="F155" s="107">
        <v>0.1308</v>
      </c>
      <c r="G155" s="107">
        <v>2.7900000000000001E-2</v>
      </c>
    </row>
    <row r="156" spans="1:7">
      <c r="A156" s="616"/>
      <c r="B156" s="82" t="s">
        <v>144</v>
      </c>
      <c r="C156" s="82" t="s">
        <v>753</v>
      </c>
      <c r="D156" s="107">
        <v>0.90610000000000002</v>
      </c>
      <c r="E156" s="107">
        <v>6.3E-3</v>
      </c>
      <c r="F156" s="107">
        <v>0.12989999999999999</v>
      </c>
      <c r="G156" s="107">
        <v>2.8000000000000001E-2</v>
      </c>
    </row>
    <row r="157" spans="1:7">
      <c r="A157" s="616"/>
      <c r="B157" s="82" t="s">
        <v>144</v>
      </c>
      <c r="C157" s="82" t="s">
        <v>752</v>
      </c>
      <c r="D157" s="107">
        <v>0.90010000000000001</v>
      </c>
      <c r="E157" s="107">
        <v>6.3E-3</v>
      </c>
      <c r="F157" s="107">
        <v>0.13150000000000001</v>
      </c>
      <c r="G157" s="107">
        <v>2.7799999999999998E-2</v>
      </c>
    </row>
    <row r="158" spans="1:7">
      <c r="A158" s="616"/>
      <c r="B158" s="82" t="s">
        <v>144</v>
      </c>
      <c r="C158" s="82" t="s">
        <v>754</v>
      </c>
      <c r="D158" s="107">
        <v>0.90510000000000002</v>
      </c>
      <c r="E158" s="107">
        <v>6.3E-3</v>
      </c>
      <c r="F158" s="107">
        <v>0.13089999999999999</v>
      </c>
      <c r="G158" s="107">
        <v>2.8000000000000001E-2</v>
      </c>
    </row>
    <row r="159" spans="1:7">
      <c r="A159" s="616"/>
      <c r="B159" s="82" t="s">
        <v>144</v>
      </c>
      <c r="C159" s="82" t="s">
        <v>755</v>
      </c>
      <c r="D159" s="107">
        <v>0.90359999999999996</v>
      </c>
      <c r="E159" s="107">
        <v>6.3E-3</v>
      </c>
      <c r="F159" s="107">
        <v>0.1305</v>
      </c>
      <c r="G159" s="107">
        <v>2.7900000000000001E-2</v>
      </c>
    </row>
    <row r="160" spans="1:7">
      <c r="A160" s="616"/>
      <c r="B160" s="82" t="s">
        <v>144</v>
      </c>
      <c r="C160" s="82" t="s">
        <v>756</v>
      </c>
      <c r="D160" s="107">
        <v>0.90500000000000003</v>
      </c>
      <c r="E160" s="107">
        <v>6.3E-3</v>
      </c>
      <c r="F160" s="107">
        <v>0.1235</v>
      </c>
      <c r="G160" s="107">
        <v>2.76E-2</v>
      </c>
    </row>
    <row r="161" spans="1:7">
      <c r="A161" s="616"/>
      <c r="B161" s="82" t="s">
        <v>144</v>
      </c>
      <c r="C161" s="82" t="s">
        <v>757</v>
      </c>
      <c r="D161" s="107">
        <v>0.9052</v>
      </c>
      <c r="E161" s="107">
        <v>6.3E-3</v>
      </c>
      <c r="F161" s="107">
        <v>0.13139999999999999</v>
      </c>
      <c r="G161" s="107">
        <v>2.7799999999999998E-2</v>
      </c>
    </row>
    <row r="162" spans="1:7">
      <c r="A162" s="616"/>
      <c r="B162" s="82" t="s">
        <v>144</v>
      </c>
      <c r="C162" s="82" t="s">
        <v>758</v>
      </c>
      <c r="D162" s="107">
        <v>0.90539999999999998</v>
      </c>
      <c r="E162" s="107">
        <v>6.3E-3</v>
      </c>
      <c r="F162" s="107">
        <v>0.13120000000000001</v>
      </c>
      <c r="G162" s="107">
        <v>2.8000000000000001E-2</v>
      </c>
    </row>
    <row r="163" spans="1:7">
      <c r="A163" s="616"/>
      <c r="B163" s="82" t="s">
        <v>144</v>
      </c>
      <c r="C163" s="82" t="s">
        <v>759</v>
      </c>
      <c r="D163" s="107">
        <v>0.90559999999999996</v>
      </c>
      <c r="E163" s="107">
        <v>6.3E-3</v>
      </c>
      <c r="F163" s="107">
        <v>0.1305</v>
      </c>
      <c r="G163" s="107">
        <v>2.81E-2</v>
      </c>
    </row>
    <row r="164" spans="1:7">
      <c r="A164" s="616"/>
      <c r="B164" s="82" t="s">
        <v>144</v>
      </c>
      <c r="C164" s="82" t="s">
        <v>760</v>
      </c>
      <c r="D164" s="107">
        <v>0.93540000000000001</v>
      </c>
      <c r="E164" s="107">
        <v>0.01</v>
      </c>
      <c r="F164" s="107">
        <v>6.5199999999999994E-2</v>
      </c>
      <c r="G164" s="107">
        <v>1.9800000000000002E-2</v>
      </c>
    </row>
    <row r="165" spans="1:7">
      <c r="A165" s="616"/>
      <c r="B165" s="82" t="s">
        <v>144</v>
      </c>
      <c r="C165" s="82" t="s">
        <v>761</v>
      </c>
      <c r="D165" s="107">
        <v>0.90490000000000004</v>
      </c>
      <c r="E165" s="107">
        <v>6.3E-3</v>
      </c>
      <c r="F165" s="107">
        <v>0.13070000000000001</v>
      </c>
      <c r="G165" s="107">
        <v>2.7799999999999998E-2</v>
      </c>
    </row>
    <row r="166" spans="1:7">
      <c r="A166" s="616"/>
      <c r="B166" s="82" t="s">
        <v>144</v>
      </c>
      <c r="C166" s="82" t="s">
        <v>14</v>
      </c>
      <c r="D166" s="107">
        <v>0.87890000000000001</v>
      </c>
      <c r="E166" s="107">
        <v>1.3599999999999999E-2</v>
      </c>
      <c r="F166" s="107">
        <v>6.8599999999999994E-2</v>
      </c>
      <c r="G166" s="107">
        <v>1.9E-2</v>
      </c>
    </row>
    <row r="167" spans="1:7">
      <c r="A167" s="616"/>
      <c r="B167" s="82" t="s">
        <v>144</v>
      </c>
      <c r="C167" s="82" t="s">
        <v>16</v>
      </c>
      <c r="D167" s="107">
        <v>0.88519999999999999</v>
      </c>
      <c r="E167" s="107">
        <v>1.2E-2</v>
      </c>
      <c r="F167" s="107">
        <v>7.0199999999999999E-2</v>
      </c>
      <c r="G167" s="107">
        <v>1.8700000000000001E-2</v>
      </c>
    </row>
    <row r="168" spans="1:7">
      <c r="A168" s="616"/>
      <c r="B168" s="82" t="s">
        <v>144</v>
      </c>
      <c r="C168" s="82" t="s">
        <v>18</v>
      </c>
      <c r="D168" s="107">
        <v>0.89500000000000002</v>
      </c>
      <c r="E168" s="107">
        <v>1.12E-2</v>
      </c>
      <c r="F168" s="107">
        <v>6.1100000000000002E-2</v>
      </c>
      <c r="G168" s="107">
        <v>1.9300000000000001E-2</v>
      </c>
    </row>
    <row r="169" spans="1:7">
      <c r="A169" s="616"/>
      <c r="B169" s="82" t="s">
        <v>803</v>
      </c>
      <c r="C169" s="82" t="s">
        <v>802</v>
      </c>
      <c r="D169" s="107">
        <v>0.99960000000000004</v>
      </c>
      <c r="E169" s="107">
        <v>2.5000000000000001E-3</v>
      </c>
      <c r="F169" s="107">
        <v>0.997</v>
      </c>
      <c r="G169" s="107">
        <v>1.8499999999999999E-2</v>
      </c>
    </row>
    <row r="170" spans="1:7">
      <c r="A170" s="616"/>
      <c r="B170" s="82" t="s">
        <v>803</v>
      </c>
      <c r="C170" s="82" t="s">
        <v>751</v>
      </c>
      <c r="D170" s="107">
        <v>0.99990000000000001</v>
      </c>
      <c r="E170" s="107">
        <v>2.5000000000000001E-3</v>
      </c>
      <c r="F170" s="107">
        <v>0.99829999999999997</v>
      </c>
      <c r="G170" s="107">
        <v>1.8499999999999999E-2</v>
      </c>
    </row>
    <row r="171" spans="1:7">
      <c r="A171" s="616"/>
      <c r="B171" s="82" t="s">
        <v>803</v>
      </c>
      <c r="C171" s="82" t="s">
        <v>753</v>
      </c>
      <c r="D171" s="107">
        <v>1.0002</v>
      </c>
      <c r="E171" s="107">
        <v>2.5000000000000001E-3</v>
      </c>
      <c r="F171" s="107">
        <v>0.99629999999999996</v>
      </c>
      <c r="G171" s="107">
        <v>1.84E-2</v>
      </c>
    </row>
    <row r="172" spans="1:7">
      <c r="A172" s="616"/>
      <c r="B172" s="82" t="s">
        <v>803</v>
      </c>
      <c r="C172" s="82" t="s">
        <v>752</v>
      </c>
      <c r="D172" s="107">
        <v>1.0006999999999999</v>
      </c>
      <c r="E172" s="107">
        <v>2.3999999999999998E-3</v>
      </c>
      <c r="F172" s="107">
        <v>0.97660000000000002</v>
      </c>
      <c r="G172" s="107">
        <v>1.84E-2</v>
      </c>
    </row>
    <row r="173" spans="1:7">
      <c r="A173" s="616"/>
      <c r="B173" s="82" t="s">
        <v>803</v>
      </c>
      <c r="C173" s="82" t="s">
        <v>754</v>
      </c>
      <c r="D173" s="107">
        <v>0.99909999999999999</v>
      </c>
      <c r="E173" s="107">
        <v>2.5000000000000001E-3</v>
      </c>
      <c r="F173" s="107">
        <v>0.9919</v>
      </c>
      <c r="G173" s="107">
        <v>1.8499999999999999E-2</v>
      </c>
    </row>
    <row r="174" spans="1:7">
      <c r="A174" s="616"/>
      <c r="B174" s="82" t="s">
        <v>803</v>
      </c>
      <c r="C174" s="82" t="s">
        <v>755</v>
      </c>
      <c r="D174" s="107">
        <v>1.0005999999999999</v>
      </c>
      <c r="E174" s="107">
        <v>2.3999999999999998E-3</v>
      </c>
      <c r="F174" s="107">
        <v>0.98970000000000002</v>
      </c>
      <c r="G174" s="107">
        <v>1.8499999999999999E-2</v>
      </c>
    </row>
    <row r="175" spans="1:7">
      <c r="A175" s="616"/>
      <c r="B175" s="82" t="s">
        <v>803</v>
      </c>
      <c r="C175" s="82" t="s">
        <v>756</v>
      </c>
      <c r="D175" s="107">
        <v>1.0001</v>
      </c>
      <c r="E175" s="107">
        <v>2.5000000000000001E-3</v>
      </c>
      <c r="F175" s="107">
        <v>0.99399999999999999</v>
      </c>
      <c r="G175" s="107">
        <v>1.84E-2</v>
      </c>
    </row>
    <row r="176" spans="1:7">
      <c r="A176" s="616"/>
      <c r="B176" s="82" t="s">
        <v>803</v>
      </c>
      <c r="C176" s="82" t="s">
        <v>757</v>
      </c>
      <c r="D176" s="107">
        <v>0.99960000000000004</v>
      </c>
      <c r="E176" s="107">
        <v>2.5000000000000001E-3</v>
      </c>
      <c r="F176" s="107">
        <v>0.99819999999999998</v>
      </c>
      <c r="G176" s="107">
        <v>1.8499999999999999E-2</v>
      </c>
    </row>
    <row r="177" spans="1:7">
      <c r="A177" s="616"/>
      <c r="B177" s="82" t="s">
        <v>803</v>
      </c>
      <c r="C177" s="82" t="s">
        <v>758</v>
      </c>
      <c r="D177" s="107">
        <v>1.0001</v>
      </c>
      <c r="E177" s="107">
        <v>2.5000000000000001E-3</v>
      </c>
      <c r="F177" s="107">
        <v>0.99829999999999997</v>
      </c>
      <c r="G177" s="107">
        <v>1.8499999999999999E-2</v>
      </c>
    </row>
    <row r="178" spans="1:7">
      <c r="A178" s="616"/>
      <c r="B178" s="82" t="s">
        <v>803</v>
      </c>
      <c r="C178" s="82" t="s">
        <v>759</v>
      </c>
      <c r="D178" s="107">
        <v>0.99890000000000001</v>
      </c>
      <c r="E178" s="107">
        <v>2.5000000000000001E-3</v>
      </c>
      <c r="F178" s="107">
        <v>0.9929</v>
      </c>
      <c r="G178" s="107">
        <v>1.84E-2</v>
      </c>
    </row>
    <row r="179" spans="1:7">
      <c r="A179" s="616"/>
      <c r="B179" s="82" t="s">
        <v>803</v>
      </c>
      <c r="C179" s="82" t="s">
        <v>760</v>
      </c>
      <c r="D179" s="107">
        <v>1.0046999999999999</v>
      </c>
      <c r="E179" s="107">
        <v>5.4999999999999997E-3</v>
      </c>
      <c r="F179" s="107">
        <v>0.63070000000000004</v>
      </c>
      <c r="G179" s="107">
        <v>1.2500000000000001E-2</v>
      </c>
    </row>
    <row r="180" spans="1:7">
      <c r="A180" s="616"/>
      <c r="B180" s="82" t="s">
        <v>803</v>
      </c>
      <c r="C180" s="82" t="s">
        <v>761</v>
      </c>
      <c r="D180" s="107">
        <v>1</v>
      </c>
      <c r="E180" s="107">
        <v>2.5000000000000001E-3</v>
      </c>
      <c r="F180" s="107">
        <v>0.99509999999999998</v>
      </c>
      <c r="G180" s="107">
        <v>1.8599999999999998E-2</v>
      </c>
    </row>
    <row r="181" spans="1:7">
      <c r="A181" s="616"/>
      <c r="B181" s="82" t="s">
        <v>803</v>
      </c>
      <c r="C181" s="82" t="s">
        <v>14</v>
      </c>
      <c r="D181" s="107">
        <v>0.97440000000000004</v>
      </c>
      <c r="E181" s="107">
        <v>8.8000000000000005E-3</v>
      </c>
      <c r="F181" s="107">
        <v>0.47560000000000002</v>
      </c>
      <c r="G181" s="107">
        <v>1.23E-2</v>
      </c>
    </row>
    <row r="182" spans="1:7">
      <c r="A182" s="616"/>
      <c r="B182" s="82" t="s">
        <v>803</v>
      </c>
      <c r="C182" s="82" t="s">
        <v>16</v>
      </c>
      <c r="D182" s="107">
        <v>0.98209999999999997</v>
      </c>
      <c r="E182" s="107">
        <v>7.1999999999999998E-3</v>
      </c>
      <c r="F182" s="107">
        <v>0.4617</v>
      </c>
      <c r="G182" s="107">
        <v>1.1900000000000001E-2</v>
      </c>
    </row>
    <row r="183" spans="1:7">
      <c r="A183" s="616"/>
      <c r="B183" s="82" t="s">
        <v>803</v>
      </c>
      <c r="C183" s="82" t="s">
        <v>18</v>
      </c>
      <c r="D183" s="107">
        <v>0.98009999999999997</v>
      </c>
      <c r="E183" s="107">
        <v>7.7999999999999996E-3</v>
      </c>
      <c r="F183" s="107">
        <v>0.46450000000000002</v>
      </c>
      <c r="G183" s="107">
        <v>1.21E-2</v>
      </c>
    </row>
    <row r="184" spans="1:7">
      <c r="A184" s="616"/>
      <c r="B184" s="82" t="s">
        <v>802</v>
      </c>
      <c r="C184" s="82" t="s">
        <v>751</v>
      </c>
      <c r="D184" s="107">
        <v>0.99950000000000006</v>
      </c>
      <c r="E184" s="107">
        <v>2.5000000000000001E-3</v>
      </c>
      <c r="F184" s="107">
        <v>0.99570000000000003</v>
      </c>
      <c r="G184" s="107">
        <v>1.8599999999999998E-2</v>
      </c>
    </row>
    <row r="185" spans="1:7">
      <c r="A185" s="616"/>
      <c r="B185" s="82" t="s">
        <v>802</v>
      </c>
      <c r="C185" s="82" t="s">
        <v>753</v>
      </c>
      <c r="D185" s="107">
        <v>0.99980000000000002</v>
      </c>
      <c r="E185" s="107">
        <v>2.5000000000000001E-3</v>
      </c>
      <c r="F185" s="107">
        <v>0.99309999999999998</v>
      </c>
      <c r="G185" s="107">
        <v>1.84E-2</v>
      </c>
    </row>
    <row r="186" spans="1:7">
      <c r="A186" s="616"/>
      <c r="B186" s="82" t="s">
        <v>802</v>
      </c>
      <c r="C186" s="82" t="s">
        <v>752</v>
      </c>
      <c r="D186" s="107">
        <v>1.0002</v>
      </c>
      <c r="E186" s="107">
        <v>2.3999999999999998E-3</v>
      </c>
      <c r="F186" s="107">
        <v>0.9738</v>
      </c>
      <c r="G186" s="107">
        <v>1.8499999999999999E-2</v>
      </c>
    </row>
    <row r="187" spans="1:7">
      <c r="A187" s="616"/>
      <c r="B187" s="82" t="s">
        <v>802</v>
      </c>
      <c r="C187" s="82" t="s">
        <v>754</v>
      </c>
      <c r="D187" s="107">
        <v>0.99880000000000002</v>
      </c>
      <c r="E187" s="107">
        <v>2.5000000000000001E-3</v>
      </c>
      <c r="F187" s="107">
        <v>0.98939999999999995</v>
      </c>
      <c r="G187" s="107">
        <v>1.8499999999999999E-2</v>
      </c>
    </row>
    <row r="188" spans="1:7">
      <c r="A188" s="616"/>
      <c r="B188" s="82" t="s">
        <v>802</v>
      </c>
      <c r="C188" s="82" t="s">
        <v>755</v>
      </c>
      <c r="D188" s="107">
        <v>1.0002</v>
      </c>
      <c r="E188" s="107">
        <v>2.5000000000000001E-3</v>
      </c>
      <c r="F188" s="107">
        <v>0.98680000000000001</v>
      </c>
      <c r="G188" s="107">
        <v>1.8499999999999999E-2</v>
      </c>
    </row>
    <row r="189" spans="1:7">
      <c r="A189" s="616"/>
      <c r="B189" s="82" t="s">
        <v>802</v>
      </c>
      <c r="C189" s="82" t="s">
        <v>756</v>
      </c>
      <c r="D189" s="107">
        <v>0.99970000000000003</v>
      </c>
      <c r="E189" s="107">
        <v>2.5000000000000001E-3</v>
      </c>
      <c r="F189" s="107">
        <v>0.99109999999999998</v>
      </c>
      <c r="G189" s="107">
        <v>1.8499999999999999E-2</v>
      </c>
    </row>
    <row r="190" spans="1:7">
      <c r="A190" s="616"/>
      <c r="B190" s="82" t="s">
        <v>802</v>
      </c>
      <c r="C190" s="82" t="s">
        <v>757</v>
      </c>
      <c r="D190" s="107">
        <v>0.99929999999999997</v>
      </c>
      <c r="E190" s="107">
        <v>2.5000000000000001E-3</v>
      </c>
      <c r="F190" s="107">
        <v>0.99570000000000003</v>
      </c>
      <c r="G190" s="107">
        <v>1.8499999999999999E-2</v>
      </c>
    </row>
    <row r="191" spans="1:7">
      <c r="A191" s="616"/>
      <c r="B191" s="82" t="s">
        <v>802</v>
      </c>
      <c r="C191" s="82" t="s">
        <v>758</v>
      </c>
      <c r="D191" s="107">
        <v>0.99970000000000003</v>
      </c>
      <c r="E191" s="107">
        <v>2.5000000000000001E-3</v>
      </c>
      <c r="F191" s="107">
        <v>0.99539999999999995</v>
      </c>
      <c r="G191" s="107">
        <v>1.8599999999999998E-2</v>
      </c>
    </row>
    <row r="192" spans="1:7">
      <c r="A192" s="616"/>
      <c r="B192" s="82" t="s">
        <v>802</v>
      </c>
      <c r="C192" s="82" t="s">
        <v>759</v>
      </c>
      <c r="D192" s="107">
        <v>0.99839999999999995</v>
      </c>
      <c r="E192" s="107">
        <v>2.5000000000000001E-3</v>
      </c>
      <c r="F192" s="107">
        <v>0.99060000000000004</v>
      </c>
      <c r="G192" s="107">
        <v>1.8499999999999999E-2</v>
      </c>
    </row>
    <row r="193" spans="1:7">
      <c r="A193" s="616"/>
      <c r="B193" s="82" t="s">
        <v>802</v>
      </c>
      <c r="C193" s="82" t="s">
        <v>760</v>
      </c>
      <c r="D193" s="107">
        <v>1.004</v>
      </c>
      <c r="E193" s="107">
        <v>5.4999999999999997E-3</v>
      </c>
      <c r="F193" s="107">
        <v>0.622</v>
      </c>
      <c r="G193" s="107">
        <v>1.2500000000000001E-2</v>
      </c>
    </row>
    <row r="194" spans="1:7">
      <c r="A194" s="616"/>
      <c r="B194" s="82" t="s">
        <v>802</v>
      </c>
      <c r="C194" s="82" t="s">
        <v>761</v>
      </c>
      <c r="D194" s="107">
        <v>0.99970000000000003</v>
      </c>
      <c r="E194" s="107">
        <v>2.5000000000000001E-3</v>
      </c>
      <c r="F194" s="107">
        <v>0.99250000000000005</v>
      </c>
      <c r="G194" s="107">
        <v>1.8599999999999998E-2</v>
      </c>
    </row>
    <row r="195" spans="1:7">
      <c r="A195" s="616"/>
      <c r="B195" s="82" t="s">
        <v>802</v>
      </c>
      <c r="C195" s="82" t="s">
        <v>14</v>
      </c>
      <c r="D195" s="107">
        <v>0.97470000000000001</v>
      </c>
      <c r="E195" s="107">
        <v>8.8000000000000005E-3</v>
      </c>
      <c r="F195" s="107">
        <v>0.4778</v>
      </c>
      <c r="G195" s="107">
        <v>1.23E-2</v>
      </c>
    </row>
    <row r="196" spans="1:7">
      <c r="A196" s="616"/>
      <c r="B196" s="82" t="s">
        <v>802</v>
      </c>
      <c r="C196" s="82" t="s">
        <v>16</v>
      </c>
      <c r="D196" s="107">
        <v>0.98240000000000005</v>
      </c>
      <c r="E196" s="107">
        <v>7.1999999999999998E-3</v>
      </c>
      <c r="F196" s="107">
        <v>0.46310000000000001</v>
      </c>
      <c r="G196" s="107">
        <v>1.1900000000000001E-2</v>
      </c>
    </row>
    <row r="197" spans="1:7">
      <c r="A197" s="616"/>
      <c r="B197" s="82" t="s">
        <v>802</v>
      </c>
      <c r="C197" s="82" t="s">
        <v>18</v>
      </c>
      <c r="D197" s="107">
        <v>0.98050000000000004</v>
      </c>
      <c r="E197" s="107">
        <v>7.7000000000000002E-3</v>
      </c>
      <c r="F197" s="107">
        <v>0.46550000000000002</v>
      </c>
      <c r="G197" s="107">
        <v>1.21E-2</v>
      </c>
    </row>
    <row r="198" spans="1:7">
      <c r="A198" s="616"/>
      <c r="B198" s="82" t="s">
        <v>751</v>
      </c>
      <c r="C198" s="82" t="s">
        <v>753</v>
      </c>
      <c r="D198" s="107">
        <v>1</v>
      </c>
      <c r="E198" s="107">
        <v>2.5000000000000001E-3</v>
      </c>
      <c r="F198" s="107">
        <v>0.99450000000000005</v>
      </c>
      <c r="G198" s="107">
        <v>1.84E-2</v>
      </c>
    </row>
    <row r="199" spans="1:7">
      <c r="A199" s="616"/>
      <c r="B199" s="82" t="s">
        <v>751</v>
      </c>
      <c r="C199" s="82" t="s">
        <v>752</v>
      </c>
      <c r="D199" s="107">
        <v>1.0005999999999999</v>
      </c>
      <c r="E199" s="107">
        <v>2.3999999999999998E-3</v>
      </c>
      <c r="F199" s="107">
        <v>0.97489999999999999</v>
      </c>
      <c r="G199" s="107">
        <v>1.84E-2</v>
      </c>
    </row>
    <row r="200" spans="1:7">
      <c r="A200" s="616"/>
      <c r="B200" s="82" t="s">
        <v>751</v>
      </c>
      <c r="C200" s="82" t="s">
        <v>754</v>
      </c>
      <c r="D200" s="107">
        <v>0.999</v>
      </c>
      <c r="E200" s="107">
        <v>2.5000000000000001E-3</v>
      </c>
      <c r="F200" s="107">
        <v>0.99070000000000003</v>
      </c>
      <c r="G200" s="107">
        <v>1.8499999999999999E-2</v>
      </c>
    </row>
    <row r="201" spans="1:7">
      <c r="A201" s="616"/>
      <c r="B201" s="82" t="s">
        <v>751</v>
      </c>
      <c r="C201" s="82" t="s">
        <v>755</v>
      </c>
      <c r="D201" s="107">
        <v>1.0004</v>
      </c>
      <c r="E201" s="107">
        <v>2.3999999999999998E-3</v>
      </c>
      <c r="F201" s="107">
        <v>0.98799999999999999</v>
      </c>
      <c r="G201" s="107">
        <v>1.8499999999999999E-2</v>
      </c>
    </row>
    <row r="202" spans="1:7">
      <c r="A202" s="616"/>
      <c r="B202" s="82" t="s">
        <v>751</v>
      </c>
      <c r="C202" s="82" t="s">
        <v>756</v>
      </c>
      <c r="D202" s="107">
        <v>1</v>
      </c>
      <c r="E202" s="107">
        <v>2.5000000000000001E-3</v>
      </c>
      <c r="F202" s="107">
        <v>0.99239999999999995</v>
      </c>
      <c r="G202" s="107">
        <v>1.84E-2</v>
      </c>
    </row>
    <row r="203" spans="1:7">
      <c r="A203" s="616"/>
      <c r="B203" s="82" t="s">
        <v>751</v>
      </c>
      <c r="C203" s="82" t="s">
        <v>757</v>
      </c>
      <c r="D203" s="107">
        <v>0.99939999999999996</v>
      </c>
      <c r="E203" s="107">
        <v>2.5000000000000001E-3</v>
      </c>
      <c r="F203" s="107">
        <v>0.99690000000000001</v>
      </c>
      <c r="G203" s="107">
        <v>1.8499999999999999E-2</v>
      </c>
    </row>
    <row r="204" spans="1:7">
      <c r="A204" s="616"/>
      <c r="B204" s="82" t="s">
        <v>751</v>
      </c>
      <c r="C204" s="82" t="s">
        <v>758</v>
      </c>
      <c r="D204" s="107">
        <v>0.99990000000000001</v>
      </c>
      <c r="E204" s="107">
        <v>2.5000000000000001E-3</v>
      </c>
      <c r="F204" s="107">
        <v>0.99670000000000003</v>
      </c>
      <c r="G204" s="107">
        <v>1.8499999999999999E-2</v>
      </c>
    </row>
    <row r="205" spans="1:7">
      <c r="A205" s="616"/>
      <c r="B205" s="82" t="s">
        <v>751</v>
      </c>
      <c r="C205" s="82" t="s">
        <v>759</v>
      </c>
      <c r="D205" s="107">
        <v>0.99870000000000003</v>
      </c>
      <c r="E205" s="107">
        <v>2.5000000000000001E-3</v>
      </c>
      <c r="F205" s="107">
        <v>0.99170000000000003</v>
      </c>
      <c r="G205" s="107">
        <v>1.8499999999999999E-2</v>
      </c>
    </row>
    <row r="206" spans="1:7">
      <c r="A206" s="616"/>
      <c r="B206" s="82" t="s">
        <v>751</v>
      </c>
      <c r="C206" s="82" t="s">
        <v>760</v>
      </c>
      <c r="D206" s="107">
        <v>1.0048999999999999</v>
      </c>
      <c r="E206" s="107">
        <v>5.4999999999999997E-3</v>
      </c>
      <c r="F206" s="107">
        <v>0.62629999999999997</v>
      </c>
      <c r="G206" s="107">
        <v>1.2500000000000001E-2</v>
      </c>
    </row>
    <row r="207" spans="1:7">
      <c r="A207" s="616"/>
      <c r="B207" s="82" t="s">
        <v>751</v>
      </c>
      <c r="C207" s="82" t="s">
        <v>761</v>
      </c>
      <c r="D207" s="107">
        <v>0.99990000000000001</v>
      </c>
      <c r="E207" s="107">
        <v>2.5000000000000001E-3</v>
      </c>
      <c r="F207" s="107">
        <v>0.99380000000000002</v>
      </c>
      <c r="G207" s="107">
        <v>1.8599999999999998E-2</v>
      </c>
    </row>
    <row r="208" spans="1:7">
      <c r="A208" s="616"/>
      <c r="B208" s="82" t="s">
        <v>751</v>
      </c>
      <c r="C208" s="82" t="s">
        <v>14</v>
      </c>
      <c r="D208" s="107">
        <v>0.97440000000000004</v>
      </c>
      <c r="E208" s="107">
        <v>8.8000000000000005E-3</v>
      </c>
      <c r="F208" s="107">
        <v>0.47620000000000001</v>
      </c>
      <c r="G208" s="107">
        <v>1.23E-2</v>
      </c>
    </row>
    <row r="209" spans="1:7">
      <c r="A209" s="616"/>
      <c r="B209" s="82" t="s">
        <v>751</v>
      </c>
      <c r="C209" s="82" t="s">
        <v>16</v>
      </c>
      <c r="D209" s="107">
        <v>0.98250000000000004</v>
      </c>
      <c r="E209" s="107">
        <v>7.1999999999999998E-3</v>
      </c>
      <c r="F209" s="107">
        <v>0.46210000000000001</v>
      </c>
      <c r="G209" s="107">
        <v>1.18E-2</v>
      </c>
    </row>
    <row r="210" spans="1:7">
      <c r="A210" s="616"/>
      <c r="B210" s="82" t="s">
        <v>751</v>
      </c>
      <c r="C210" s="82" t="s">
        <v>18</v>
      </c>
      <c r="D210" s="107">
        <v>0.98019999999999996</v>
      </c>
      <c r="E210" s="107">
        <v>7.7999999999999996E-3</v>
      </c>
      <c r="F210" s="107">
        <v>0.46489999999999998</v>
      </c>
      <c r="G210" s="107">
        <v>1.21E-2</v>
      </c>
    </row>
    <row r="211" spans="1:7">
      <c r="A211" s="616"/>
      <c r="B211" s="82" t="s">
        <v>753</v>
      </c>
      <c r="C211" s="82" t="s">
        <v>754</v>
      </c>
      <c r="D211" s="107">
        <v>0.99929999999999997</v>
      </c>
      <c r="E211" s="107">
        <v>2.5000000000000001E-3</v>
      </c>
      <c r="F211" s="107">
        <v>0.98799999999999999</v>
      </c>
      <c r="G211" s="107">
        <v>1.83E-2</v>
      </c>
    </row>
    <row r="212" spans="1:7">
      <c r="A212" s="616"/>
      <c r="B212" s="82" t="s">
        <v>753</v>
      </c>
      <c r="C212" s="82" t="s">
        <v>755</v>
      </c>
      <c r="D212" s="107">
        <v>1.0007999999999999</v>
      </c>
      <c r="E212" s="107">
        <v>2.3999999999999998E-3</v>
      </c>
      <c r="F212" s="107">
        <v>0.98560000000000003</v>
      </c>
      <c r="G212" s="107">
        <v>1.83E-2</v>
      </c>
    </row>
    <row r="213" spans="1:7">
      <c r="A213" s="616"/>
      <c r="B213" s="82" t="s">
        <v>753</v>
      </c>
      <c r="C213" s="82" t="s">
        <v>756</v>
      </c>
      <c r="D213" s="107">
        <v>1.0003</v>
      </c>
      <c r="E213" s="107">
        <v>2.3999999999999998E-3</v>
      </c>
      <c r="F213" s="107">
        <v>0.99009999999999998</v>
      </c>
      <c r="G213" s="107">
        <v>1.83E-2</v>
      </c>
    </row>
    <row r="214" spans="1:7">
      <c r="A214" s="616"/>
      <c r="B214" s="82" t="s">
        <v>753</v>
      </c>
      <c r="C214" s="82" t="s">
        <v>757</v>
      </c>
      <c r="D214" s="107">
        <v>0.99980000000000002</v>
      </c>
      <c r="E214" s="107">
        <v>2.5000000000000001E-3</v>
      </c>
      <c r="F214" s="107">
        <v>0.99439999999999995</v>
      </c>
      <c r="G214" s="107">
        <v>1.83E-2</v>
      </c>
    </row>
    <row r="215" spans="1:7">
      <c r="A215" s="616"/>
      <c r="B215" s="82" t="s">
        <v>753</v>
      </c>
      <c r="C215" s="82" t="s">
        <v>758</v>
      </c>
      <c r="D215" s="107">
        <v>1.0002</v>
      </c>
      <c r="E215" s="107">
        <v>2.5000000000000001E-3</v>
      </c>
      <c r="F215" s="107">
        <v>0.99450000000000005</v>
      </c>
      <c r="G215" s="107">
        <v>1.84E-2</v>
      </c>
    </row>
    <row r="216" spans="1:7">
      <c r="A216" s="616"/>
      <c r="B216" s="82" t="s">
        <v>753</v>
      </c>
      <c r="C216" s="82" t="s">
        <v>759</v>
      </c>
      <c r="D216" s="107">
        <v>0.99919999999999998</v>
      </c>
      <c r="E216" s="107">
        <v>2.3999999999999998E-3</v>
      </c>
      <c r="F216" s="107">
        <v>0.9889</v>
      </c>
      <c r="G216" s="107">
        <v>1.83E-2</v>
      </c>
    </row>
    <row r="217" spans="1:7">
      <c r="A217" s="616"/>
      <c r="B217" s="82" t="s">
        <v>753</v>
      </c>
      <c r="C217" s="82" t="s">
        <v>760</v>
      </c>
      <c r="D217" s="107">
        <v>1.0057</v>
      </c>
      <c r="E217" s="107">
        <v>5.4999999999999997E-3</v>
      </c>
      <c r="F217" s="107">
        <v>0.62060000000000004</v>
      </c>
      <c r="G217" s="107">
        <v>1.2500000000000001E-2</v>
      </c>
    </row>
    <row r="218" spans="1:7">
      <c r="A218" s="616"/>
      <c r="B218" s="82" t="s">
        <v>753</v>
      </c>
      <c r="C218" s="82" t="s">
        <v>761</v>
      </c>
      <c r="D218" s="107">
        <v>1.0002</v>
      </c>
      <c r="E218" s="107">
        <v>2.5000000000000001E-3</v>
      </c>
      <c r="F218" s="107">
        <v>0.99119999999999997</v>
      </c>
      <c r="G218" s="107">
        <v>1.84E-2</v>
      </c>
    </row>
    <row r="219" spans="1:7">
      <c r="A219" s="616"/>
      <c r="B219" s="82" t="s">
        <v>753</v>
      </c>
      <c r="C219" s="82" t="s">
        <v>14</v>
      </c>
      <c r="D219" s="107">
        <v>0.97450000000000003</v>
      </c>
      <c r="E219" s="107">
        <v>8.8000000000000005E-3</v>
      </c>
      <c r="F219" s="107">
        <v>0.47710000000000002</v>
      </c>
      <c r="G219" s="107">
        <v>1.23E-2</v>
      </c>
    </row>
    <row r="220" spans="1:7">
      <c r="A220" s="616"/>
      <c r="B220" s="82" t="s">
        <v>753</v>
      </c>
      <c r="C220" s="82" t="s">
        <v>16</v>
      </c>
      <c r="D220" s="107">
        <v>0.98199999999999998</v>
      </c>
      <c r="E220" s="107">
        <v>7.3000000000000001E-3</v>
      </c>
      <c r="F220" s="107">
        <v>0.46350000000000002</v>
      </c>
      <c r="G220" s="107">
        <v>1.18E-2</v>
      </c>
    </row>
    <row r="221" spans="1:7">
      <c r="A221" s="616"/>
      <c r="B221" s="82" t="s">
        <v>753</v>
      </c>
      <c r="C221" s="82" t="s">
        <v>18</v>
      </c>
      <c r="D221" s="107">
        <v>0.98009999999999997</v>
      </c>
      <c r="E221" s="107">
        <v>7.7000000000000002E-3</v>
      </c>
      <c r="F221" s="107">
        <v>0.4657</v>
      </c>
      <c r="G221" s="107">
        <v>1.21E-2</v>
      </c>
    </row>
    <row r="222" spans="1:7">
      <c r="A222" s="616"/>
      <c r="B222" s="82" t="s">
        <v>752</v>
      </c>
      <c r="C222" s="82" t="s">
        <v>753</v>
      </c>
      <c r="D222" s="107">
        <v>1.0009999999999999</v>
      </c>
      <c r="E222" s="107">
        <v>2.3999999999999998E-3</v>
      </c>
      <c r="F222" s="107">
        <v>0.97230000000000005</v>
      </c>
      <c r="G222" s="107">
        <v>1.83E-2</v>
      </c>
    </row>
    <row r="223" spans="1:7">
      <c r="A223" s="616"/>
      <c r="B223" s="82" t="s">
        <v>752</v>
      </c>
      <c r="C223" s="82" t="s">
        <v>754</v>
      </c>
      <c r="D223" s="107">
        <v>0.99990000000000001</v>
      </c>
      <c r="E223" s="107">
        <v>2.3999999999999998E-3</v>
      </c>
      <c r="F223" s="107">
        <v>0.96830000000000005</v>
      </c>
      <c r="G223" s="107">
        <v>1.83E-2</v>
      </c>
    </row>
    <row r="224" spans="1:7">
      <c r="A224" s="616"/>
      <c r="B224" s="82" t="s">
        <v>752</v>
      </c>
      <c r="C224" s="82" t="s">
        <v>755</v>
      </c>
      <c r="D224" s="107">
        <v>1.0014000000000001</v>
      </c>
      <c r="E224" s="107">
        <v>2.3999999999999998E-3</v>
      </c>
      <c r="F224" s="107">
        <v>0.96530000000000005</v>
      </c>
      <c r="G224" s="107">
        <v>1.84E-2</v>
      </c>
    </row>
    <row r="225" spans="1:7">
      <c r="A225" s="616"/>
      <c r="B225" s="82" t="s">
        <v>752</v>
      </c>
      <c r="C225" s="82" t="s">
        <v>756</v>
      </c>
      <c r="D225" s="107">
        <v>1.0007999999999999</v>
      </c>
      <c r="E225" s="107">
        <v>2.3999999999999998E-3</v>
      </c>
      <c r="F225" s="107">
        <v>0.97019999999999995</v>
      </c>
      <c r="G225" s="107">
        <v>1.83E-2</v>
      </c>
    </row>
    <row r="226" spans="1:7">
      <c r="A226" s="616"/>
      <c r="B226" s="82" t="s">
        <v>752</v>
      </c>
      <c r="C226" s="82" t="s">
        <v>757</v>
      </c>
      <c r="D226" s="107">
        <v>1.0004</v>
      </c>
      <c r="E226" s="107">
        <v>2.3999999999999998E-3</v>
      </c>
      <c r="F226" s="107">
        <v>0.9748</v>
      </c>
      <c r="G226" s="107">
        <v>1.84E-2</v>
      </c>
    </row>
    <row r="227" spans="1:7">
      <c r="A227" s="616"/>
      <c r="B227" s="82" t="s">
        <v>752</v>
      </c>
      <c r="C227" s="82" t="s">
        <v>758</v>
      </c>
      <c r="D227" s="107">
        <v>1.0006999999999999</v>
      </c>
      <c r="E227" s="107">
        <v>2.3999999999999998E-3</v>
      </c>
      <c r="F227" s="107">
        <v>0.97470000000000001</v>
      </c>
      <c r="G227" s="107">
        <v>1.84E-2</v>
      </c>
    </row>
    <row r="228" spans="1:7">
      <c r="A228" s="616"/>
      <c r="B228" s="82" t="s">
        <v>752</v>
      </c>
      <c r="C228" s="82" t="s">
        <v>759</v>
      </c>
      <c r="D228" s="107">
        <v>0.99950000000000006</v>
      </c>
      <c r="E228" s="107">
        <v>2.3999999999999998E-3</v>
      </c>
      <c r="F228" s="107">
        <v>0.96919999999999995</v>
      </c>
      <c r="G228" s="107">
        <v>1.84E-2</v>
      </c>
    </row>
    <row r="229" spans="1:7">
      <c r="A229" s="616"/>
      <c r="B229" s="82" t="s">
        <v>752</v>
      </c>
      <c r="C229" s="82" t="s">
        <v>760</v>
      </c>
      <c r="D229" s="107">
        <v>1.0078</v>
      </c>
      <c r="E229" s="107">
        <v>6.3E-3</v>
      </c>
      <c r="F229" s="107">
        <v>0.56799999999999995</v>
      </c>
      <c r="G229" s="107">
        <v>1.24E-2</v>
      </c>
    </row>
    <row r="230" spans="1:7">
      <c r="A230" s="616"/>
      <c r="B230" s="82" t="s">
        <v>752</v>
      </c>
      <c r="C230" s="82" t="s">
        <v>761</v>
      </c>
      <c r="D230" s="107">
        <v>1.0005999999999999</v>
      </c>
      <c r="E230" s="107">
        <v>2.3999999999999998E-3</v>
      </c>
      <c r="F230" s="107">
        <v>0.97160000000000002</v>
      </c>
      <c r="G230" s="107">
        <v>1.8499999999999999E-2</v>
      </c>
    </row>
    <row r="231" spans="1:7">
      <c r="A231" s="616"/>
      <c r="B231" s="82" t="s">
        <v>752</v>
      </c>
      <c r="C231" s="82" t="s">
        <v>14</v>
      </c>
      <c r="D231" s="107">
        <v>0.97389999999999999</v>
      </c>
      <c r="E231" s="107">
        <v>8.8999999999999999E-3</v>
      </c>
      <c r="F231" s="107">
        <v>0.48730000000000001</v>
      </c>
      <c r="G231" s="107">
        <v>1.23E-2</v>
      </c>
    </row>
    <row r="232" spans="1:7">
      <c r="A232" s="616"/>
      <c r="B232" s="82" t="s">
        <v>752</v>
      </c>
      <c r="C232" s="82" t="s">
        <v>16</v>
      </c>
      <c r="D232" s="107">
        <v>0.9829</v>
      </c>
      <c r="E232" s="107">
        <v>7.4000000000000003E-3</v>
      </c>
      <c r="F232" s="107">
        <v>0.47289999999999999</v>
      </c>
      <c r="G232" s="107">
        <v>1.18E-2</v>
      </c>
    </row>
    <row r="233" spans="1:7">
      <c r="A233" s="616"/>
      <c r="B233" s="82" t="s">
        <v>752</v>
      </c>
      <c r="C233" s="82" t="s">
        <v>18</v>
      </c>
      <c r="D233" s="107">
        <v>0.98040000000000005</v>
      </c>
      <c r="E233" s="107">
        <v>7.6E-3</v>
      </c>
      <c r="F233" s="107">
        <v>0.4753</v>
      </c>
      <c r="G233" s="107">
        <v>1.21E-2</v>
      </c>
    </row>
    <row r="234" spans="1:7">
      <c r="A234" s="616"/>
      <c r="B234" s="82" t="s">
        <v>754</v>
      </c>
      <c r="C234" s="82" t="s">
        <v>755</v>
      </c>
      <c r="D234" s="107">
        <v>0.99970000000000003</v>
      </c>
      <c r="E234" s="107">
        <v>2.3999999999999998E-3</v>
      </c>
      <c r="F234" s="107">
        <v>0.98150000000000004</v>
      </c>
      <c r="G234" s="107">
        <v>1.84E-2</v>
      </c>
    </row>
    <row r="235" spans="1:7">
      <c r="A235" s="616"/>
      <c r="B235" s="82" t="s">
        <v>754</v>
      </c>
      <c r="C235" s="82" t="s">
        <v>756</v>
      </c>
      <c r="D235" s="107">
        <v>0.99919999999999998</v>
      </c>
      <c r="E235" s="107">
        <v>2.5000000000000001E-3</v>
      </c>
      <c r="F235" s="107">
        <v>0.98580000000000001</v>
      </c>
      <c r="G235" s="107">
        <v>1.84E-2</v>
      </c>
    </row>
    <row r="236" spans="1:7">
      <c r="A236" s="616"/>
      <c r="B236" s="82" t="s">
        <v>754</v>
      </c>
      <c r="C236" s="82" t="s">
        <v>757</v>
      </c>
      <c r="D236" s="107">
        <v>0.99870000000000003</v>
      </c>
      <c r="E236" s="107">
        <v>2.5000000000000001E-3</v>
      </c>
      <c r="F236" s="107">
        <v>0.99060000000000004</v>
      </c>
      <c r="G236" s="107">
        <v>1.84E-2</v>
      </c>
    </row>
    <row r="237" spans="1:7">
      <c r="A237" s="616"/>
      <c r="B237" s="82" t="s">
        <v>754</v>
      </c>
      <c r="C237" s="82" t="s">
        <v>758</v>
      </c>
      <c r="D237" s="107">
        <v>0.99919999999999998</v>
      </c>
      <c r="E237" s="107">
        <v>2.5000000000000001E-3</v>
      </c>
      <c r="F237" s="107">
        <v>0.99029999999999996</v>
      </c>
      <c r="G237" s="107">
        <v>1.8499999999999999E-2</v>
      </c>
    </row>
    <row r="238" spans="1:7">
      <c r="A238" s="616"/>
      <c r="B238" s="82" t="s">
        <v>754</v>
      </c>
      <c r="C238" s="82" t="s">
        <v>759</v>
      </c>
      <c r="D238" s="107">
        <v>0.998</v>
      </c>
      <c r="E238" s="107">
        <v>2.5000000000000001E-3</v>
      </c>
      <c r="F238" s="107">
        <v>0.98519999999999996</v>
      </c>
      <c r="G238" s="107">
        <v>1.84E-2</v>
      </c>
    </row>
    <row r="239" spans="1:7">
      <c r="A239" s="616"/>
      <c r="B239" s="82" t="s">
        <v>754</v>
      </c>
      <c r="C239" s="82" t="s">
        <v>760</v>
      </c>
      <c r="D239" s="107">
        <v>1.0037</v>
      </c>
      <c r="E239" s="107">
        <v>5.5999999999999999E-3</v>
      </c>
      <c r="F239" s="107">
        <v>0.60829999999999995</v>
      </c>
      <c r="G239" s="107">
        <v>1.2500000000000001E-2</v>
      </c>
    </row>
    <row r="240" spans="1:7">
      <c r="A240" s="616"/>
      <c r="B240" s="82" t="s">
        <v>754</v>
      </c>
      <c r="C240" s="82" t="s">
        <v>761</v>
      </c>
      <c r="D240" s="107">
        <v>0.99919999999999998</v>
      </c>
      <c r="E240" s="107">
        <v>2.5000000000000001E-3</v>
      </c>
      <c r="F240" s="107">
        <v>0.98740000000000006</v>
      </c>
      <c r="G240" s="107">
        <v>1.8599999999999998E-2</v>
      </c>
    </row>
    <row r="241" spans="1:7">
      <c r="A241" s="616"/>
      <c r="B241" s="82" t="s">
        <v>754</v>
      </c>
      <c r="C241" s="82" t="s">
        <v>14</v>
      </c>
      <c r="D241" s="107">
        <v>0.97660000000000002</v>
      </c>
      <c r="E241" s="107">
        <v>8.6999999999999994E-3</v>
      </c>
      <c r="F241" s="107">
        <v>0.4788</v>
      </c>
      <c r="G241" s="107">
        <v>1.23E-2</v>
      </c>
    </row>
    <row r="242" spans="1:7">
      <c r="A242" s="616"/>
      <c r="B242" s="82" t="s">
        <v>754</v>
      </c>
      <c r="C242" s="82" t="s">
        <v>16</v>
      </c>
      <c r="D242" s="107">
        <v>0.98350000000000004</v>
      </c>
      <c r="E242" s="107">
        <v>7.3000000000000001E-3</v>
      </c>
      <c r="F242" s="107">
        <v>0.46510000000000001</v>
      </c>
      <c r="G242" s="107">
        <v>1.18E-2</v>
      </c>
    </row>
    <row r="243" spans="1:7">
      <c r="A243" s="616"/>
      <c r="B243" s="82" t="s">
        <v>754</v>
      </c>
      <c r="C243" s="82" t="s">
        <v>18</v>
      </c>
      <c r="D243" s="107">
        <v>0.98019999999999996</v>
      </c>
      <c r="E243" s="107">
        <v>7.7999999999999996E-3</v>
      </c>
      <c r="F243" s="107">
        <v>0.46820000000000001</v>
      </c>
      <c r="G243" s="107">
        <v>1.2E-2</v>
      </c>
    </row>
    <row r="244" spans="1:7">
      <c r="A244" s="616"/>
      <c r="B244" s="82" t="s">
        <v>755</v>
      </c>
      <c r="C244" s="82" t="s">
        <v>756</v>
      </c>
      <c r="D244" s="107">
        <v>1.0006999999999999</v>
      </c>
      <c r="E244" s="107">
        <v>2.3999999999999998E-3</v>
      </c>
      <c r="F244" s="107">
        <v>0.98329999999999995</v>
      </c>
      <c r="G244" s="107">
        <v>1.84E-2</v>
      </c>
    </row>
    <row r="245" spans="1:7">
      <c r="A245" s="616"/>
      <c r="B245" s="82" t="s">
        <v>755</v>
      </c>
      <c r="C245" s="82" t="s">
        <v>757</v>
      </c>
      <c r="D245" s="107">
        <v>1.0002</v>
      </c>
      <c r="E245" s="107">
        <v>2.5000000000000001E-3</v>
      </c>
      <c r="F245" s="107">
        <v>0.9879</v>
      </c>
      <c r="G245" s="107">
        <v>1.84E-2</v>
      </c>
    </row>
    <row r="246" spans="1:7">
      <c r="A246" s="616"/>
      <c r="B246" s="82" t="s">
        <v>755</v>
      </c>
      <c r="C246" s="82" t="s">
        <v>758</v>
      </c>
      <c r="D246" s="107">
        <v>1.0006999999999999</v>
      </c>
      <c r="E246" s="107">
        <v>2.3999999999999998E-3</v>
      </c>
      <c r="F246" s="107">
        <v>0.98780000000000001</v>
      </c>
      <c r="G246" s="107">
        <v>1.8499999999999999E-2</v>
      </c>
    </row>
    <row r="247" spans="1:7">
      <c r="A247" s="616"/>
      <c r="B247" s="82" t="s">
        <v>755</v>
      </c>
      <c r="C247" s="82" t="s">
        <v>759</v>
      </c>
      <c r="D247" s="107">
        <v>0.99939999999999996</v>
      </c>
      <c r="E247" s="107">
        <v>2.3999999999999998E-3</v>
      </c>
      <c r="F247" s="107">
        <v>0.98250000000000004</v>
      </c>
      <c r="G247" s="107">
        <v>1.84E-2</v>
      </c>
    </row>
    <row r="248" spans="1:7">
      <c r="A248" s="616"/>
      <c r="B248" s="82" t="s">
        <v>755</v>
      </c>
      <c r="C248" s="82" t="s">
        <v>760</v>
      </c>
      <c r="D248" s="107">
        <v>1.0076000000000001</v>
      </c>
      <c r="E248" s="107">
        <v>5.7999999999999996E-3</v>
      </c>
      <c r="F248" s="107">
        <v>0.60519999999999996</v>
      </c>
      <c r="G248" s="107">
        <v>1.2500000000000001E-2</v>
      </c>
    </row>
    <row r="249" spans="1:7">
      <c r="A249" s="616"/>
      <c r="B249" s="82" t="s">
        <v>755</v>
      </c>
      <c r="C249" s="82" t="s">
        <v>761</v>
      </c>
      <c r="D249" s="107">
        <v>1.0005999999999999</v>
      </c>
      <c r="E249" s="107">
        <v>2.3999999999999998E-3</v>
      </c>
      <c r="F249" s="107">
        <v>0.98480000000000001</v>
      </c>
      <c r="G249" s="107">
        <v>1.8499999999999999E-2</v>
      </c>
    </row>
    <row r="250" spans="1:7">
      <c r="A250" s="616"/>
      <c r="B250" s="82" t="s">
        <v>755</v>
      </c>
      <c r="C250" s="82" t="s">
        <v>14</v>
      </c>
      <c r="D250" s="107">
        <v>0.97450000000000003</v>
      </c>
      <c r="E250" s="107">
        <v>8.6999999999999994E-3</v>
      </c>
      <c r="F250" s="107">
        <v>0.47920000000000001</v>
      </c>
      <c r="G250" s="107">
        <v>1.2200000000000001E-2</v>
      </c>
    </row>
    <row r="251" spans="1:7">
      <c r="A251" s="616"/>
      <c r="B251" s="82" t="s">
        <v>755</v>
      </c>
      <c r="C251" s="82" t="s">
        <v>16</v>
      </c>
      <c r="D251" s="107">
        <v>0.9819</v>
      </c>
      <c r="E251" s="107">
        <v>7.1999999999999998E-3</v>
      </c>
      <c r="F251" s="107">
        <v>0.46579999999999999</v>
      </c>
      <c r="G251" s="107">
        <v>1.1900000000000001E-2</v>
      </c>
    </row>
    <row r="252" spans="1:7">
      <c r="A252" s="616"/>
      <c r="B252" s="82" t="s">
        <v>755</v>
      </c>
      <c r="C252" s="82" t="s">
        <v>18</v>
      </c>
      <c r="D252" s="107">
        <v>0.9798</v>
      </c>
      <c r="E252" s="107">
        <v>7.7999999999999996E-3</v>
      </c>
      <c r="F252" s="107">
        <v>0.46839999999999998</v>
      </c>
      <c r="G252" s="107">
        <v>1.2E-2</v>
      </c>
    </row>
    <row r="253" spans="1:7">
      <c r="A253" s="616"/>
      <c r="B253" s="82" t="s">
        <v>756</v>
      </c>
      <c r="C253" s="82" t="s">
        <v>757</v>
      </c>
      <c r="D253" s="107">
        <v>0.99970000000000003</v>
      </c>
      <c r="E253" s="107">
        <v>2.5000000000000001E-3</v>
      </c>
      <c r="F253" s="107">
        <v>0.99239999999999995</v>
      </c>
      <c r="G253" s="107">
        <v>1.84E-2</v>
      </c>
    </row>
    <row r="254" spans="1:7">
      <c r="A254" s="616"/>
      <c r="B254" s="82" t="s">
        <v>756</v>
      </c>
      <c r="C254" s="82" t="s">
        <v>758</v>
      </c>
      <c r="D254" s="107">
        <v>1.0002</v>
      </c>
      <c r="E254" s="107">
        <v>2.5000000000000001E-3</v>
      </c>
      <c r="F254" s="107">
        <v>0.99229999999999996</v>
      </c>
      <c r="G254" s="107">
        <v>1.84E-2</v>
      </c>
    </row>
    <row r="255" spans="1:7">
      <c r="A255" s="616"/>
      <c r="B255" s="82" t="s">
        <v>756</v>
      </c>
      <c r="C255" s="82" t="s">
        <v>759</v>
      </c>
      <c r="D255" s="107">
        <v>0.99909999999999999</v>
      </c>
      <c r="E255" s="107">
        <v>2.5000000000000001E-3</v>
      </c>
      <c r="F255" s="107">
        <v>0.9869</v>
      </c>
      <c r="G255" s="107">
        <v>1.84E-2</v>
      </c>
    </row>
    <row r="256" spans="1:7">
      <c r="A256" s="616"/>
      <c r="B256" s="82" t="s">
        <v>756</v>
      </c>
      <c r="C256" s="82" t="s">
        <v>760</v>
      </c>
      <c r="D256" s="107">
        <v>1.006</v>
      </c>
      <c r="E256" s="107">
        <v>5.5999999999999999E-3</v>
      </c>
      <c r="F256" s="107">
        <v>0.61450000000000005</v>
      </c>
      <c r="G256" s="107">
        <v>1.24E-2</v>
      </c>
    </row>
    <row r="257" spans="1:7">
      <c r="A257" s="616"/>
      <c r="B257" s="82" t="s">
        <v>756</v>
      </c>
      <c r="C257" s="82" t="s">
        <v>761</v>
      </c>
      <c r="D257" s="107">
        <v>1.0002</v>
      </c>
      <c r="E257" s="107">
        <v>2.5000000000000001E-3</v>
      </c>
      <c r="F257" s="107">
        <v>0.98909999999999998</v>
      </c>
      <c r="G257" s="107">
        <v>1.8499999999999999E-2</v>
      </c>
    </row>
    <row r="258" spans="1:7">
      <c r="A258" s="616"/>
      <c r="B258" s="82" t="s">
        <v>756</v>
      </c>
      <c r="C258" s="82" t="s">
        <v>14</v>
      </c>
      <c r="D258" s="107">
        <v>0.97370000000000001</v>
      </c>
      <c r="E258" s="107">
        <v>8.8000000000000005E-3</v>
      </c>
      <c r="F258" s="107">
        <v>0.47910000000000003</v>
      </c>
      <c r="G258" s="107">
        <v>1.23E-2</v>
      </c>
    </row>
    <row r="259" spans="1:7">
      <c r="A259" s="616"/>
      <c r="B259" s="82" t="s">
        <v>756</v>
      </c>
      <c r="C259" s="82" t="s">
        <v>16</v>
      </c>
      <c r="D259" s="107">
        <v>0.98199999999999998</v>
      </c>
      <c r="E259" s="107">
        <v>7.1999999999999998E-3</v>
      </c>
      <c r="F259" s="107">
        <v>0.4642</v>
      </c>
      <c r="G259" s="107">
        <v>1.18E-2</v>
      </c>
    </row>
    <row r="260" spans="1:7">
      <c r="A260" s="616"/>
      <c r="B260" s="82" t="s">
        <v>756</v>
      </c>
      <c r="C260" s="82" t="s">
        <v>18</v>
      </c>
      <c r="D260" s="107">
        <v>0.98019999999999996</v>
      </c>
      <c r="E260" s="107">
        <v>7.9000000000000008E-3</v>
      </c>
      <c r="F260" s="107">
        <v>0.46679999999999999</v>
      </c>
      <c r="G260" s="107">
        <v>1.2E-2</v>
      </c>
    </row>
    <row r="261" spans="1:7">
      <c r="A261" s="616"/>
      <c r="B261" s="82" t="s">
        <v>757</v>
      </c>
      <c r="C261" s="82" t="s">
        <v>758</v>
      </c>
      <c r="D261" s="107">
        <v>0.99960000000000004</v>
      </c>
      <c r="E261" s="107">
        <v>2.5000000000000001E-3</v>
      </c>
      <c r="F261" s="107">
        <v>0.99660000000000004</v>
      </c>
      <c r="G261" s="107">
        <v>1.8499999999999999E-2</v>
      </c>
    </row>
    <row r="262" spans="1:7">
      <c r="A262" s="616"/>
      <c r="B262" s="82" t="s">
        <v>757</v>
      </c>
      <c r="C262" s="82" t="s">
        <v>759</v>
      </c>
      <c r="D262" s="107">
        <v>0.99839999999999995</v>
      </c>
      <c r="E262" s="107">
        <v>2.5000000000000001E-3</v>
      </c>
      <c r="F262" s="107">
        <v>0.99160000000000004</v>
      </c>
      <c r="G262" s="107">
        <v>1.84E-2</v>
      </c>
    </row>
    <row r="263" spans="1:7">
      <c r="A263" s="616"/>
      <c r="B263" s="82" t="s">
        <v>757</v>
      </c>
      <c r="C263" s="82" t="s">
        <v>760</v>
      </c>
      <c r="D263" s="107">
        <v>1.0032000000000001</v>
      </c>
      <c r="E263" s="107">
        <v>5.4999999999999997E-3</v>
      </c>
      <c r="F263" s="107">
        <v>0.62580000000000002</v>
      </c>
      <c r="G263" s="107">
        <v>1.2500000000000001E-2</v>
      </c>
    </row>
    <row r="264" spans="1:7">
      <c r="A264" s="616"/>
      <c r="B264" s="82" t="s">
        <v>757</v>
      </c>
      <c r="C264" s="82" t="s">
        <v>761</v>
      </c>
      <c r="D264" s="107">
        <v>0.99960000000000004</v>
      </c>
      <c r="E264" s="107">
        <v>2.5000000000000001E-3</v>
      </c>
      <c r="F264" s="107">
        <v>0.99370000000000003</v>
      </c>
      <c r="G264" s="107">
        <v>1.8499999999999999E-2</v>
      </c>
    </row>
    <row r="265" spans="1:7">
      <c r="A265" s="616"/>
      <c r="B265" s="82" t="s">
        <v>757</v>
      </c>
      <c r="C265" s="82" t="s">
        <v>14</v>
      </c>
      <c r="D265" s="107">
        <v>0.97499999999999998</v>
      </c>
      <c r="E265" s="107">
        <v>8.8000000000000005E-3</v>
      </c>
      <c r="F265" s="107">
        <v>0.4768</v>
      </c>
      <c r="G265" s="107">
        <v>1.23E-2</v>
      </c>
    </row>
    <row r="266" spans="1:7">
      <c r="A266" s="616"/>
      <c r="B266" s="82" t="s">
        <v>757</v>
      </c>
      <c r="C266" s="82" t="s">
        <v>16</v>
      </c>
      <c r="D266" s="107">
        <v>0.9829</v>
      </c>
      <c r="E266" s="107">
        <v>7.1999999999999998E-3</v>
      </c>
      <c r="F266" s="107">
        <v>0.46210000000000001</v>
      </c>
      <c r="G266" s="107">
        <v>1.18E-2</v>
      </c>
    </row>
    <row r="267" spans="1:7">
      <c r="A267" s="616"/>
      <c r="B267" s="82" t="s">
        <v>757</v>
      </c>
      <c r="C267" s="82" t="s">
        <v>18</v>
      </c>
      <c r="D267" s="107">
        <v>0.97970000000000002</v>
      </c>
      <c r="E267" s="107">
        <v>7.7000000000000002E-3</v>
      </c>
      <c r="F267" s="107">
        <v>0.46560000000000001</v>
      </c>
      <c r="G267" s="107">
        <v>1.21E-2</v>
      </c>
    </row>
    <row r="268" spans="1:7">
      <c r="A268" s="616"/>
      <c r="B268" s="82" t="s">
        <v>758</v>
      </c>
      <c r="C268" s="82" t="s">
        <v>759</v>
      </c>
      <c r="D268" s="107">
        <v>0.99890000000000001</v>
      </c>
      <c r="E268" s="107">
        <v>2.5000000000000001E-3</v>
      </c>
      <c r="F268" s="107">
        <v>0.99129999999999996</v>
      </c>
      <c r="G268" s="107">
        <v>1.8499999999999999E-2</v>
      </c>
    </row>
    <row r="269" spans="1:7">
      <c r="A269" s="616"/>
      <c r="B269" s="82" t="s">
        <v>758</v>
      </c>
      <c r="C269" s="82" t="s">
        <v>760</v>
      </c>
      <c r="D269" s="107">
        <v>1.0055000000000001</v>
      </c>
      <c r="E269" s="107">
        <v>5.4999999999999997E-3</v>
      </c>
      <c r="F269" s="107">
        <v>0.626</v>
      </c>
      <c r="G269" s="107">
        <v>1.26E-2</v>
      </c>
    </row>
    <row r="270" spans="1:7">
      <c r="A270" s="616"/>
      <c r="B270" s="82" t="s">
        <v>758</v>
      </c>
      <c r="C270" s="82" t="s">
        <v>761</v>
      </c>
      <c r="D270" s="107">
        <v>1.0001</v>
      </c>
      <c r="E270" s="107">
        <v>2.5000000000000001E-3</v>
      </c>
      <c r="F270" s="107">
        <v>0.99339999999999995</v>
      </c>
      <c r="G270" s="107">
        <v>1.8599999999999998E-2</v>
      </c>
    </row>
    <row r="271" spans="1:7">
      <c r="A271" s="616"/>
      <c r="B271" s="82" t="s">
        <v>758</v>
      </c>
      <c r="C271" s="82" t="s">
        <v>14</v>
      </c>
      <c r="D271" s="107">
        <v>0.9738</v>
      </c>
      <c r="E271" s="107">
        <v>8.6999999999999994E-3</v>
      </c>
      <c r="F271" s="107">
        <v>0.47670000000000001</v>
      </c>
      <c r="G271" s="107">
        <v>1.23E-2</v>
      </c>
    </row>
    <row r="272" spans="1:7">
      <c r="A272" s="616"/>
      <c r="B272" s="82" t="s">
        <v>758</v>
      </c>
      <c r="C272" s="82" t="s">
        <v>16</v>
      </c>
      <c r="D272" s="107">
        <v>0.98209999999999997</v>
      </c>
      <c r="E272" s="107">
        <v>7.1999999999999998E-3</v>
      </c>
      <c r="F272" s="107">
        <v>0.46189999999999998</v>
      </c>
      <c r="G272" s="107">
        <v>1.1900000000000001E-2</v>
      </c>
    </row>
    <row r="273" spans="1:7">
      <c r="A273" s="616"/>
      <c r="B273" s="82" t="s">
        <v>758</v>
      </c>
      <c r="C273" s="82" t="s">
        <v>18</v>
      </c>
      <c r="D273" s="107">
        <v>0.97970000000000002</v>
      </c>
      <c r="E273" s="107">
        <v>7.7999999999999996E-3</v>
      </c>
      <c r="F273" s="107">
        <v>0.46560000000000001</v>
      </c>
      <c r="G273" s="107">
        <v>1.21E-2</v>
      </c>
    </row>
    <row r="274" spans="1:7">
      <c r="A274" s="616"/>
      <c r="B274" s="82" t="s">
        <v>759</v>
      </c>
      <c r="C274" s="82" t="s">
        <v>760</v>
      </c>
      <c r="D274" s="107">
        <v>1.0044</v>
      </c>
      <c r="E274" s="107">
        <v>5.7000000000000002E-3</v>
      </c>
      <c r="F274" s="107">
        <v>0.60950000000000004</v>
      </c>
      <c r="G274" s="107">
        <v>1.2500000000000001E-2</v>
      </c>
    </row>
    <row r="275" spans="1:7">
      <c r="A275" s="616"/>
      <c r="B275" s="82" t="s">
        <v>759</v>
      </c>
      <c r="C275" s="82" t="s">
        <v>761</v>
      </c>
      <c r="D275" s="107">
        <v>0.99890000000000001</v>
      </c>
      <c r="E275" s="107">
        <v>2.5000000000000001E-3</v>
      </c>
      <c r="F275" s="107">
        <v>0.98839999999999995</v>
      </c>
      <c r="G275" s="107">
        <v>1.8499999999999999E-2</v>
      </c>
    </row>
    <row r="276" spans="1:7">
      <c r="A276" s="616"/>
      <c r="B276" s="82" t="s">
        <v>759</v>
      </c>
      <c r="C276" s="82" t="s">
        <v>14</v>
      </c>
      <c r="D276" s="107">
        <v>0.97589999999999999</v>
      </c>
      <c r="E276" s="107">
        <v>8.8000000000000005E-3</v>
      </c>
      <c r="F276" s="107">
        <v>0.47860000000000003</v>
      </c>
      <c r="G276" s="107">
        <v>1.23E-2</v>
      </c>
    </row>
    <row r="277" spans="1:7">
      <c r="A277" s="616"/>
      <c r="B277" s="82" t="s">
        <v>759</v>
      </c>
      <c r="C277" s="82" t="s">
        <v>16</v>
      </c>
      <c r="D277" s="107">
        <v>0.98240000000000005</v>
      </c>
      <c r="E277" s="107">
        <v>7.1000000000000004E-3</v>
      </c>
      <c r="F277" s="107">
        <v>0.46550000000000002</v>
      </c>
      <c r="G277" s="107">
        <v>1.1900000000000001E-2</v>
      </c>
    </row>
    <row r="278" spans="1:7">
      <c r="A278" s="616"/>
      <c r="B278" s="82" t="s">
        <v>759</v>
      </c>
      <c r="C278" s="82" t="s">
        <v>18</v>
      </c>
      <c r="D278" s="107">
        <v>0.98040000000000005</v>
      </c>
      <c r="E278" s="107">
        <v>7.7000000000000002E-3</v>
      </c>
      <c r="F278" s="107">
        <v>0.46789999999999998</v>
      </c>
      <c r="G278" s="107">
        <v>1.21E-2</v>
      </c>
    </row>
    <row r="279" spans="1:7">
      <c r="A279" s="616"/>
      <c r="B279" s="82" t="s">
        <v>760</v>
      </c>
      <c r="C279" s="82" t="s">
        <v>761</v>
      </c>
      <c r="D279" s="107">
        <v>1.0051000000000001</v>
      </c>
      <c r="E279" s="107">
        <v>5.4999999999999997E-3</v>
      </c>
      <c r="F279" s="107">
        <v>0.61750000000000005</v>
      </c>
      <c r="G279" s="107">
        <v>1.2500000000000001E-2</v>
      </c>
    </row>
    <row r="280" spans="1:7">
      <c r="A280" s="616"/>
      <c r="B280" s="82" t="s">
        <v>760</v>
      </c>
      <c r="C280" s="82" t="s">
        <v>14</v>
      </c>
      <c r="D280" s="107">
        <v>0.94299999999999995</v>
      </c>
      <c r="E280" s="107">
        <v>1.7000000000000001E-2</v>
      </c>
      <c r="F280" s="107">
        <v>2.58E-2</v>
      </c>
      <c r="G280" s="107">
        <v>8.5000000000000006E-3</v>
      </c>
    </row>
    <row r="281" spans="1:7">
      <c r="A281" s="616"/>
      <c r="B281" s="82" t="s">
        <v>760</v>
      </c>
      <c r="C281" s="82" t="s">
        <v>16</v>
      </c>
      <c r="D281" s="107">
        <v>0.95250000000000001</v>
      </c>
      <c r="E281" s="107">
        <v>1.52E-2</v>
      </c>
      <c r="F281" s="107">
        <v>1.95E-2</v>
      </c>
      <c r="G281" s="107">
        <v>8.0999999999999996E-3</v>
      </c>
    </row>
    <row r="282" spans="1:7">
      <c r="A282" s="616"/>
      <c r="B282" s="82" t="s">
        <v>760</v>
      </c>
      <c r="C282" s="82" t="s">
        <v>18</v>
      </c>
      <c r="D282" s="107">
        <v>0.98050000000000004</v>
      </c>
      <c r="E282" s="107">
        <v>1.6899999999999998E-2</v>
      </c>
      <c r="F282" s="107">
        <v>1.4800000000000001E-2</v>
      </c>
      <c r="G282" s="107">
        <v>8.5000000000000006E-3</v>
      </c>
    </row>
    <row r="283" spans="1:7">
      <c r="A283" s="616"/>
      <c r="B283" s="82" t="s">
        <v>761</v>
      </c>
      <c r="C283" s="82" t="s">
        <v>14</v>
      </c>
      <c r="D283" s="107">
        <v>0.97409999999999997</v>
      </c>
      <c r="E283" s="107">
        <v>8.6999999999999994E-3</v>
      </c>
      <c r="F283" s="107">
        <v>0.47870000000000001</v>
      </c>
      <c r="G283" s="107">
        <v>1.23E-2</v>
      </c>
    </row>
    <row r="284" spans="1:7">
      <c r="A284" s="616"/>
      <c r="B284" s="82" t="s">
        <v>761</v>
      </c>
      <c r="C284" s="82" t="s">
        <v>16</v>
      </c>
      <c r="D284" s="107">
        <v>0.98240000000000005</v>
      </c>
      <c r="E284" s="107">
        <v>7.3000000000000001E-3</v>
      </c>
      <c r="F284" s="107">
        <v>0.46410000000000001</v>
      </c>
      <c r="G284" s="107">
        <v>1.1900000000000001E-2</v>
      </c>
    </row>
    <row r="285" spans="1:7">
      <c r="A285" s="616"/>
      <c r="B285" s="82" t="s">
        <v>761</v>
      </c>
      <c r="C285" s="82" t="s">
        <v>18</v>
      </c>
      <c r="D285" s="107">
        <v>0.98070000000000002</v>
      </c>
      <c r="E285" s="107">
        <v>7.7999999999999996E-3</v>
      </c>
      <c r="F285" s="107">
        <v>0.46679999999999999</v>
      </c>
      <c r="G285" s="107">
        <v>1.2200000000000001E-2</v>
      </c>
    </row>
    <row r="286" spans="1:7">
      <c r="A286" s="616"/>
      <c r="B286" s="82" t="s">
        <v>14</v>
      </c>
      <c r="C286" s="82" t="s">
        <v>16</v>
      </c>
      <c r="D286" s="107">
        <v>1.0148999999999999</v>
      </c>
      <c r="E286" s="107">
        <v>1.7399999999999999E-2</v>
      </c>
      <c r="F286" s="107">
        <v>2.63E-2</v>
      </c>
      <c r="G286" s="107">
        <v>7.7999999999999996E-3</v>
      </c>
    </row>
    <row r="287" spans="1:7">
      <c r="A287" s="616"/>
      <c r="B287" s="82" t="s">
        <v>14</v>
      </c>
      <c r="C287" s="82" t="s">
        <v>18</v>
      </c>
      <c r="D287" s="107">
        <v>0.99470000000000003</v>
      </c>
      <c r="E287" s="107">
        <v>1.7600000000000001E-2</v>
      </c>
      <c r="F287" s="107">
        <v>2.9499999999999998E-2</v>
      </c>
      <c r="G287" s="107">
        <v>8.8000000000000005E-3</v>
      </c>
    </row>
    <row r="288" spans="1:7">
      <c r="A288" s="613"/>
      <c r="B288" s="209" t="s">
        <v>16</v>
      </c>
      <c r="C288" s="209" t="s">
        <v>18</v>
      </c>
      <c r="D288" s="212">
        <v>1.0062</v>
      </c>
      <c r="E288" s="212">
        <v>1.6400000000000001E-2</v>
      </c>
      <c r="F288" s="212">
        <v>3.7400000000000003E-2</v>
      </c>
      <c r="G288" s="212">
        <v>8.8000000000000005E-3</v>
      </c>
    </row>
    <row r="289" spans="1:7">
      <c r="A289" s="214" t="s">
        <v>107</v>
      </c>
      <c r="B289" s="657" t="s">
        <v>9</v>
      </c>
      <c r="C289" s="657"/>
      <c r="D289" s="657"/>
      <c r="E289" s="657"/>
      <c r="F289" s="657"/>
      <c r="G289" s="657"/>
    </row>
    <row r="290" spans="1:7">
      <c r="A290" s="82" t="s">
        <v>109</v>
      </c>
      <c r="B290" s="577" t="s">
        <v>9</v>
      </c>
      <c r="C290" s="577"/>
      <c r="D290" s="577"/>
      <c r="E290" s="577"/>
      <c r="F290" s="577"/>
      <c r="G290" s="577"/>
    </row>
    <row r="291" spans="1:7">
      <c r="A291" s="51" t="s">
        <v>111</v>
      </c>
      <c r="B291" s="52"/>
      <c r="C291" s="52"/>
      <c r="D291" s="101"/>
      <c r="E291" s="198"/>
      <c r="F291" s="198"/>
      <c r="G291" s="198"/>
    </row>
    <row r="292" spans="1:7">
      <c r="A292" s="612" t="s">
        <v>112</v>
      </c>
      <c r="B292" s="204" t="s">
        <v>144</v>
      </c>
      <c r="C292" s="204" t="s">
        <v>701</v>
      </c>
      <c r="D292" s="207">
        <v>0.73670000000000002</v>
      </c>
      <c r="E292" s="207">
        <v>9.9900000000000003E-2</v>
      </c>
      <c r="F292" s="207">
        <v>4.1999999999999997E-3</v>
      </c>
      <c r="G292" s="207">
        <v>5.4000000000000003E-3</v>
      </c>
    </row>
    <row r="293" spans="1:7">
      <c r="A293" s="616"/>
      <c r="B293" s="82" t="s">
        <v>144</v>
      </c>
      <c r="C293" s="82" t="s">
        <v>702</v>
      </c>
      <c r="D293" s="107">
        <v>0.76539999999999997</v>
      </c>
      <c r="E293" s="107">
        <v>0.11169999999999999</v>
      </c>
      <c r="F293" s="107">
        <v>4.3E-3</v>
      </c>
      <c r="G293" s="107">
        <v>6.8999999999999999E-3</v>
      </c>
    </row>
    <row r="294" spans="1:7">
      <c r="A294" s="616"/>
      <c r="B294" s="82" t="s">
        <v>144</v>
      </c>
      <c r="C294" s="82" t="s">
        <v>14</v>
      </c>
      <c r="D294" s="107">
        <v>0.75629999999999997</v>
      </c>
      <c r="E294" s="107">
        <v>0.1285</v>
      </c>
      <c r="F294" s="107">
        <v>7.0000000000000001E-3</v>
      </c>
      <c r="G294" s="107">
        <v>5.1999999999999998E-3</v>
      </c>
    </row>
    <row r="295" spans="1:7">
      <c r="A295" s="616"/>
      <c r="B295" s="82" t="s">
        <v>144</v>
      </c>
      <c r="C295" s="82" t="s">
        <v>16</v>
      </c>
      <c r="D295" s="107">
        <v>0.78749999999999998</v>
      </c>
      <c r="E295" s="107">
        <v>0.11700000000000001</v>
      </c>
      <c r="F295" s="107">
        <v>-2.5999999999999999E-3</v>
      </c>
      <c r="G295" s="107">
        <v>4.8999999999999998E-3</v>
      </c>
    </row>
    <row r="296" spans="1:7">
      <c r="A296" s="616"/>
      <c r="B296" s="82" t="s">
        <v>144</v>
      </c>
      <c r="C296" s="82" t="s">
        <v>18</v>
      </c>
      <c r="D296" s="107">
        <v>0.65369999999999995</v>
      </c>
      <c r="E296" s="107">
        <v>0.12130000000000001</v>
      </c>
      <c r="F296" s="107">
        <v>9.9000000000000008E-3</v>
      </c>
      <c r="G296" s="107">
        <v>5.4999999999999997E-3</v>
      </c>
    </row>
    <row r="297" spans="1:7">
      <c r="A297" s="616"/>
      <c r="B297" s="82" t="s">
        <v>701</v>
      </c>
      <c r="C297" s="82" t="s">
        <v>702</v>
      </c>
      <c r="D297" s="107">
        <v>1.0807</v>
      </c>
      <c r="E297" s="107">
        <v>1.7299999999999999E-2</v>
      </c>
      <c r="F297" s="107">
        <v>0.41439999999999999</v>
      </c>
      <c r="G297" s="107">
        <v>7.7999999999999996E-3</v>
      </c>
    </row>
    <row r="298" spans="1:7">
      <c r="A298" s="616"/>
      <c r="B298" s="82" t="s">
        <v>701</v>
      </c>
      <c r="C298" s="82" t="s">
        <v>14</v>
      </c>
      <c r="D298" s="107">
        <v>0.99350000000000005</v>
      </c>
      <c r="E298" s="107">
        <v>4.5100000000000001E-2</v>
      </c>
      <c r="F298" s="107">
        <v>7.3599999999999999E-2</v>
      </c>
      <c r="G298" s="107">
        <v>5.7000000000000002E-3</v>
      </c>
    </row>
    <row r="299" spans="1:7">
      <c r="A299" s="616"/>
      <c r="B299" s="82" t="s">
        <v>701</v>
      </c>
      <c r="C299" s="82" t="s">
        <v>16</v>
      </c>
      <c r="D299" s="107">
        <v>0.88739999999999997</v>
      </c>
      <c r="E299" s="107">
        <v>3.5999999999999997E-2</v>
      </c>
      <c r="F299" s="107">
        <v>0.10920000000000001</v>
      </c>
      <c r="G299" s="107">
        <v>5.8999999999999999E-3</v>
      </c>
    </row>
    <row r="300" spans="1:7">
      <c r="A300" s="616"/>
      <c r="B300" s="82" t="s">
        <v>701</v>
      </c>
      <c r="C300" s="82" t="s">
        <v>18</v>
      </c>
      <c r="D300" s="107">
        <v>0.93630000000000002</v>
      </c>
      <c r="E300" s="107">
        <v>3.7499999999999999E-2</v>
      </c>
      <c r="F300" s="107">
        <v>0.11219999999999999</v>
      </c>
      <c r="G300" s="107">
        <v>5.5999999999999999E-3</v>
      </c>
    </row>
    <row r="301" spans="1:7">
      <c r="A301" s="616"/>
      <c r="B301" s="82" t="s">
        <v>702</v>
      </c>
      <c r="C301" s="82" t="s">
        <v>14</v>
      </c>
      <c r="D301" s="107">
        <v>0.98499999999999999</v>
      </c>
      <c r="E301" s="107">
        <v>2.98E-2</v>
      </c>
      <c r="F301" s="107">
        <v>0.30420000000000003</v>
      </c>
      <c r="G301" s="107">
        <v>7.0000000000000001E-3</v>
      </c>
    </row>
    <row r="302" spans="1:7">
      <c r="A302" s="616"/>
      <c r="B302" s="82" t="s">
        <v>702</v>
      </c>
      <c r="C302" s="82" t="s">
        <v>16</v>
      </c>
      <c r="D302" s="107">
        <v>0.92090000000000005</v>
      </c>
      <c r="E302" s="107">
        <v>2.52E-2</v>
      </c>
      <c r="F302" s="107">
        <v>0.30499999999999999</v>
      </c>
      <c r="G302" s="107">
        <v>6.7999999999999996E-3</v>
      </c>
    </row>
    <row r="303" spans="1:7">
      <c r="A303" s="616"/>
      <c r="B303" s="82" t="s">
        <v>702</v>
      </c>
      <c r="C303" s="82" t="s">
        <v>18</v>
      </c>
      <c r="D303" s="107">
        <v>0.97299999999999998</v>
      </c>
      <c r="E303" s="107">
        <v>2.4E-2</v>
      </c>
      <c r="F303" s="107">
        <v>0.29859999999999998</v>
      </c>
      <c r="G303" s="107">
        <v>6.7000000000000002E-3</v>
      </c>
    </row>
    <row r="304" spans="1:7">
      <c r="A304" s="616"/>
      <c r="B304" s="82" t="s">
        <v>14</v>
      </c>
      <c r="C304" s="82" t="s">
        <v>16</v>
      </c>
      <c r="D304" s="107">
        <v>0.94379999999999997</v>
      </c>
      <c r="E304" s="107">
        <v>5.4300000000000001E-2</v>
      </c>
      <c r="F304" s="107">
        <v>1.9400000000000001E-2</v>
      </c>
      <c r="G304" s="107">
        <v>5.1999999999999998E-3</v>
      </c>
    </row>
    <row r="305" spans="1:7">
      <c r="A305" s="616"/>
      <c r="B305" s="82" t="s">
        <v>14</v>
      </c>
      <c r="C305" s="82" t="s">
        <v>18</v>
      </c>
      <c r="D305" s="107">
        <v>0.9546</v>
      </c>
      <c r="E305" s="107">
        <v>5.5500000000000001E-2</v>
      </c>
      <c r="F305" s="107">
        <v>1.8700000000000001E-2</v>
      </c>
      <c r="G305" s="107">
        <v>6.1000000000000004E-3</v>
      </c>
    </row>
    <row r="306" spans="1:7">
      <c r="A306" s="613"/>
      <c r="B306" s="209" t="s">
        <v>16</v>
      </c>
      <c r="C306" s="209" t="s">
        <v>18</v>
      </c>
      <c r="D306" s="212">
        <v>1.0075000000000001</v>
      </c>
      <c r="E306" s="212">
        <v>5.0999999999999997E-2</v>
      </c>
      <c r="F306" s="212">
        <v>5.1000000000000004E-3</v>
      </c>
      <c r="G306" s="212">
        <v>5.1999999999999998E-3</v>
      </c>
    </row>
    <row r="307" spans="1:7">
      <c r="A307" s="612" t="s">
        <v>575</v>
      </c>
      <c r="B307" s="204" t="s">
        <v>144</v>
      </c>
      <c r="C307" s="204" t="s">
        <v>728</v>
      </c>
      <c r="D307" s="207">
        <v>0.99529999999999996</v>
      </c>
      <c r="E307" s="207">
        <v>1.84E-2</v>
      </c>
      <c r="F307" s="207">
        <v>1.37E-2</v>
      </c>
      <c r="G307" s="207">
        <v>8.9999999999999993E-3</v>
      </c>
    </row>
    <row r="308" spans="1:7">
      <c r="A308" s="616"/>
      <c r="B308" s="82" t="s">
        <v>144</v>
      </c>
      <c r="C308" s="82" t="s">
        <v>729</v>
      </c>
      <c r="D308" s="107">
        <v>1.0103</v>
      </c>
      <c r="E308" s="107">
        <v>2.58E-2</v>
      </c>
      <c r="F308" s="107">
        <v>2.0999999999999999E-3</v>
      </c>
      <c r="G308" s="107">
        <v>8.2000000000000007E-3</v>
      </c>
    </row>
    <row r="309" spans="1:7">
      <c r="A309" s="616"/>
      <c r="B309" s="82" t="s">
        <v>144</v>
      </c>
      <c r="C309" s="82" t="s">
        <v>14</v>
      </c>
      <c r="D309" s="107">
        <v>0.98509999999999998</v>
      </c>
      <c r="E309" s="107">
        <v>2.4400000000000002E-2</v>
      </c>
      <c r="F309" s="107">
        <v>-1.5E-3</v>
      </c>
      <c r="G309" s="107">
        <v>8.0999999999999996E-3</v>
      </c>
    </row>
    <row r="310" spans="1:7">
      <c r="A310" s="616"/>
      <c r="B310" s="82" t="s">
        <v>144</v>
      </c>
      <c r="C310" s="82" t="s">
        <v>16</v>
      </c>
      <c r="D310" s="107">
        <v>0.98129999999999995</v>
      </c>
      <c r="E310" s="107">
        <v>2.7E-2</v>
      </c>
      <c r="F310" s="107">
        <v>-1.4E-3</v>
      </c>
      <c r="G310" s="107">
        <v>8.2000000000000007E-3</v>
      </c>
    </row>
    <row r="311" spans="1:7">
      <c r="A311" s="616"/>
      <c r="B311" s="82" t="s">
        <v>144</v>
      </c>
      <c r="C311" s="82" t="s">
        <v>18</v>
      </c>
      <c r="D311" s="107">
        <v>0.98550000000000004</v>
      </c>
      <c r="E311" s="107">
        <v>2.7799999999999998E-2</v>
      </c>
      <c r="F311" s="107">
        <v>-7.1186000000000006E-5</v>
      </c>
      <c r="G311" s="107">
        <v>8.2000000000000007E-3</v>
      </c>
    </row>
    <row r="312" spans="1:7">
      <c r="A312" s="616"/>
      <c r="B312" s="82" t="s">
        <v>728</v>
      </c>
      <c r="C312" s="82" t="s">
        <v>729</v>
      </c>
      <c r="D312" s="107">
        <v>1.1128</v>
      </c>
      <c r="E312" s="107">
        <v>1.34E-2</v>
      </c>
      <c r="F312" s="107">
        <v>0.42120000000000002</v>
      </c>
      <c r="G312" s="107">
        <v>0.01</v>
      </c>
    </row>
    <row r="313" spans="1:7">
      <c r="A313" s="616"/>
      <c r="B313" s="82" t="s">
        <v>728</v>
      </c>
      <c r="C313" s="82" t="s">
        <v>14</v>
      </c>
      <c r="D313" s="107">
        <v>0.95030000000000003</v>
      </c>
      <c r="E313" s="107">
        <v>1.5699999999999999E-2</v>
      </c>
      <c r="F313" s="107">
        <v>0.19320000000000001</v>
      </c>
      <c r="G313" s="107">
        <v>8.8000000000000005E-3</v>
      </c>
    </row>
    <row r="314" spans="1:7">
      <c r="A314" s="616"/>
      <c r="B314" s="82" t="s">
        <v>728</v>
      </c>
      <c r="C314" s="82" t="s">
        <v>16</v>
      </c>
      <c r="D314" s="107">
        <v>0.96650000000000003</v>
      </c>
      <c r="E314" s="107">
        <v>1.6199999999999999E-2</v>
      </c>
      <c r="F314" s="107">
        <v>0.1807</v>
      </c>
      <c r="G314" s="107">
        <v>9.1999999999999998E-3</v>
      </c>
    </row>
    <row r="315" spans="1:7">
      <c r="A315" s="616"/>
      <c r="B315" s="82" t="s">
        <v>728</v>
      </c>
      <c r="C315" s="82" t="s">
        <v>18</v>
      </c>
      <c r="D315" s="107">
        <v>0.97699999999999998</v>
      </c>
      <c r="E315" s="107">
        <v>1.66E-2</v>
      </c>
      <c r="F315" s="107">
        <v>0.18909999999999999</v>
      </c>
      <c r="G315" s="107">
        <v>9.5999999999999992E-3</v>
      </c>
    </row>
    <row r="316" spans="1:7">
      <c r="A316" s="616"/>
      <c r="B316" s="82" t="s">
        <v>729</v>
      </c>
      <c r="C316" s="82" t="s">
        <v>14</v>
      </c>
      <c r="D316" s="107">
        <v>0.96519999999999995</v>
      </c>
      <c r="E316" s="107">
        <v>2.18E-2</v>
      </c>
      <c r="F316" s="107">
        <v>1.09E-2</v>
      </c>
      <c r="G316" s="107">
        <v>7.7999999999999996E-3</v>
      </c>
    </row>
    <row r="317" spans="1:7">
      <c r="A317" s="616"/>
      <c r="B317" s="82" t="s">
        <v>729</v>
      </c>
      <c r="C317" s="82" t="s">
        <v>16</v>
      </c>
      <c r="D317" s="107">
        <v>0.99719999999999998</v>
      </c>
      <c r="E317" s="107">
        <v>2.5700000000000001E-2</v>
      </c>
      <c r="F317" s="107">
        <v>-6.3E-3</v>
      </c>
      <c r="G317" s="107">
        <v>8.0999999999999996E-3</v>
      </c>
    </row>
    <row r="318" spans="1:7">
      <c r="A318" s="616"/>
      <c r="B318" s="82" t="s">
        <v>729</v>
      </c>
      <c r="C318" s="82" t="s">
        <v>18</v>
      </c>
      <c r="D318" s="107">
        <v>0.99739999999999995</v>
      </c>
      <c r="E318" s="107">
        <v>2.3400000000000001E-2</v>
      </c>
      <c r="F318" s="107">
        <v>-1.6999999999999999E-3</v>
      </c>
      <c r="G318" s="107">
        <v>8.9999999999999993E-3</v>
      </c>
    </row>
    <row r="319" spans="1:7">
      <c r="A319" s="616"/>
      <c r="B319" s="82" t="s">
        <v>14</v>
      </c>
      <c r="C319" s="82" t="s">
        <v>16</v>
      </c>
      <c r="D319" s="107">
        <v>1.0142</v>
      </c>
      <c r="E319" s="107">
        <v>2.5899999999999999E-2</v>
      </c>
      <c r="F319" s="107">
        <v>-4.7999999999999996E-3</v>
      </c>
      <c r="G319" s="107">
        <v>7.9000000000000008E-3</v>
      </c>
    </row>
    <row r="320" spans="1:7">
      <c r="A320" s="616"/>
      <c r="B320" s="82" t="s">
        <v>14</v>
      </c>
      <c r="C320" s="82" t="s">
        <v>18</v>
      </c>
      <c r="D320" s="107">
        <v>1.0093000000000001</v>
      </c>
      <c r="E320" s="107">
        <v>2.6100000000000002E-2</v>
      </c>
      <c r="F320" s="107">
        <v>3.8999999999999998E-3</v>
      </c>
      <c r="G320" s="107">
        <v>7.4000000000000003E-3</v>
      </c>
    </row>
    <row r="321" spans="1:7">
      <c r="A321" s="613"/>
      <c r="B321" s="209" t="s">
        <v>16</v>
      </c>
      <c r="C321" s="209" t="s">
        <v>18</v>
      </c>
      <c r="D321" s="212">
        <v>1.0022</v>
      </c>
      <c r="E321" s="212">
        <v>2.4199999999999999E-2</v>
      </c>
      <c r="F321" s="212">
        <v>-3.8E-3</v>
      </c>
      <c r="G321" s="212">
        <v>8.3999999999999995E-3</v>
      </c>
    </row>
    <row r="322" spans="1:7">
      <c r="A322" s="612" t="s">
        <v>137</v>
      </c>
      <c r="B322" s="204" t="s">
        <v>702</v>
      </c>
      <c r="C322" s="204" t="s">
        <v>14</v>
      </c>
      <c r="D322" s="207">
        <v>0.97799999999999998</v>
      </c>
      <c r="E322" s="207">
        <v>1.2E-2</v>
      </c>
      <c r="F322" s="207">
        <v>0.52</v>
      </c>
      <c r="G322" s="207">
        <v>9.5999999999999992E-3</v>
      </c>
    </row>
    <row r="323" spans="1:7">
      <c r="A323" s="616"/>
      <c r="B323" s="82" t="s">
        <v>702</v>
      </c>
      <c r="C323" s="82" t="s">
        <v>16</v>
      </c>
      <c r="D323" s="107">
        <v>0.97740000000000005</v>
      </c>
      <c r="E323" s="107">
        <v>1.0200000000000001E-2</v>
      </c>
      <c r="F323" s="107">
        <v>0.51190000000000002</v>
      </c>
      <c r="G323" s="107">
        <v>9.5999999999999992E-3</v>
      </c>
    </row>
    <row r="324" spans="1:7">
      <c r="A324" s="616"/>
      <c r="B324" s="82" t="s">
        <v>702</v>
      </c>
      <c r="C324" s="82" t="s">
        <v>18</v>
      </c>
      <c r="D324" s="107">
        <v>0.99480000000000002</v>
      </c>
      <c r="E324" s="107">
        <v>1.38E-2</v>
      </c>
      <c r="F324" s="107">
        <v>0.52280000000000004</v>
      </c>
      <c r="G324" s="107">
        <v>8.6999999999999994E-3</v>
      </c>
    </row>
    <row r="325" spans="1:7">
      <c r="A325" s="616"/>
      <c r="B325" s="82" t="s">
        <v>14</v>
      </c>
      <c r="C325" s="82" t="s">
        <v>16</v>
      </c>
      <c r="D325" s="107">
        <v>0.94830000000000003</v>
      </c>
      <c r="E325" s="107">
        <v>2.7699999999999999E-2</v>
      </c>
      <c r="F325" s="107">
        <v>9.1000000000000004E-3</v>
      </c>
      <c r="G325" s="107">
        <v>7.1999999999999998E-3</v>
      </c>
    </row>
    <row r="326" spans="1:7">
      <c r="A326" s="616"/>
      <c r="B326" s="82" t="s">
        <v>14</v>
      </c>
      <c r="C326" s="82" t="s">
        <v>18</v>
      </c>
      <c r="D326" s="107">
        <v>0.97009999999999996</v>
      </c>
      <c r="E326" s="107">
        <v>3.1699999999999999E-2</v>
      </c>
      <c r="F326" s="107">
        <v>8.3000000000000001E-3</v>
      </c>
      <c r="G326" s="107">
        <v>6.4999999999999997E-3</v>
      </c>
    </row>
    <row r="327" spans="1:7">
      <c r="A327" s="613"/>
      <c r="B327" s="209" t="s">
        <v>16</v>
      </c>
      <c r="C327" s="209" t="s">
        <v>18</v>
      </c>
      <c r="D327" s="212">
        <v>1.0085999999999999</v>
      </c>
      <c r="E327" s="212">
        <v>2.9499999999999998E-2</v>
      </c>
      <c r="F327" s="212">
        <v>3.5000000000000001E-3</v>
      </c>
      <c r="G327" s="212">
        <v>6.7999999999999996E-3</v>
      </c>
    </row>
    <row r="328" spans="1:7">
      <c r="A328" s="214" t="s">
        <v>576</v>
      </c>
      <c r="B328" s="657" t="s">
        <v>9</v>
      </c>
      <c r="C328" s="657"/>
      <c r="D328" s="657"/>
      <c r="E328" s="657"/>
      <c r="F328" s="657"/>
      <c r="G328" s="657"/>
    </row>
    <row r="329" spans="1:7">
      <c r="A329" s="612" t="s">
        <v>577</v>
      </c>
      <c r="B329" s="204" t="s">
        <v>14</v>
      </c>
      <c r="C329" s="204" t="s">
        <v>16</v>
      </c>
      <c r="D329" s="207">
        <v>0.61280000000000001</v>
      </c>
      <c r="E329" s="207">
        <v>0.1651</v>
      </c>
      <c r="F329" s="207">
        <v>8.0000000000000004E-4</v>
      </c>
      <c r="G329" s="207">
        <v>4.4999999999999997E-3</v>
      </c>
    </row>
    <row r="330" spans="1:7">
      <c r="A330" s="616"/>
      <c r="B330" s="82" t="s">
        <v>14</v>
      </c>
      <c r="C330" s="82" t="s">
        <v>18</v>
      </c>
      <c r="D330" s="107">
        <v>0.75439999999999996</v>
      </c>
      <c r="E330" s="107">
        <v>0.215</v>
      </c>
      <c r="F330" s="107">
        <v>2.8999999999999998E-3</v>
      </c>
      <c r="G330" s="107">
        <v>4.8999999999999998E-3</v>
      </c>
    </row>
    <row r="331" spans="1:7">
      <c r="A331" s="613"/>
      <c r="B331" s="209" t="s">
        <v>16</v>
      </c>
      <c r="C331" s="209" t="s">
        <v>18</v>
      </c>
      <c r="D331" s="212">
        <v>0.74199999999999999</v>
      </c>
      <c r="E331" s="212">
        <v>0.2301</v>
      </c>
      <c r="F331" s="212">
        <v>2.3999999999999998E-3</v>
      </c>
      <c r="G331" s="212">
        <v>4.4999999999999997E-3</v>
      </c>
    </row>
    <row r="332" spans="1:7">
      <c r="A332" s="612" t="s">
        <v>578</v>
      </c>
      <c r="B332" s="204" t="s">
        <v>733</v>
      </c>
      <c r="C332" s="204" t="s">
        <v>785</v>
      </c>
      <c r="D332" s="207">
        <v>0.79830000000000001</v>
      </c>
      <c r="E332" s="207">
        <v>7.7200000000000005E-2</v>
      </c>
      <c r="F332" s="207">
        <v>0.30180000000000001</v>
      </c>
      <c r="G332" s="207">
        <v>5.4999999999999997E-3</v>
      </c>
    </row>
    <row r="333" spans="1:7">
      <c r="A333" s="616"/>
      <c r="B333" s="82" t="s">
        <v>733</v>
      </c>
      <c r="C333" s="82" t="s">
        <v>781</v>
      </c>
      <c r="D333" s="107">
        <v>0.96120000000000005</v>
      </c>
      <c r="E333" s="107">
        <v>5.3600000000000002E-2</v>
      </c>
      <c r="F333" s="107">
        <v>0.39760000000000001</v>
      </c>
      <c r="G333" s="107">
        <v>6.1000000000000004E-3</v>
      </c>
    </row>
    <row r="334" spans="1:7">
      <c r="A334" s="616"/>
      <c r="B334" s="82" t="s">
        <v>733</v>
      </c>
      <c r="C334" s="82" t="s">
        <v>784</v>
      </c>
      <c r="D334" s="107">
        <v>0.8125</v>
      </c>
      <c r="E334" s="107">
        <v>7.7399999999999997E-2</v>
      </c>
      <c r="F334" s="107">
        <v>0.2964</v>
      </c>
      <c r="G334" s="107">
        <v>5.7999999999999996E-3</v>
      </c>
    </row>
    <row r="335" spans="1:7">
      <c r="A335" s="616"/>
      <c r="B335" s="82" t="s">
        <v>733</v>
      </c>
      <c r="C335" s="82" t="s">
        <v>780</v>
      </c>
      <c r="D335" s="107">
        <v>1.1224000000000001</v>
      </c>
      <c r="E335" s="107">
        <v>0.11210000000000001</v>
      </c>
      <c r="F335" s="107">
        <v>0.39729999999999999</v>
      </c>
      <c r="G335" s="107">
        <v>6.3E-3</v>
      </c>
    </row>
    <row r="336" spans="1:7">
      <c r="A336" s="616"/>
      <c r="B336" s="82" t="s">
        <v>733</v>
      </c>
      <c r="C336" s="82" t="s">
        <v>783</v>
      </c>
      <c r="D336" s="107">
        <v>0.78410000000000002</v>
      </c>
      <c r="E336" s="107">
        <v>0.1166</v>
      </c>
      <c r="F336" s="107">
        <v>0.313</v>
      </c>
      <c r="G336" s="107">
        <v>5.5999999999999999E-3</v>
      </c>
    </row>
    <row r="337" spans="1:7">
      <c r="A337" s="616"/>
      <c r="B337" s="82" t="s">
        <v>733</v>
      </c>
      <c r="C337" s="82" t="s">
        <v>782</v>
      </c>
      <c r="D337" s="107">
        <v>0.92130000000000001</v>
      </c>
      <c r="E337" s="107">
        <v>5.04E-2</v>
      </c>
      <c r="F337" s="107">
        <v>0.38329999999999997</v>
      </c>
      <c r="G337" s="107">
        <v>5.5999999999999999E-3</v>
      </c>
    </row>
    <row r="338" spans="1:7">
      <c r="A338" s="616"/>
      <c r="B338" s="82" t="s">
        <v>785</v>
      </c>
      <c r="C338" s="82" t="s">
        <v>781</v>
      </c>
      <c r="D338" s="107">
        <v>0.56610000000000005</v>
      </c>
      <c r="E338" s="107">
        <v>0.1368</v>
      </c>
      <c r="F338" s="107">
        <v>7.4000000000000003E-3</v>
      </c>
      <c r="G338" s="107">
        <v>4.4999999999999997E-3</v>
      </c>
    </row>
    <row r="339" spans="1:7">
      <c r="A339" s="616"/>
      <c r="B339" s="82" t="s">
        <v>785</v>
      </c>
      <c r="C339" s="82" t="s">
        <v>784</v>
      </c>
      <c r="D339" s="107">
        <v>0.61280000000000001</v>
      </c>
      <c r="E339" s="107">
        <v>0.1651</v>
      </c>
      <c r="F339" s="107">
        <v>8.0000000000000004E-4</v>
      </c>
      <c r="G339" s="107">
        <v>4.4999999999999997E-3</v>
      </c>
    </row>
    <row r="340" spans="1:7">
      <c r="A340" s="616"/>
      <c r="B340" s="82" t="s">
        <v>785</v>
      </c>
      <c r="C340" s="82" t="s">
        <v>780</v>
      </c>
      <c r="D340" s="107">
        <v>0.61850000000000005</v>
      </c>
      <c r="E340" s="107">
        <v>0.15790000000000001</v>
      </c>
      <c r="F340" s="107">
        <v>1.1000000000000001E-3</v>
      </c>
      <c r="G340" s="107">
        <v>4.4000000000000003E-3</v>
      </c>
    </row>
    <row r="341" spans="1:7">
      <c r="A341" s="616"/>
      <c r="B341" s="82" t="s">
        <v>785</v>
      </c>
      <c r="C341" s="82" t="s">
        <v>783</v>
      </c>
      <c r="D341" s="107">
        <v>0.75439999999999996</v>
      </c>
      <c r="E341" s="107">
        <v>0.215</v>
      </c>
      <c r="F341" s="107">
        <v>2.8999999999999998E-3</v>
      </c>
      <c r="G341" s="107">
        <v>4.8999999999999998E-3</v>
      </c>
    </row>
    <row r="342" spans="1:7">
      <c r="A342" s="616"/>
      <c r="B342" s="82" t="s">
        <v>785</v>
      </c>
      <c r="C342" s="82" t="s">
        <v>782</v>
      </c>
      <c r="D342" s="107">
        <v>0.62619999999999998</v>
      </c>
      <c r="E342" s="107">
        <v>0.13769999999999999</v>
      </c>
      <c r="F342" s="107">
        <v>-7.7000000000000002E-3</v>
      </c>
      <c r="G342" s="107">
        <v>4.0000000000000001E-3</v>
      </c>
    </row>
    <row r="343" spans="1:7">
      <c r="A343" s="616"/>
      <c r="B343" s="82" t="s">
        <v>781</v>
      </c>
      <c r="C343" s="82" t="s">
        <v>782</v>
      </c>
      <c r="D343" s="107">
        <v>0.9637</v>
      </c>
      <c r="E343" s="107">
        <v>0.1183</v>
      </c>
      <c r="F343" s="107">
        <v>6.7999999999999996E-3</v>
      </c>
      <c r="G343" s="107">
        <v>4.7999999999999996E-3</v>
      </c>
    </row>
    <row r="344" spans="1:7">
      <c r="A344" s="616"/>
      <c r="B344" s="82" t="s">
        <v>781</v>
      </c>
      <c r="C344" s="82" t="s">
        <v>782</v>
      </c>
      <c r="D344" s="107">
        <v>1.3136000000000001</v>
      </c>
      <c r="E344" s="107">
        <v>0.21779999999999999</v>
      </c>
      <c r="F344" s="107">
        <v>1.2999999999999999E-3</v>
      </c>
      <c r="G344" s="107">
        <v>4.7999999999999996E-3</v>
      </c>
    </row>
    <row r="345" spans="1:7">
      <c r="A345" s="616"/>
      <c r="B345" s="82" t="s">
        <v>784</v>
      </c>
      <c r="C345" s="82" t="s">
        <v>781</v>
      </c>
      <c r="D345" s="107">
        <v>0.43380000000000002</v>
      </c>
      <c r="E345" s="107">
        <v>0.11310000000000001</v>
      </c>
      <c r="F345" s="107">
        <v>6.1999999999999998E-3</v>
      </c>
      <c r="G345" s="107">
        <v>4.1999999999999997E-3</v>
      </c>
    </row>
    <row r="346" spans="1:7">
      <c r="A346" s="616"/>
      <c r="B346" s="82" t="s">
        <v>784</v>
      </c>
      <c r="C346" s="82" t="s">
        <v>780</v>
      </c>
      <c r="D346" s="107">
        <v>1.1249</v>
      </c>
      <c r="E346" s="107">
        <v>0.22170000000000001</v>
      </c>
      <c r="F346" s="107">
        <v>-2.5999999999999999E-3</v>
      </c>
      <c r="G346" s="107">
        <v>4.8999999999999998E-3</v>
      </c>
    </row>
    <row r="347" spans="1:7">
      <c r="A347" s="616"/>
      <c r="B347" s="82" t="s">
        <v>784</v>
      </c>
      <c r="C347" s="82" t="s">
        <v>783</v>
      </c>
      <c r="D347" s="107">
        <v>0.74199999999999999</v>
      </c>
      <c r="E347" s="107">
        <v>0.2301</v>
      </c>
      <c r="F347" s="107">
        <v>2.3999999999999998E-3</v>
      </c>
      <c r="G347" s="107">
        <v>4.4999999999999997E-3</v>
      </c>
    </row>
    <row r="348" spans="1:7">
      <c r="A348" s="616"/>
      <c r="B348" s="82" t="s">
        <v>784</v>
      </c>
      <c r="C348" s="82" t="s">
        <v>782</v>
      </c>
      <c r="D348" s="107">
        <v>0.75019999999999998</v>
      </c>
      <c r="E348" s="107">
        <v>0.1308</v>
      </c>
      <c r="F348" s="107">
        <v>-8.3999999999999995E-3</v>
      </c>
      <c r="G348" s="107">
        <v>4.8999999999999998E-3</v>
      </c>
    </row>
    <row r="349" spans="1:7">
      <c r="A349" s="616"/>
      <c r="B349" s="82" t="s">
        <v>780</v>
      </c>
      <c r="C349" s="82" t="s">
        <v>782</v>
      </c>
      <c r="D349" s="107">
        <v>1.2330000000000001</v>
      </c>
      <c r="E349" s="107">
        <v>0.2046</v>
      </c>
      <c r="F349" s="107">
        <v>1.1000000000000001E-3</v>
      </c>
      <c r="G349" s="107">
        <v>4.8999999999999998E-3</v>
      </c>
    </row>
    <row r="350" spans="1:7">
      <c r="A350" s="616"/>
      <c r="B350" s="82" t="s">
        <v>783</v>
      </c>
      <c r="C350" s="82" t="s">
        <v>781</v>
      </c>
      <c r="D350" s="107">
        <v>0.67889999999999995</v>
      </c>
      <c r="E350" s="107">
        <v>0.18129999999999999</v>
      </c>
      <c r="F350" s="107">
        <v>1.6000000000000001E-3</v>
      </c>
      <c r="G350" s="107">
        <v>4.4999999999999997E-3</v>
      </c>
    </row>
    <row r="351" spans="1:7">
      <c r="A351" s="616"/>
      <c r="B351" s="82" t="s">
        <v>783</v>
      </c>
      <c r="C351" s="82" t="s">
        <v>780</v>
      </c>
      <c r="D351" s="107">
        <v>0.77280000000000004</v>
      </c>
      <c r="E351" s="107">
        <v>0.23400000000000001</v>
      </c>
      <c r="F351" s="107">
        <v>1.6999999999999999E-3</v>
      </c>
      <c r="G351" s="107">
        <v>4.7000000000000002E-3</v>
      </c>
    </row>
    <row r="352" spans="1:7">
      <c r="A352" s="613"/>
      <c r="B352" s="209" t="s">
        <v>783</v>
      </c>
      <c r="C352" s="209" t="s">
        <v>782</v>
      </c>
      <c r="D352" s="212">
        <v>0.49149999999999999</v>
      </c>
      <c r="E352" s="212">
        <v>0.17549999999999999</v>
      </c>
      <c r="F352" s="212">
        <v>3.3E-3</v>
      </c>
      <c r="G352" s="212">
        <v>5.1999999999999998E-3</v>
      </c>
    </row>
    <row r="353" spans="1:7">
      <c r="A353" s="612" t="s">
        <v>579</v>
      </c>
      <c r="B353" s="204" t="s">
        <v>14</v>
      </c>
      <c r="C353" s="204" t="s">
        <v>16</v>
      </c>
      <c r="D353" s="207">
        <v>1.3136000000000001</v>
      </c>
      <c r="E353" s="207">
        <v>0.21779999999999999</v>
      </c>
      <c r="F353" s="207">
        <v>1.2999999999999999E-3</v>
      </c>
      <c r="G353" s="207">
        <v>4.7999999999999996E-3</v>
      </c>
    </row>
    <row r="354" spans="1:7">
      <c r="A354" s="616"/>
      <c r="B354" s="82" t="s">
        <v>14</v>
      </c>
      <c r="C354" s="82" t="s">
        <v>18</v>
      </c>
      <c r="D354" s="107">
        <v>0.9637</v>
      </c>
      <c r="E354" s="107">
        <v>0.1183</v>
      </c>
      <c r="F354" s="107">
        <v>6.7999999999999996E-3</v>
      </c>
      <c r="G354" s="107">
        <v>4.7999999999999996E-3</v>
      </c>
    </row>
    <row r="355" spans="1:7">
      <c r="A355" s="613"/>
      <c r="B355" s="209" t="s">
        <v>16</v>
      </c>
      <c r="C355" s="209" t="s">
        <v>18</v>
      </c>
      <c r="D355" s="212">
        <v>1.2330000000000001</v>
      </c>
      <c r="E355" s="212">
        <v>0.2046</v>
      </c>
      <c r="F355" s="212">
        <v>1.1000000000000001E-3</v>
      </c>
      <c r="G355" s="212">
        <v>4.8999999999999998E-3</v>
      </c>
    </row>
    <row r="356" spans="1:7">
      <c r="A356" s="612" t="s">
        <v>580</v>
      </c>
      <c r="B356" s="204" t="s">
        <v>701</v>
      </c>
      <c r="C356" s="204" t="s">
        <v>14</v>
      </c>
      <c r="D356" s="207">
        <v>0.72460000000000002</v>
      </c>
      <c r="E356" s="207">
        <v>0.1242</v>
      </c>
      <c r="F356" s="207">
        <v>0.12280000000000001</v>
      </c>
      <c r="G356" s="207">
        <v>4.4999999999999997E-3</v>
      </c>
    </row>
    <row r="357" spans="1:7">
      <c r="A357" s="616"/>
      <c r="B357" s="82" t="s">
        <v>701</v>
      </c>
      <c r="C357" s="82" t="s">
        <v>16</v>
      </c>
      <c r="D357" s="107">
        <v>0.66600000000000004</v>
      </c>
      <c r="E357" s="107">
        <v>0.11749999999999999</v>
      </c>
      <c r="F357" s="107">
        <v>0.1948</v>
      </c>
      <c r="G357" s="107">
        <v>4.8999999999999998E-3</v>
      </c>
    </row>
    <row r="358" spans="1:7">
      <c r="A358" s="616"/>
      <c r="B358" s="82" t="s">
        <v>701</v>
      </c>
      <c r="C358" s="82" t="s">
        <v>18</v>
      </c>
      <c r="D358" s="107">
        <v>0.71479999999999999</v>
      </c>
      <c r="E358" s="107">
        <v>0.14419999999999999</v>
      </c>
      <c r="F358" s="107">
        <v>0.2049</v>
      </c>
      <c r="G358" s="107">
        <v>4.7000000000000002E-3</v>
      </c>
    </row>
    <row r="359" spans="1:7">
      <c r="A359" s="616"/>
      <c r="B359" s="82" t="s">
        <v>14</v>
      </c>
      <c r="C359" s="82" t="s">
        <v>16</v>
      </c>
      <c r="D359" s="107">
        <v>1.0808</v>
      </c>
      <c r="E359" s="107">
        <v>0.2054</v>
      </c>
      <c r="F359" s="107">
        <v>-3.8E-3</v>
      </c>
      <c r="G359" s="107">
        <v>5.1999999999999998E-3</v>
      </c>
    </row>
    <row r="360" spans="1:7">
      <c r="A360" s="616"/>
      <c r="B360" s="82" t="s">
        <v>14</v>
      </c>
      <c r="C360" s="82" t="s">
        <v>18</v>
      </c>
      <c r="D360" s="107">
        <v>0.79930000000000001</v>
      </c>
      <c r="E360" s="107">
        <v>0.22839999999999999</v>
      </c>
      <c r="F360" s="107">
        <v>2.8999999999999998E-3</v>
      </c>
      <c r="G360" s="107">
        <v>4.8999999999999998E-3</v>
      </c>
    </row>
    <row r="361" spans="1:7">
      <c r="A361" s="613"/>
      <c r="B361" s="209" t="s">
        <v>16</v>
      </c>
      <c r="C361" s="209" t="s">
        <v>18</v>
      </c>
      <c r="D361" s="212">
        <v>0.83989999999999998</v>
      </c>
      <c r="E361" s="212">
        <v>0.21579999999999999</v>
      </c>
      <c r="F361" s="212">
        <v>5.9999999999999995E-4</v>
      </c>
      <c r="G361" s="212">
        <v>3.8E-3</v>
      </c>
    </row>
    <row r="362" spans="1:7">
      <c r="A362" s="612" t="s">
        <v>581</v>
      </c>
      <c r="B362" s="204" t="s">
        <v>793</v>
      </c>
      <c r="C362" s="204" t="s">
        <v>792</v>
      </c>
      <c r="D362" s="207">
        <v>0.90200000000000002</v>
      </c>
      <c r="E362" s="207">
        <v>9.64E-2</v>
      </c>
      <c r="F362" s="207">
        <v>1.12E-2</v>
      </c>
      <c r="G362" s="207">
        <v>4.7999999999999996E-3</v>
      </c>
    </row>
    <row r="363" spans="1:7">
      <c r="A363" s="616"/>
      <c r="B363" s="82" t="s">
        <v>793</v>
      </c>
      <c r="C363" s="82" t="s">
        <v>733</v>
      </c>
      <c r="D363" s="107">
        <v>0.97330000000000005</v>
      </c>
      <c r="E363" s="107">
        <v>5.4100000000000002E-2</v>
      </c>
      <c r="F363" s="107">
        <v>0.2626</v>
      </c>
      <c r="G363" s="107">
        <v>5.4000000000000003E-3</v>
      </c>
    </row>
    <row r="364" spans="1:7">
      <c r="A364" s="616"/>
      <c r="B364" s="82" t="s">
        <v>793</v>
      </c>
      <c r="C364" s="82" t="s">
        <v>791</v>
      </c>
      <c r="D364" s="107">
        <v>0.72460000000000002</v>
      </c>
      <c r="E364" s="107">
        <v>0.1242</v>
      </c>
      <c r="F364" s="107">
        <v>0.12280000000000001</v>
      </c>
      <c r="G364" s="107">
        <v>4.4999999999999997E-3</v>
      </c>
    </row>
    <row r="365" spans="1:7">
      <c r="A365" s="616"/>
      <c r="B365" s="82" t="s">
        <v>793</v>
      </c>
      <c r="C365" s="82" t="s">
        <v>787</v>
      </c>
      <c r="D365" s="107">
        <v>0.88560000000000005</v>
      </c>
      <c r="E365" s="107">
        <v>0.1012</v>
      </c>
      <c r="F365" s="107">
        <v>-1.2999999999999999E-3</v>
      </c>
      <c r="G365" s="107">
        <v>4.5999999999999999E-3</v>
      </c>
    </row>
    <row r="366" spans="1:7">
      <c r="A366" s="616"/>
      <c r="B366" s="82" t="s">
        <v>793</v>
      </c>
      <c r="C366" s="82" t="s">
        <v>790</v>
      </c>
      <c r="D366" s="107">
        <v>0.66600000000000004</v>
      </c>
      <c r="E366" s="107">
        <v>0.11749999999999999</v>
      </c>
      <c r="F366" s="107">
        <v>0.1948</v>
      </c>
      <c r="G366" s="107">
        <v>4.8999999999999998E-3</v>
      </c>
    </row>
    <row r="367" spans="1:7">
      <c r="A367" s="616"/>
      <c r="B367" s="82" t="s">
        <v>793</v>
      </c>
      <c r="C367" s="82" t="s">
        <v>786</v>
      </c>
      <c r="D367" s="107">
        <v>0.85519999999999996</v>
      </c>
      <c r="E367" s="107">
        <v>0.1057</v>
      </c>
      <c r="F367" s="107">
        <v>-5.1999999999999998E-3</v>
      </c>
      <c r="G367" s="107">
        <v>5.1000000000000004E-3</v>
      </c>
    </row>
    <row r="368" spans="1:7">
      <c r="A368" s="616"/>
      <c r="B368" s="82" t="s">
        <v>793</v>
      </c>
      <c r="C368" s="82" t="s">
        <v>789</v>
      </c>
      <c r="D368" s="107">
        <v>0.71479999999999999</v>
      </c>
      <c r="E368" s="107">
        <v>0.14419999999999999</v>
      </c>
      <c r="F368" s="107">
        <v>0.2049</v>
      </c>
      <c r="G368" s="107">
        <v>4.7000000000000002E-3</v>
      </c>
    </row>
    <row r="369" spans="1:7">
      <c r="A369" s="616"/>
      <c r="B369" s="82" t="s">
        <v>793</v>
      </c>
      <c r="C369" s="82" t="s">
        <v>788</v>
      </c>
      <c r="D369" s="107">
        <v>0.70230000000000004</v>
      </c>
      <c r="E369" s="107">
        <v>9.0999999999999998E-2</v>
      </c>
      <c r="F369" s="107">
        <v>-3.2000000000000002E-3</v>
      </c>
      <c r="G369" s="107">
        <v>5.0000000000000001E-3</v>
      </c>
    </row>
    <row r="370" spans="1:7">
      <c r="A370" s="616"/>
      <c r="B370" s="82" t="s">
        <v>792</v>
      </c>
      <c r="C370" s="82" t="s">
        <v>791</v>
      </c>
      <c r="D370" s="107">
        <v>0.63339999999999996</v>
      </c>
      <c r="E370" s="107">
        <v>0.1336</v>
      </c>
      <c r="F370" s="107">
        <v>-5.0000000000000001E-3</v>
      </c>
      <c r="G370" s="107">
        <v>5.1000000000000004E-3</v>
      </c>
    </row>
    <row r="371" spans="1:7">
      <c r="A371" s="616"/>
      <c r="B371" s="82" t="s">
        <v>792</v>
      </c>
      <c r="C371" s="82" t="s">
        <v>787</v>
      </c>
      <c r="D371" s="107">
        <v>0.81320000000000003</v>
      </c>
      <c r="E371" s="107">
        <v>8.3199999999999996E-2</v>
      </c>
      <c r="F371" s="107">
        <v>0.1118</v>
      </c>
      <c r="G371" s="107">
        <v>5.3E-3</v>
      </c>
    </row>
    <row r="372" spans="1:7">
      <c r="A372" s="616"/>
      <c r="B372" s="82" t="s">
        <v>792</v>
      </c>
      <c r="C372" s="82" t="s">
        <v>790</v>
      </c>
      <c r="D372" s="107">
        <v>0.7177</v>
      </c>
      <c r="E372" s="107">
        <v>0.13930000000000001</v>
      </c>
      <c r="F372" s="107">
        <v>-7.3000000000000001E-3</v>
      </c>
      <c r="G372" s="107">
        <v>5.3E-3</v>
      </c>
    </row>
    <row r="373" spans="1:7">
      <c r="A373" s="616"/>
      <c r="B373" s="82" t="s">
        <v>792</v>
      </c>
      <c r="C373" s="82" t="s">
        <v>786</v>
      </c>
      <c r="D373" s="107">
        <v>0.92349999999999999</v>
      </c>
      <c r="E373" s="107">
        <v>8.3000000000000004E-2</v>
      </c>
      <c r="F373" s="107">
        <v>0.1585</v>
      </c>
      <c r="G373" s="107">
        <v>4.7999999999999996E-3</v>
      </c>
    </row>
    <row r="374" spans="1:7">
      <c r="A374" s="616"/>
      <c r="B374" s="82" t="s">
        <v>792</v>
      </c>
      <c r="C374" s="82" t="s">
        <v>789</v>
      </c>
      <c r="D374" s="107">
        <v>0.82140000000000002</v>
      </c>
      <c r="E374" s="107">
        <v>0.17180000000000001</v>
      </c>
      <c r="F374" s="107">
        <v>-5.3E-3</v>
      </c>
      <c r="G374" s="107">
        <v>4.5999999999999999E-3</v>
      </c>
    </row>
    <row r="375" spans="1:7">
      <c r="A375" s="616"/>
      <c r="B375" s="82" t="s">
        <v>792</v>
      </c>
      <c r="C375" s="82" t="s">
        <v>788</v>
      </c>
      <c r="D375" s="107">
        <v>0.92830000000000001</v>
      </c>
      <c r="E375" s="107">
        <v>6.6500000000000004E-2</v>
      </c>
      <c r="F375" s="107">
        <v>0.1537</v>
      </c>
      <c r="G375" s="107">
        <v>5.1000000000000004E-3</v>
      </c>
    </row>
    <row r="376" spans="1:7">
      <c r="A376" s="616"/>
      <c r="B376" s="82" t="s">
        <v>733</v>
      </c>
      <c r="C376" s="82" t="s">
        <v>792</v>
      </c>
      <c r="D376" s="107">
        <v>1.0798000000000001</v>
      </c>
      <c r="E376" s="107">
        <v>4.6300000000000001E-2</v>
      </c>
      <c r="F376" s="107">
        <v>0.25600000000000001</v>
      </c>
      <c r="G376" s="107">
        <v>6.0000000000000001E-3</v>
      </c>
    </row>
    <row r="377" spans="1:7">
      <c r="A377" s="616"/>
      <c r="B377" s="82" t="s">
        <v>733</v>
      </c>
      <c r="C377" s="82" t="s">
        <v>791</v>
      </c>
      <c r="D377" s="107">
        <v>0.75380000000000003</v>
      </c>
      <c r="E377" s="107">
        <v>7.7200000000000005E-2</v>
      </c>
      <c r="F377" s="107">
        <v>0.27339999999999998</v>
      </c>
      <c r="G377" s="107">
        <v>5.7999999999999996E-3</v>
      </c>
    </row>
    <row r="378" spans="1:7">
      <c r="A378" s="616"/>
      <c r="B378" s="82" t="s">
        <v>733</v>
      </c>
      <c r="C378" s="82" t="s">
        <v>787</v>
      </c>
      <c r="D378" s="107">
        <v>0.8952</v>
      </c>
      <c r="E378" s="107">
        <v>3.9100000000000003E-2</v>
      </c>
      <c r="F378" s="107">
        <v>0.35289999999999999</v>
      </c>
      <c r="G378" s="107">
        <v>5.3E-3</v>
      </c>
    </row>
    <row r="379" spans="1:7">
      <c r="A379" s="616"/>
      <c r="B379" s="82" t="s">
        <v>733</v>
      </c>
      <c r="C379" s="82" t="s">
        <v>790</v>
      </c>
      <c r="D379" s="107">
        <v>0.82010000000000005</v>
      </c>
      <c r="E379" s="107">
        <v>8.5699999999999998E-2</v>
      </c>
      <c r="F379" s="107">
        <v>0.26910000000000001</v>
      </c>
      <c r="G379" s="107">
        <v>5.1999999999999998E-3</v>
      </c>
    </row>
    <row r="380" spans="1:7">
      <c r="A380" s="616"/>
      <c r="B380" s="82" t="s">
        <v>733</v>
      </c>
      <c r="C380" s="82" t="s">
        <v>786</v>
      </c>
      <c r="D380" s="107">
        <v>0.96850000000000003</v>
      </c>
      <c r="E380" s="107">
        <v>4.7899999999999998E-2</v>
      </c>
      <c r="F380" s="107">
        <v>0.3412</v>
      </c>
      <c r="G380" s="107">
        <v>6.1999999999999998E-3</v>
      </c>
    </row>
    <row r="381" spans="1:7">
      <c r="A381" s="616"/>
      <c r="B381" s="82" t="s">
        <v>733</v>
      </c>
      <c r="C381" s="82" t="s">
        <v>789</v>
      </c>
      <c r="D381" s="107">
        <v>0.76500000000000001</v>
      </c>
      <c r="E381" s="107">
        <v>0.10979999999999999</v>
      </c>
      <c r="F381" s="107">
        <v>0.28720000000000001</v>
      </c>
      <c r="G381" s="107">
        <v>5.7000000000000002E-3</v>
      </c>
    </row>
    <row r="382" spans="1:7">
      <c r="A382" s="616"/>
      <c r="B382" s="82" t="s">
        <v>733</v>
      </c>
      <c r="C382" s="82" t="s">
        <v>788</v>
      </c>
      <c r="D382" s="107">
        <v>0.84809999999999997</v>
      </c>
      <c r="E382" s="107">
        <v>3.2000000000000001E-2</v>
      </c>
      <c r="F382" s="107">
        <v>0.32379999999999998</v>
      </c>
      <c r="G382" s="107">
        <v>5.3E-3</v>
      </c>
    </row>
    <row r="383" spans="1:7">
      <c r="A383" s="616"/>
      <c r="B383" s="82" t="s">
        <v>791</v>
      </c>
      <c r="C383" s="82" t="s">
        <v>787</v>
      </c>
      <c r="D383" s="107">
        <v>0.64780000000000004</v>
      </c>
      <c r="E383" s="107">
        <v>0.1298</v>
      </c>
      <c r="F383" s="107">
        <v>4.0000000000000001E-3</v>
      </c>
      <c r="G383" s="107">
        <v>4.7999999999999996E-3</v>
      </c>
    </row>
    <row r="384" spans="1:7">
      <c r="A384" s="616"/>
      <c r="B384" s="82" t="s">
        <v>791</v>
      </c>
      <c r="C384" s="82" t="s">
        <v>790</v>
      </c>
      <c r="D384" s="107">
        <v>1.0808</v>
      </c>
      <c r="E384" s="107">
        <v>0.2054</v>
      </c>
      <c r="F384" s="107">
        <v>-3.8E-3</v>
      </c>
      <c r="G384" s="107">
        <v>5.1999999999999998E-3</v>
      </c>
    </row>
    <row r="385" spans="1:7">
      <c r="A385" s="616"/>
      <c r="B385" s="82" t="s">
        <v>791</v>
      </c>
      <c r="C385" s="82" t="s">
        <v>786</v>
      </c>
      <c r="D385" s="107">
        <v>0.59630000000000005</v>
      </c>
      <c r="E385" s="107">
        <v>0.12540000000000001</v>
      </c>
      <c r="F385" s="107">
        <v>2.0999999999999999E-3</v>
      </c>
      <c r="G385" s="107">
        <v>4.7000000000000002E-3</v>
      </c>
    </row>
    <row r="386" spans="1:7">
      <c r="A386" s="616"/>
      <c r="B386" s="82" t="s">
        <v>791</v>
      </c>
      <c r="C386" s="82" t="s">
        <v>789</v>
      </c>
      <c r="D386" s="107">
        <v>0.79930000000000001</v>
      </c>
      <c r="E386" s="107">
        <v>0.22839999999999999</v>
      </c>
      <c r="F386" s="107">
        <v>2.8999999999999998E-3</v>
      </c>
      <c r="G386" s="107">
        <v>4.8999999999999998E-3</v>
      </c>
    </row>
    <row r="387" spans="1:7">
      <c r="A387" s="616"/>
      <c r="B387" s="82" t="s">
        <v>791</v>
      </c>
      <c r="C387" s="82" t="s">
        <v>788</v>
      </c>
      <c r="D387" s="107">
        <v>0.50900000000000001</v>
      </c>
      <c r="E387" s="107">
        <v>0.1171</v>
      </c>
      <c r="F387" s="107">
        <v>-1.09E-2</v>
      </c>
      <c r="G387" s="107">
        <v>4.5999999999999999E-3</v>
      </c>
    </row>
    <row r="388" spans="1:7">
      <c r="A388" s="616"/>
      <c r="B388" s="82" t="s">
        <v>787</v>
      </c>
      <c r="C388" s="82" t="s">
        <v>786</v>
      </c>
      <c r="D388" s="107">
        <v>1.0037</v>
      </c>
      <c r="E388" s="107">
        <v>0.10050000000000001</v>
      </c>
      <c r="F388" s="107">
        <v>5.8999999999999999E-3</v>
      </c>
      <c r="G388" s="107">
        <v>4.3E-3</v>
      </c>
    </row>
    <row r="389" spans="1:7">
      <c r="A389" s="616"/>
      <c r="B389" s="82" t="s">
        <v>787</v>
      </c>
      <c r="C389" s="82" t="s">
        <v>788</v>
      </c>
      <c r="D389" s="107">
        <v>0.85850000000000004</v>
      </c>
      <c r="E389" s="107">
        <v>8.0299999999999996E-2</v>
      </c>
      <c r="F389" s="107">
        <v>-1.1000000000000001E-3</v>
      </c>
      <c r="G389" s="107">
        <v>4.7000000000000002E-3</v>
      </c>
    </row>
    <row r="390" spans="1:7">
      <c r="A390" s="616"/>
      <c r="B390" s="82" t="s">
        <v>790</v>
      </c>
      <c r="C390" s="82" t="s">
        <v>787</v>
      </c>
      <c r="D390" s="107">
        <v>0.49509999999999998</v>
      </c>
      <c r="E390" s="107">
        <v>0.1159</v>
      </c>
      <c r="F390" s="107">
        <v>4.0000000000000001E-3</v>
      </c>
      <c r="G390" s="107">
        <v>4.4000000000000003E-3</v>
      </c>
    </row>
    <row r="391" spans="1:7">
      <c r="A391" s="616"/>
      <c r="B391" s="82" t="s">
        <v>790</v>
      </c>
      <c r="C391" s="82" t="s">
        <v>786</v>
      </c>
      <c r="D391" s="107">
        <v>0.87490000000000001</v>
      </c>
      <c r="E391" s="107">
        <v>0.15590000000000001</v>
      </c>
      <c r="F391" s="107">
        <v>-7.3000000000000001E-3</v>
      </c>
      <c r="G391" s="107">
        <v>5.1000000000000004E-3</v>
      </c>
    </row>
    <row r="392" spans="1:7">
      <c r="A392" s="616"/>
      <c r="B392" s="82" t="s">
        <v>790</v>
      </c>
      <c r="C392" s="82" t="s">
        <v>789</v>
      </c>
      <c r="D392" s="107">
        <v>0.83989999999999998</v>
      </c>
      <c r="E392" s="107">
        <v>0.21579999999999999</v>
      </c>
      <c r="F392" s="107">
        <v>5.9999999999999995E-4</v>
      </c>
      <c r="G392" s="107">
        <v>3.8E-3</v>
      </c>
    </row>
    <row r="393" spans="1:7">
      <c r="A393" s="616"/>
      <c r="B393" s="82" t="s">
        <v>790</v>
      </c>
      <c r="C393" s="82" t="s">
        <v>788</v>
      </c>
      <c r="D393" s="107">
        <v>0.66200000000000003</v>
      </c>
      <c r="E393" s="107">
        <v>0.1305</v>
      </c>
      <c r="F393" s="107">
        <v>-9.7999999999999997E-3</v>
      </c>
      <c r="G393" s="107">
        <v>4.7000000000000002E-3</v>
      </c>
    </row>
    <row r="394" spans="1:7">
      <c r="A394" s="616"/>
      <c r="B394" s="82" t="s">
        <v>786</v>
      </c>
      <c r="C394" s="82" t="s">
        <v>788</v>
      </c>
      <c r="D394" s="107">
        <v>0.9657</v>
      </c>
      <c r="E394" s="107">
        <v>9.1200000000000003E-2</v>
      </c>
      <c r="F394" s="107">
        <v>-2.3999999999999998E-3</v>
      </c>
      <c r="G394" s="107">
        <v>5.3E-3</v>
      </c>
    </row>
    <row r="395" spans="1:7">
      <c r="A395" s="616"/>
      <c r="B395" s="82" t="s">
        <v>789</v>
      </c>
      <c r="C395" s="82" t="s">
        <v>787</v>
      </c>
      <c r="D395" s="107">
        <v>0.66679999999999995</v>
      </c>
      <c r="E395" s="107">
        <v>0.16020000000000001</v>
      </c>
      <c r="F395" s="107">
        <v>1E-3</v>
      </c>
      <c r="G395" s="107">
        <v>4.7000000000000002E-3</v>
      </c>
    </row>
    <row r="396" spans="1:7">
      <c r="A396" s="616"/>
      <c r="B396" s="82" t="s">
        <v>789</v>
      </c>
      <c r="C396" s="82" t="s">
        <v>786</v>
      </c>
      <c r="D396" s="107">
        <v>0.60489999999999999</v>
      </c>
      <c r="E396" s="107">
        <v>0.15870000000000001</v>
      </c>
      <c r="F396" s="107">
        <v>8.2000000000000007E-3</v>
      </c>
      <c r="G396" s="107">
        <v>4.4999999999999997E-3</v>
      </c>
    </row>
    <row r="397" spans="1:7">
      <c r="A397" s="613"/>
      <c r="B397" s="209" t="s">
        <v>789</v>
      </c>
      <c r="C397" s="209" t="s">
        <v>788</v>
      </c>
      <c r="D397" s="212">
        <v>0.51829999999999998</v>
      </c>
      <c r="E397" s="212">
        <v>0.13070000000000001</v>
      </c>
      <c r="F397" s="212">
        <v>2.3999999999999998E-3</v>
      </c>
      <c r="G397" s="212">
        <v>4.4999999999999997E-3</v>
      </c>
    </row>
    <row r="398" spans="1:7">
      <c r="A398" s="616" t="s">
        <v>582</v>
      </c>
      <c r="B398" s="82" t="s">
        <v>701</v>
      </c>
      <c r="C398" s="82" t="s">
        <v>14</v>
      </c>
      <c r="D398" s="107">
        <v>0.81320000000000003</v>
      </c>
      <c r="E398" s="107">
        <v>8.3199999999999996E-2</v>
      </c>
      <c r="F398" s="107">
        <v>0.1118</v>
      </c>
      <c r="G398" s="107">
        <v>5.3E-3</v>
      </c>
    </row>
    <row r="399" spans="1:7">
      <c r="A399" s="616"/>
      <c r="B399" s="82" t="s">
        <v>701</v>
      </c>
      <c r="C399" s="82" t="s">
        <v>16</v>
      </c>
      <c r="D399" s="107">
        <v>0.92349999999999999</v>
      </c>
      <c r="E399" s="107">
        <v>8.3000000000000004E-2</v>
      </c>
      <c r="F399" s="107">
        <v>0.1585</v>
      </c>
      <c r="G399" s="107">
        <v>4.7999999999999996E-3</v>
      </c>
    </row>
    <row r="400" spans="1:7">
      <c r="A400" s="616"/>
      <c r="B400" s="82" t="s">
        <v>701</v>
      </c>
      <c r="C400" s="82" t="s">
        <v>18</v>
      </c>
      <c r="D400" s="107">
        <v>0.92830000000000001</v>
      </c>
      <c r="E400" s="107">
        <v>6.6500000000000004E-2</v>
      </c>
      <c r="F400" s="107">
        <v>0.1537</v>
      </c>
      <c r="G400" s="107">
        <v>5.1000000000000004E-3</v>
      </c>
    </row>
    <row r="401" spans="1:7">
      <c r="A401" s="616"/>
      <c r="B401" s="82" t="s">
        <v>14</v>
      </c>
      <c r="C401" s="82" t="s">
        <v>16</v>
      </c>
      <c r="D401" s="107">
        <v>1.0037</v>
      </c>
      <c r="E401" s="107">
        <v>0.10050000000000001</v>
      </c>
      <c r="F401" s="107">
        <v>5.8999999999999999E-3</v>
      </c>
      <c r="G401" s="107">
        <v>4.3E-3</v>
      </c>
    </row>
    <row r="402" spans="1:7">
      <c r="A402" s="616"/>
      <c r="B402" s="82" t="s">
        <v>14</v>
      </c>
      <c r="C402" s="82" t="s">
        <v>18</v>
      </c>
      <c r="D402" s="107">
        <v>0.85850000000000004</v>
      </c>
      <c r="E402" s="107">
        <v>8.0299999999999996E-2</v>
      </c>
      <c r="F402" s="107">
        <v>-1.1000000000000001E-3</v>
      </c>
      <c r="G402" s="107">
        <v>4.7000000000000002E-3</v>
      </c>
    </row>
    <row r="403" spans="1:7">
      <c r="A403" s="616"/>
      <c r="B403" s="82" t="s">
        <v>16</v>
      </c>
      <c r="C403" s="82" t="s">
        <v>18</v>
      </c>
      <c r="D403" s="107">
        <v>0.9657</v>
      </c>
      <c r="E403" s="107">
        <v>9.1200000000000003E-2</v>
      </c>
      <c r="F403" s="107">
        <v>-2.3999999999999998E-3</v>
      </c>
      <c r="G403" s="107">
        <v>5.3E-3</v>
      </c>
    </row>
    <row r="404" spans="1:7">
      <c r="A404" s="61" t="s">
        <v>574</v>
      </c>
      <c r="B404" s="52"/>
      <c r="C404" s="52"/>
      <c r="D404" s="101"/>
      <c r="E404" s="198"/>
      <c r="F404" s="198"/>
      <c r="G404" s="198"/>
    </row>
    <row r="405" spans="1:7">
      <c r="A405" s="214" t="s">
        <v>186</v>
      </c>
      <c r="B405" s="657" t="s">
        <v>9</v>
      </c>
      <c r="C405" s="657"/>
      <c r="D405" s="657"/>
      <c r="E405" s="657"/>
      <c r="F405" s="657"/>
      <c r="G405" s="657"/>
    </row>
    <row r="406" spans="1:7">
      <c r="A406" s="214" t="s">
        <v>187</v>
      </c>
      <c r="B406" s="657" t="s">
        <v>9</v>
      </c>
      <c r="C406" s="657"/>
      <c r="D406" s="657"/>
      <c r="E406" s="657"/>
      <c r="F406" s="657"/>
      <c r="G406" s="657"/>
    </row>
    <row r="407" spans="1:7">
      <c r="A407" s="612" t="s">
        <v>188</v>
      </c>
      <c r="B407" s="204" t="s">
        <v>144</v>
      </c>
      <c r="C407" s="204" t="s">
        <v>14</v>
      </c>
      <c r="D407" s="207">
        <v>0.87</v>
      </c>
      <c r="E407" s="207">
        <v>0.21060000000000001</v>
      </c>
      <c r="F407" s="207">
        <v>3.0999999999999999E-3</v>
      </c>
      <c r="G407" s="207">
        <v>5.5999999999999999E-3</v>
      </c>
    </row>
    <row r="408" spans="1:7">
      <c r="A408" s="616"/>
      <c r="B408" s="82" t="s">
        <v>144</v>
      </c>
      <c r="C408" s="82" t="s">
        <v>16</v>
      </c>
      <c r="D408" s="107">
        <v>0.92620000000000002</v>
      </c>
      <c r="E408" s="107">
        <v>0.1396</v>
      </c>
      <c r="F408" s="107">
        <v>4.3E-3</v>
      </c>
      <c r="G408" s="107">
        <v>5.5999999999999999E-3</v>
      </c>
    </row>
    <row r="409" spans="1:7">
      <c r="A409" s="616"/>
      <c r="B409" s="82" t="s">
        <v>144</v>
      </c>
      <c r="C409" s="82" t="s">
        <v>18</v>
      </c>
      <c r="D409" s="107">
        <v>0.88319999999999999</v>
      </c>
      <c r="E409" s="107">
        <v>0.2505</v>
      </c>
      <c r="F409" s="107">
        <v>1.2500000000000001E-2</v>
      </c>
      <c r="G409" s="107">
        <v>6.1999999999999998E-3</v>
      </c>
    </row>
    <row r="410" spans="1:7">
      <c r="A410" s="616"/>
      <c r="B410" s="82" t="s">
        <v>14</v>
      </c>
      <c r="C410" s="82" t="s">
        <v>16</v>
      </c>
      <c r="D410" s="107">
        <v>1.2405999999999999</v>
      </c>
      <c r="E410" s="107">
        <v>0.30070000000000002</v>
      </c>
      <c r="F410" s="107">
        <v>3.8999999999999998E-3</v>
      </c>
      <c r="G410" s="107">
        <v>4.8999999999999998E-3</v>
      </c>
    </row>
    <row r="411" spans="1:7">
      <c r="A411" s="616"/>
      <c r="B411" s="82" t="s">
        <v>14</v>
      </c>
      <c r="C411" s="82" t="s">
        <v>18</v>
      </c>
      <c r="D411" s="107">
        <v>0.96519999999999995</v>
      </c>
      <c r="E411" s="107">
        <v>0.37609999999999999</v>
      </c>
      <c r="F411" s="107">
        <v>1.0500000000000001E-2</v>
      </c>
      <c r="G411" s="107">
        <v>4.4000000000000003E-3</v>
      </c>
    </row>
    <row r="412" spans="1:7">
      <c r="A412" s="613"/>
      <c r="B412" s="209" t="s">
        <v>16</v>
      </c>
      <c r="C412" s="209" t="s">
        <v>18</v>
      </c>
      <c r="D412" s="212">
        <v>1.4461999999999999</v>
      </c>
      <c r="E412" s="212">
        <v>0.37430000000000002</v>
      </c>
      <c r="F412" s="212">
        <v>-1.4E-3</v>
      </c>
      <c r="G412" s="212">
        <v>4.8999999999999998E-3</v>
      </c>
    </row>
    <row r="413" spans="1:7">
      <c r="A413" s="612" t="s">
        <v>198</v>
      </c>
      <c r="B413" s="204" t="s">
        <v>144</v>
      </c>
      <c r="C413" s="204" t="s">
        <v>777</v>
      </c>
      <c r="D413" s="207">
        <v>0.82120000000000004</v>
      </c>
      <c r="E413" s="207">
        <v>9.4E-2</v>
      </c>
      <c r="F413" s="207">
        <v>6.6E-3</v>
      </c>
      <c r="G413" s="207">
        <v>7.7999999999999996E-3</v>
      </c>
    </row>
    <row r="414" spans="1:7">
      <c r="A414" s="616"/>
      <c r="B414" s="82" t="s">
        <v>144</v>
      </c>
      <c r="C414" s="82" t="s">
        <v>14</v>
      </c>
      <c r="D414" s="107">
        <v>0.7974</v>
      </c>
      <c r="E414" s="107">
        <v>9.4799999999999995E-2</v>
      </c>
      <c r="F414" s="107">
        <v>1.6999999999999999E-3</v>
      </c>
      <c r="G414" s="107">
        <v>6.4999999999999997E-3</v>
      </c>
    </row>
    <row r="415" spans="1:7">
      <c r="A415" s="616"/>
      <c r="B415" s="82" t="s">
        <v>144</v>
      </c>
      <c r="C415" s="82" t="s">
        <v>16</v>
      </c>
      <c r="D415" s="107">
        <v>0.90029999999999999</v>
      </c>
      <c r="E415" s="107">
        <v>0.1038</v>
      </c>
      <c r="F415" s="107">
        <v>-2.8999999999999998E-3</v>
      </c>
      <c r="G415" s="107">
        <v>6.0000000000000001E-3</v>
      </c>
    </row>
    <row r="416" spans="1:7">
      <c r="A416" s="616"/>
      <c r="B416" s="82" t="s">
        <v>144</v>
      </c>
      <c r="C416" s="82" t="s">
        <v>18</v>
      </c>
      <c r="D416" s="107">
        <v>0.85409999999999997</v>
      </c>
      <c r="E416" s="107">
        <v>0.1079</v>
      </c>
      <c r="F416" s="107">
        <v>2.5000000000000001E-3</v>
      </c>
      <c r="G416" s="107">
        <v>6.4999999999999997E-3</v>
      </c>
    </row>
    <row r="417" spans="1:7">
      <c r="A417" s="616"/>
      <c r="B417" s="82" t="s">
        <v>777</v>
      </c>
      <c r="C417" s="82" t="s">
        <v>14</v>
      </c>
      <c r="D417" s="107">
        <v>0.93910000000000005</v>
      </c>
      <c r="E417" s="107">
        <v>3.6900000000000002E-2</v>
      </c>
      <c r="F417" s="107">
        <v>1.8599999999999998E-2</v>
      </c>
      <c r="G417" s="107">
        <v>1.06E-2</v>
      </c>
    </row>
    <row r="418" spans="1:7">
      <c r="A418" s="616"/>
      <c r="B418" s="82" t="s">
        <v>777</v>
      </c>
      <c r="C418" s="82" t="s">
        <v>16</v>
      </c>
      <c r="D418" s="107">
        <v>0.98780000000000001</v>
      </c>
      <c r="E418" s="107">
        <v>3.3799999999999997E-2</v>
      </c>
      <c r="F418" s="107">
        <v>1.89E-2</v>
      </c>
      <c r="G418" s="107">
        <v>1.03E-2</v>
      </c>
    </row>
    <row r="419" spans="1:7">
      <c r="A419" s="616"/>
      <c r="B419" s="82" t="s">
        <v>777</v>
      </c>
      <c r="C419" s="82" t="s">
        <v>18</v>
      </c>
      <c r="D419" s="107">
        <v>0.87470000000000003</v>
      </c>
      <c r="E419" s="107">
        <v>3.2500000000000001E-2</v>
      </c>
      <c r="F419" s="107">
        <v>3.5900000000000001E-2</v>
      </c>
      <c r="G419" s="107">
        <v>9.7000000000000003E-3</v>
      </c>
    </row>
    <row r="420" spans="1:7">
      <c r="A420" s="616"/>
      <c r="B420" s="82" t="s">
        <v>14</v>
      </c>
      <c r="C420" s="82" t="s">
        <v>16</v>
      </c>
      <c r="D420" s="107">
        <v>1.0544</v>
      </c>
      <c r="E420" s="107">
        <v>5.0700000000000002E-2</v>
      </c>
      <c r="F420" s="107">
        <v>1.0699999999999999E-2</v>
      </c>
      <c r="G420" s="107">
        <v>7.7000000000000002E-3</v>
      </c>
    </row>
    <row r="421" spans="1:7">
      <c r="A421" s="616"/>
      <c r="B421" s="82" t="s">
        <v>14</v>
      </c>
      <c r="C421" s="82" t="s">
        <v>18</v>
      </c>
      <c r="D421" s="107">
        <v>1.0114000000000001</v>
      </c>
      <c r="E421" s="107">
        <v>4.9500000000000002E-2</v>
      </c>
      <c r="F421" s="107">
        <v>0.01</v>
      </c>
      <c r="G421" s="107">
        <v>8.2000000000000007E-3</v>
      </c>
    </row>
    <row r="422" spans="1:7">
      <c r="A422" s="613"/>
      <c r="B422" s="209" t="s">
        <v>16</v>
      </c>
      <c r="C422" s="209" t="s">
        <v>18</v>
      </c>
      <c r="D422" s="212">
        <v>1.0374000000000001</v>
      </c>
      <c r="E422" s="212">
        <v>5.1799999999999999E-2</v>
      </c>
      <c r="F422" s="212">
        <v>1.6500000000000001E-2</v>
      </c>
      <c r="G422" s="212">
        <v>7.4000000000000003E-3</v>
      </c>
    </row>
    <row r="423" spans="1:7">
      <c r="A423" s="612" t="s">
        <v>210</v>
      </c>
      <c r="B423" s="204" t="s">
        <v>144</v>
      </c>
      <c r="C423" s="204" t="s">
        <v>709</v>
      </c>
      <c r="D423" s="207">
        <v>1.0611999999999999</v>
      </c>
      <c r="E423" s="207">
        <v>4.5199999999999997E-2</v>
      </c>
      <c r="F423" s="207">
        <v>0.02</v>
      </c>
      <c r="G423" s="207">
        <v>9.4000000000000004E-3</v>
      </c>
    </row>
    <row r="424" spans="1:7">
      <c r="A424" s="616"/>
      <c r="B424" s="82" t="s">
        <v>144</v>
      </c>
      <c r="C424" s="82" t="s">
        <v>14</v>
      </c>
      <c r="D424" s="107">
        <v>1.0164</v>
      </c>
      <c r="E424" s="107">
        <v>5.3600000000000002E-2</v>
      </c>
      <c r="F424" s="107">
        <v>2.1700000000000001E-2</v>
      </c>
      <c r="G424" s="107">
        <v>9.1000000000000004E-3</v>
      </c>
    </row>
    <row r="425" spans="1:7">
      <c r="A425" s="616"/>
      <c r="B425" s="82" t="s">
        <v>144</v>
      </c>
      <c r="C425" s="82" t="s">
        <v>16</v>
      </c>
      <c r="D425" s="107">
        <v>1.0591999999999999</v>
      </c>
      <c r="E425" s="107">
        <v>5.5899999999999998E-2</v>
      </c>
      <c r="F425" s="107">
        <v>2.1399999999999999E-2</v>
      </c>
      <c r="G425" s="107">
        <v>8.3999999999999995E-3</v>
      </c>
    </row>
    <row r="426" spans="1:7">
      <c r="A426" s="616"/>
      <c r="B426" s="82" t="s">
        <v>144</v>
      </c>
      <c r="C426" s="82" t="s">
        <v>18</v>
      </c>
      <c r="D426" s="107">
        <v>0.98809999999999998</v>
      </c>
      <c r="E426" s="107">
        <v>5.7599999999999998E-2</v>
      </c>
      <c r="F426" s="107">
        <v>1.77E-2</v>
      </c>
      <c r="G426" s="107">
        <v>8.3000000000000001E-3</v>
      </c>
    </row>
    <row r="427" spans="1:7">
      <c r="A427" s="616"/>
      <c r="B427" s="82" t="s">
        <v>709</v>
      </c>
      <c r="C427" s="82" t="s">
        <v>14</v>
      </c>
      <c r="D427" s="107">
        <v>0.96840000000000004</v>
      </c>
      <c r="E427" s="107">
        <v>2.7E-2</v>
      </c>
      <c r="F427" s="107">
        <v>0.2266</v>
      </c>
      <c r="G427" s="107">
        <v>9.7000000000000003E-3</v>
      </c>
    </row>
    <row r="428" spans="1:7">
      <c r="A428" s="616"/>
      <c r="B428" s="82" t="s">
        <v>709</v>
      </c>
      <c r="C428" s="82" t="s">
        <v>16</v>
      </c>
      <c r="D428" s="107">
        <v>0.99590000000000001</v>
      </c>
      <c r="E428" s="107">
        <v>2.8899999999999999E-2</v>
      </c>
      <c r="F428" s="107">
        <v>0.23669999999999999</v>
      </c>
      <c r="G428" s="107">
        <v>9.7000000000000003E-3</v>
      </c>
    </row>
    <row r="429" spans="1:7">
      <c r="A429" s="616"/>
      <c r="B429" s="82" t="s">
        <v>709</v>
      </c>
      <c r="C429" s="82" t="s">
        <v>18</v>
      </c>
      <c r="D429" s="107">
        <v>0.92320000000000002</v>
      </c>
      <c r="E429" s="107">
        <v>2.7300000000000001E-2</v>
      </c>
      <c r="F429" s="107">
        <v>0.2414</v>
      </c>
      <c r="G429" s="107">
        <v>1.06E-2</v>
      </c>
    </row>
    <row r="430" spans="1:7">
      <c r="A430" s="616"/>
      <c r="B430" s="82" t="s">
        <v>14</v>
      </c>
      <c r="C430" s="82" t="s">
        <v>16</v>
      </c>
      <c r="D430" s="107">
        <v>0.9899</v>
      </c>
      <c r="E430" s="107">
        <v>4.3999999999999997E-2</v>
      </c>
      <c r="F430" s="107">
        <v>2.06E-2</v>
      </c>
      <c r="G430" s="107">
        <v>7.9000000000000008E-3</v>
      </c>
    </row>
    <row r="431" spans="1:7">
      <c r="A431" s="616"/>
      <c r="B431" s="82" t="s">
        <v>14</v>
      </c>
      <c r="C431" s="82" t="s">
        <v>18</v>
      </c>
      <c r="D431" s="107">
        <v>0.91820000000000002</v>
      </c>
      <c r="E431" s="107">
        <v>4.1099999999999998E-2</v>
      </c>
      <c r="F431" s="107">
        <v>2.35E-2</v>
      </c>
      <c r="G431" s="107">
        <v>8.6E-3</v>
      </c>
    </row>
    <row r="432" spans="1:7">
      <c r="A432" s="613"/>
      <c r="B432" s="209" t="s">
        <v>16</v>
      </c>
      <c r="C432" s="209" t="s">
        <v>18</v>
      </c>
      <c r="D432" s="212">
        <v>1.0396000000000001</v>
      </c>
      <c r="E432" s="212">
        <v>4.4900000000000002E-2</v>
      </c>
      <c r="F432" s="212">
        <v>2.0400000000000001E-2</v>
      </c>
      <c r="G432" s="212">
        <v>8.9999999999999993E-3</v>
      </c>
    </row>
    <row r="433" spans="1:7">
      <c r="A433" s="612" t="s">
        <v>583</v>
      </c>
      <c r="B433" s="204" t="s">
        <v>14</v>
      </c>
      <c r="C433" s="204" t="s">
        <v>16</v>
      </c>
      <c r="D433" s="207">
        <v>1.0184</v>
      </c>
      <c r="E433" s="207">
        <v>0.15840000000000001</v>
      </c>
      <c r="F433" s="207">
        <v>1.23E-2</v>
      </c>
      <c r="G433" s="207">
        <v>6.4000000000000003E-3</v>
      </c>
    </row>
    <row r="434" spans="1:7">
      <c r="A434" s="616"/>
      <c r="B434" s="82" t="s">
        <v>14</v>
      </c>
      <c r="C434" s="82" t="s">
        <v>18</v>
      </c>
      <c r="D434" s="107">
        <v>1.1673</v>
      </c>
      <c r="E434" s="107">
        <v>0.1855</v>
      </c>
      <c r="F434" s="107">
        <v>1.1900000000000001E-2</v>
      </c>
      <c r="G434" s="107">
        <v>5.4000000000000003E-3</v>
      </c>
    </row>
    <row r="435" spans="1:7">
      <c r="A435" s="616"/>
      <c r="B435" s="82" t="s">
        <v>16</v>
      </c>
      <c r="C435" s="82" t="s">
        <v>18</v>
      </c>
      <c r="D435" s="107">
        <v>0.70669999999999999</v>
      </c>
      <c r="E435" s="107">
        <v>0.13919999999999999</v>
      </c>
      <c r="F435" s="107">
        <v>1.83E-2</v>
      </c>
      <c r="G435" s="107">
        <v>6.1000000000000004E-3</v>
      </c>
    </row>
    <row r="436" spans="1:7">
      <c r="A436" s="616"/>
      <c r="B436" s="82" t="s">
        <v>717</v>
      </c>
      <c r="C436" s="82" t="s">
        <v>14</v>
      </c>
      <c r="D436" s="107">
        <v>0.96299999999999997</v>
      </c>
      <c r="E436" s="107">
        <v>0.1673</v>
      </c>
      <c r="F436" s="107">
        <v>0.1024</v>
      </c>
      <c r="G436" s="107">
        <v>2.5399999999999999E-2</v>
      </c>
    </row>
    <row r="437" spans="1:7">
      <c r="A437" s="616"/>
      <c r="B437" s="82" t="s">
        <v>717</v>
      </c>
      <c r="C437" s="82" t="s">
        <v>16</v>
      </c>
      <c r="D437" s="107">
        <v>0.92800000000000005</v>
      </c>
      <c r="E437" s="107">
        <v>0.10780000000000001</v>
      </c>
      <c r="F437" s="107">
        <v>9.6199999999999994E-2</v>
      </c>
      <c r="G437" s="107">
        <v>2.81E-2</v>
      </c>
    </row>
    <row r="438" spans="1:7">
      <c r="A438" s="613"/>
      <c r="B438" s="209" t="s">
        <v>717</v>
      </c>
      <c r="C438" s="209" t="s">
        <v>18</v>
      </c>
      <c r="D438" s="212">
        <v>0.98029999999999995</v>
      </c>
      <c r="E438" s="212">
        <v>0.1027</v>
      </c>
      <c r="F438" s="212">
        <v>7.9200000000000007E-2</v>
      </c>
      <c r="G438" s="212">
        <v>2.64E-2</v>
      </c>
    </row>
    <row r="439" spans="1:7">
      <c r="A439" s="612" t="s">
        <v>332</v>
      </c>
      <c r="B439" s="204" t="s">
        <v>777</v>
      </c>
      <c r="C439" s="204" t="s">
        <v>14</v>
      </c>
      <c r="D439" s="207">
        <v>1.0911</v>
      </c>
      <c r="E439" s="207">
        <v>9.4799999999999995E-2</v>
      </c>
      <c r="F439" s="207">
        <v>7.9000000000000008E-3</v>
      </c>
      <c r="G439" s="207">
        <v>5.0000000000000001E-3</v>
      </c>
    </row>
    <row r="440" spans="1:7">
      <c r="A440" s="616"/>
      <c r="B440" s="82" t="s">
        <v>777</v>
      </c>
      <c r="C440" s="82" t="s">
        <v>16</v>
      </c>
      <c r="D440" s="107">
        <v>0.91649999999999998</v>
      </c>
      <c r="E440" s="107">
        <v>6.9199999999999998E-2</v>
      </c>
      <c r="F440" s="107">
        <v>1.21E-2</v>
      </c>
      <c r="G440" s="107">
        <v>5.4000000000000003E-3</v>
      </c>
    </row>
    <row r="441" spans="1:7">
      <c r="A441" s="616"/>
      <c r="B441" s="82" t="s">
        <v>777</v>
      </c>
      <c r="C441" s="82" t="s">
        <v>18</v>
      </c>
      <c r="D441" s="107">
        <v>0.79569999999999996</v>
      </c>
      <c r="E441" s="107">
        <v>5.2400000000000002E-2</v>
      </c>
      <c r="F441" s="107">
        <v>5.0000000000000001E-3</v>
      </c>
      <c r="G441" s="107">
        <v>5.4000000000000003E-3</v>
      </c>
    </row>
    <row r="442" spans="1:7">
      <c r="A442" s="616"/>
      <c r="B442" s="82" t="s">
        <v>14</v>
      </c>
      <c r="C442" s="82" t="s">
        <v>16</v>
      </c>
      <c r="D442" s="107">
        <v>0.98839999999999995</v>
      </c>
      <c r="E442" s="107">
        <v>0.12</v>
      </c>
      <c r="F442" s="107">
        <v>1.4E-2</v>
      </c>
      <c r="G442" s="107">
        <v>5.3E-3</v>
      </c>
    </row>
    <row r="443" spans="1:7">
      <c r="A443" s="616"/>
      <c r="B443" s="82" t="s">
        <v>14</v>
      </c>
      <c r="C443" s="82" t="s">
        <v>18</v>
      </c>
      <c r="D443" s="107">
        <v>0.95540000000000003</v>
      </c>
      <c r="E443" s="107">
        <v>9.1200000000000003E-2</v>
      </c>
      <c r="F443" s="107">
        <v>4.0000000000000001E-3</v>
      </c>
      <c r="G443" s="107">
        <v>5.1999999999999998E-3</v>
      </c>
    </row>
    <row r="444" spans="1:7">
      <c r="A444" s="613"/>
      <c r="B444" s="209" t="s">
        <v>16</v>
      </c>
      <c r="C444" s="209" t="s">
        <v>18</v>
      </c>
      <c r="D444" s="212">
        <v>0.83020000000000005</v>
      </c>
      <c r="E444" s="212">
        <v>7.2400000000000006E-2</v>
      </c>
      <c r="F444" s="212">
        <v>7.1000000000000004E-3</v>
      </c>
      <c r="G444" s="212">
        <v>4.7999999999999996E-3</v>
      </c>
    </row>
    <row r="445" spans="1:7">
      <c r="A445" s="612" t="s">
        <v>584</v>
      </c>
      <c r="B445" s="204" t="s">
        <v>720</v>
      </c>
      <c r="C445" s="204" t="s">
        <v>718</v>
      </c>
      <c r="D445" s="207">
        <v>0.97529999999999994</v>
      </c>
      <c r="E445" s="207">
        <v>1.1900000000000001E-2</v>
      </c>
      <c r="F445" s="207">
        <v>0.54479999999999995</v>
      </c>
      <c r="G445" s="207">
        <v>1.29E-2</v>
      </c>
    </row>
    <row r="446" spans="1:7">
      <c r="A446" s="616"/>
      <c r="B446" s="82" t="s">
        <v>720</v>
      </c>
      <c r="C446" s="82" t="s">
        <v>719</v>
      </c>
      <c r="D446" s="107">
        <v>0.97970000000000002</v>
      </c>
      <c r="E446" s="107">
        <v>1.52E-2</v>
      </c>
      <c r="F446" s="107">
        <v>0.50870000000000004</v>
      </c>
      <c r="G446" s="107">
        <v>1.3299999999999999E-2</v>
      </c>
    </row>
    <row r="447" spans="1:7">
      <c r="A447" s="616"/>
      <c r="B447" s="82" t="s">
        <v>720</v>
      </c>
      <c r="C447" s="82" t="s">
        <v>14</v>
      </c>
      <c r="D447" s="107">
        <v>1.0031000000000001</v>
      </c>
      <c r="E447" s="107">
        <v>3.8899999999999997E-2</v>
      </c>
      <c r="F447" s="107">
        <v>0.23780000000000001</v>
      </c>
      <c r="G447" s="107">
        <v>8.6999999999999994E-3</v>
      </c>
    </row>
    <row r="448" spans="1:7">
      <c r="A448" s="616"/>
      <c r="B448" s="82" t="s">
        <v>720</v>
      </c>
      <c r="C448" s="82" t="s">
        <v>16</v>
      </c>
      <c r="D448" s="107">
        <v>0.94330000000000003</v>
      </c>
      <c r="E448" s="107">
        <v>3.5799999999999998E-2</v>
      </c>
      <c r="F448" s="107">
        <v>0.24529999999999999</v>
      </c>
      <c r="G448" s="107">
        <v>9.7999999999999997E-3</v>
      </c>
    </row>
    <row r="449" spans="1:7">
      <c r="A449" s="616"/>
      <c r="B449" s="82" t="s">
        <v>720</v>
      </c>
      <c r="C449" s="82" t="s">
        <v>18</v>
      </c>
      <c r="D449" s="107">
        <v>0.91259999999999997</v>
      </c>
      <c r="E449" s="107">
        <v>3.0599999999999999E-2</v>
      </c>
      <c r="F449" s="107">
        <v>0.23599999999999999</v>
      </c>
      <c r="G449" s="107">
        <v>0.01</v>
      </c>
    </row>
    <row r="450" spans="1:7">
      <c r="A450" s="616"/>
      <c r="B450" s="82" t="s">
        <v>718</v>
      </c>
      <c r="C450" s="82" t="s">
        <v>719</v>
      </c>
      <c r="D450" s="107">
        <v>1.0099</v>
      </c>
      <c r="E450" s="107">
        <v>1.15E-2</v>
      </c>
      <c r="F450" s="107">
        <v>0.72209999999999996</v>
      </c>
      <c r="G450" s="107">
        <v>8.5000000000000006E-3</v>
      </c>
    </row>
    <row r="451" spans="1:7">
      <c r="A451" s="616"/>
      <c r="B451" s="82" t="s">
        <v>718</v>
      </c>
      <c r="C451" s="82" t="s">
        <v>14</v>
      </c>
      <c r="D451" s="107">
        <v>1.0327999999999999</v>
      </c>
      <c r="E451" s="107">
        <v>4.7E-2</v>
      </c>
      <c r="F451" s="107">
        <v>0.1138</v>
      </c>
      <c r="G451" s="107">
        <v>6.1000000000000004E-3</v>
      </c>
    </row>
    <row r="452" spans="1:7">
      <c r="A452" s="616"/>
      <c r="B452" s="82" t="s">
        <v>718</v>
      </c>
      <c r="C452" s="82" t="s">
        <v>16</v>
      </c>
      <c r="D452" s="107">
        <v>0.94499999999999995</v>
      </c>
      <c r="E452" s="107">
        <v>0.04</v>
      </c>
      <c r="F452" s="107">
        <v>0.12909999999999999</v>
      </c>
      <c r="G452" s="107">
        <v>6.1000000000000004E-3</v>
      </c>
    </row>
    <row r="453" spans="1:7">
      <c r="A453" s="616"/>
      <c r="B453" s="82" t="s">
        <v>718</v>
      </c>
      <c r="C453" s="82" t="s">
        <v>18</v>
      </c>
      <c r="D453" s="107">
        <v>0.91869999999999996</v>
      </c>
      <c r="E453" s="107">
        <v>3.6200000000000003E-2</v>
      </c>
      <c r="F453" s="107">
        <v>0.1207</v>
      </c>
      <c r="G453" s="107">
        <v>6.4000000000000003E-3</v>
      </c>
    </row>
    <row r="454" spans="1:7">
      <c r="A454" s="616"/>
      <c r="B454" s="82" t="s">
        <v>719</v>
      </c>
      <c r="C454" s="82" t="s">
        <v>14</v>
      </c>
      <c r="D454" s="107">
        <v>0.98240000000000005</v>
      </c>
      <c r="E454" s="107">
        <v>5.3999999999999999E-2</v>
      </c>
      <c r="F454" s="107">
        <v>7.3000000000000001E-3</v>
      </c>
      <c r="G454" s="107">
        <v>6.1999999999999998E-3</v>
      </c>
    </row>
    <row r="455" spans="1:7">
      <c r="A455" s="616"/>
      <c r="B455" s="82" t="s">
        <v>719</v>
      </c>
      <c r="C455" s="82" t="s">
        <v>16</v>
      </c>
      <c r="D455" s="107">
        <v>0.96250000000000002</v>
      </c>
      <c r="E455" s="107">
        <v>4.9000000000000002E-2</v>
      </c>
      <c r="F455" s="107">
        <v>1.15E-2</v>
      </c>
      <c r="G455" s="107">
        <v>6.7000000000000002E-3</v>
      </c>
    </row>
    <row r="456" spans="1:7">
      <c r="A456" s="616"/>
      <c r="B456" s="82" t="s">
        <v>719</v>
      </c>
      <c r="C456" s="82" t="s">
        <v>18</v>
      </c>
      <c r="D456" s="107">
        <v>0.89739999999999998</v>
      </c>
      <c r="E456" s="107">
        <v>0.04</v>
      </c>
      <c r="F456" s="107">
        <v>7.9000000000000008E-3</v>
      </c>
      <c r="G456" s="107">
        <v>6.3E-3</v>
      </c>
    </row>
    <row r="457" spans="1:7">
      <c r="A457" s="616"/>
      <c r="B457" s="82" t="s">
        <v>14</v>
      </c>
      <c r="C457" s="82" t="s">
        <v>16</v>
      </c>
      <c r="D457" s="107">
        <v>1.0867</v>
      </c>
      <c r="E457" s="107">
        <v>8.0100000000000005E-2</v>
      </c>
      <c r="F457" s="107">
        <v>1.18E-2</v>
      </c>
      <c r="G457" s="107">
        <v>5.4999999999999997E-3</v>
      </c>
    </row>
    <row r="458" spans="1:7">
      <c r="A458" s="616"/>
      <c r="B458" s="82" t="s">
        <v>14</v>
      </c>
      <c r="C458" s="82" t="s">
        <v>18</v>
      </c>
      <c r="D458" s="107">
        <v>1.0103</v>
      </c>
      <c r="E458" s="107">
        <v>7.5399999999999995E-2</v>
      </c>
      <c r="F458" s="107">
        <v>1.2500000000000001E-2</v>
      </c>
      <c r="G458" s="107">
        <v>6.6E-3</v>
      </c>
    </row>
    <row r="459" spans="1:7">
      <c r="A459" s="613"/>
      <c r="B459" s="209" t="s">
        <v>16</v>
      </c>
      <c r="C459" s="209" t="s">
        <v>18</v>
      </c>
      <c r="D459" s="212">
        <v>0.94269999999999998</v>
      </c>
      <c r="E459" s="212">
        <v>5.5100000000000003E-2</v>
      </c>
      <c r="F459" s="212">
        <v>1.0999999999999999E-2</v>
      </c>
      <c r="G459" s="212">
        <v>5.1999999999999998E-3</v>
      </c>
    </row>
    <row r="460" spans="1:7">
      <c r="A460" s="616" t="s">
        <v>371</v>
      </c>
      <c r="B460" s="82" t="s">
        <v>14</v>
      </c>
      <c r="C460" s="82" t="s">
        <v>16</v>
      </c>
      <c r="D460" s="107">
        <v>1.6839999999999999</v>
      </c>
      <c r="E460" s="107">
        <v>1.5195000000000001</v>
      </c>
      <c r="F460" s="107">
        <v>1.06E-2</v>
      </c>
      <c r="G460" s="107">
        <v>4.4999999999999997E-3</v>
      </c>
    </row>
    <row r="461" spans="1:7">
      <c r="A461" s="616"/>
      <c r="B461" s="82" t="s">
        <v>14</v>
      </c>
      <c r="C461" s="82" t="s">
        <v>18</v>
      </c>
      <c r="D461" s="107">
        <v>2.6309999999999998</v>
      </c>
      <c r="E461" s="107">
        <v>2.2919999999999998</v>
      </c>
      <c r="F461" s="107">
        <v>-2.9999999999999997E-4</v>
      </c>
      <c r="G461" s="107">
        <v>4.5999999999999999E-3</v>
      </c>
    </row>
    <row r="462" spans="1:7">
      <c r="A462" s="613"/>
      <c r="B462" s="209" t="s">
        <v>16</v>
      </c>
      <c r="C462" s="209" t="s">
        <v>18</v>
      </c>
      <c r="D462" s="212">
        <v>1.2251000000000001</v>
      </c>
      <c r="E462" s="212">
        <v>0.43419999999999997</v>
      </c>
      <c r="F462" s="212">
        <v>-1.6999999999999999E-3</v>
      </c>
      <c r="G462" s="212">
        <v>4.7999999999999996E-3</v>
      </c>
    </row>
    <row r="463" spans="1:7">
      <c r="A463" s="612" t="s">
        <v>379</v>
      </c>
      <c r="B463" s="204" t="s">
        <v>144</v>
      </c>
      <c r="C463" s="204" t="s">
        <v>14</v>
      </c>
      <c r="D463" s="207">
        <v>0.78910000000000002</v>
      </c>
      <c r="E463" s="207">
        <v>0.1089</v>
      </c>
      <c r="F463" s="207">
        <v>-6.9999999999999999E-4</v>
      </c>
      <c r="G463" s="207">
        <v>7.0000000000000001E-3</v>
      </c>
    </row>
    <row r="464" spans="1:7">
      <c r="A464" s="616"/>
      <c r="B464" s="82" t="s">
        <v>144</v>
      </c>
      <c r="C464" s="82" t="s">
        <v>16</v>
      </c>
      <c r="D464" s="107">
        <v>0.90159999999999996</v>
      </c>
      <c r="E464" s="107">
        <v>0.10680000000000001</v>
      </c>
      <c r="F464" s="107">
        <v>-5.1000000000000004E-3</v>
      </c>
      <c r="G464" s="107">
        <v>6.3E-3</v>
      </c>
    </row>
    <row r="465" spans="1:7">
      <c r="A465" s="616"/>
      <c r="B465" s="82" t="s">
        <v>144</v>
      </c>
      <c r="C465" s="82" t="s">
        <v>18</v>
      </c>
      <c r="D465" s="107">
        <v>0.88439999999999996</v>
      </c>
      <c r="E465" s="107">
        <v>0.1157</v>
      </c>
      <c r="F465" s="107">
        <v>2.3999999999999998E-3</v>
      </c>
      <c r="G465" s="107">
        <v>5.7999999999999996E-3</v>
      </c>
    </row>
    <row r="466" spans="1:7">
      <c r="A466" s="616"/>
      <c r="B466" s="82" t="s">
        <v>14</v>
      </c>
      <c r="C466" s="82" t="s">
        <v>16</v>
      </c>
      <c r="D466" s="107">
        <v>1.0041</v>
      </c>
      <c r="E466" s="107">
        <v>5.5800000000000002E-2</v>
      </c>
      <c r="F466" s="107">
        <v>1.03E-2</v>
      </c>
      <c r="G466" s="107">
        <v>6.1999999999999998E-3</v>
      </c>
    </row>
    <row r="467" spans="1:7">
      <c r="A467" s="616"/>
      <c r="B467" s="82" t="s">
        <v>14</v>
      </c>
      <c r="C467" s="82" t="s">
        <v>18</v>
      </c>
      <c r="D467" s="107">
        <v>0.96179999999999999</v>
      </c>
      <c r="E467" s="107">
        <v>5.7000000000000002E-2</v>
      </c>
      <c r="F467" s="107">
        <v>1.6500000000000001E-2</v>
      </c>
      <c r="G467" s="107">
        <v>7.0000000000000001E-3</v>
      </c>
    </row>
    <row r="468" spans="1:7">
      <c r="A468" s="613"/>
      <c r="B468" s="209" t="s">
        <v>16</v>
      </c>
      <c r="C468" s="209" t="s">
        <v>18</v>
      </c>
      <c r="D468" s="212">
        <v>1.0455000000000001</v>
      </c>
      <c r="E468" s="212">
        <v>5.91E-2</v>
      </c>
      <c r="F468" s="212">
        <v>1.3299999999999999E-2</v>
      </c>
      <c r="G468" s="212">
        <v>6.1000000000000004E-3</v>
      </c>
    </row>
    <row r="469" spans="1:7">
      <c r="A469" s="612" t="s">
        <v>384</v>
      </c>
      <c r="B469" s="204" t="s">
        <v>708</v>
      </c>
      <c r="C469" s="204" t="s">
        <v>14</v>
      </c>
      <c r="D469" s="207">
        <v>0.9647</v>
      </c>
      <c r="E469" s="207">
        <v>0.14849999999999999</v>
      </c>
      <c r="F469" s="207">
        <v>1.52E-2</v>
      </c>
      <c r="G469" s="207">
        <v>7.1000000000000004E-3</v>
      </c>
    </row>
    <row r="470" spans="1:7">
      <c r="A470" s="616"/>
      <c r="B470" s="82" t="s">
        <v>708</v>
      </c>
      <c r="C470" s="82" t="s">
        <v>16</v>
      </c>
      <c r="D470" s="107">
        <v>0.89290000000000003</v>
      </c>
      <c r="E470" s="107">
        <v>0.183</v>
      </c>
      <c r="F470" s="107">
        <v>1.3299999999999999E-2</v>
      </c>
      <c r="G470" s="107">
        <v>7.6E-3</v>
      </c>
    </row>
    <row r="471" spans="1:7">
      <c r="A471" s="616"/>
      <c r="B471" s="82" t="s">
        <v>708</v>
      </c>
      <c r="C471" s="82" t="s">
        <v>18</v>
      </c>
      <c r="D471" s="107">
        <v>0.74760000000000004</v>
      </c>
      <c r="E471" s="107">
        <v>0.1046</v>
      </c>
      <c r="F471" s="107">
        <v>1.8100000000000002E-2</v>
      </c>
      <c r="G471" s="107">
        <v>7.7000000000000002E-3</v>
      </c>
    </row>
    <row r="472" spans="1:7">
      <c r="A472" s="616"/>
      <c r="B472" s="82" t="s">
        <v>14</v>
      </c>
      <c r="C472" s="82" t="s">
        <v>16</v>
      </c>
      <c r="D472" s="107">
        <v>0.80320000000000003</v>
      </c>
      <c r="E472" s="107">
        <v>0.25059999999999999</v>
      </c>
      <c r="F472" s="107">
        <v>8.0000000000000002E-3</v>
      </c>
      <c r="G472" s="107">
        <v>5.3E-3</v>
      </c>
    </row>
    <row r="473" spans="1:7">
      <c r="A473" s="616"/>
      <c r="B473" s="82" t="s">
        <v>14</v>
      </c>
      <c r="C473" s="82" t="s">
        <v>18</v>
      </c>
      <c r="D473" s="107">
        <v>0.73960000000000004</v>
      </c>
      <c r="E473" s="107">
        <v>0.21429999999999999</v>
      </c>
      <c r="F473" s="107">
        <v>1.4E-2</v>
      </c>
      <c r="G473" s="107">
        <v>4.8999999999999998E-3</v>
      </c>
    </row>
    <row r="474" spans="1:7">
      <c r="A474" s="613"/>
      <c r="B474" s="209" t="s">
        <v>16</v>
      </c>
      <c r="C474" s="209" t="s">
        <v>18</v>
      </c>
      <c r="D474" s="212">
        <v>0.56269999999999998</v>
      </c>
      <c r="E474" s="212">
        <v>0.21790000000000001</v>
      </c>
      <c r="F474" s="212">
        <v>1.18E-2</v>
      </c>
      <c r="G474" s="212">
        <v>5.3E-3</v>
      </c>
    </row>
    <row r="475" spans="1:7">
      <c r="A475" s="612" t="s">
        <v>397</v>
      </c>
      <c r="B475" s="204" t="s">
        <v>144</v>
      </c>
      <c r="C475" s="204" t="s">
        <v>730</v>
      </c>
      <c r="D475" s="207">
        <v>0.97499999999999998</v>
      </c>
      <c r="E475" s="207">
        <v>4.5199999999999997E-2</v>
      </c>
      <c r="F475" s="207">
        <v>1.8599999999999998E-2</v>
      </c>
      <c r="G475" s="207">
        <v>7.3000000000000001E-3</v>
      </c>
    </row>
    <row r="476" spans="1:7">
      <c r="A476" s="616"/>
      <c r="B476" s="82" t="s">
        <v>144</v>
      </c>
      <c r="C476" s="82" t="s">
        <v>731</v>
      </c>
      <c r="D476" s="107">
        <v>0.99170000000000003</v>
      </c>
      <c r="E476" s="107">
        <v>2.8400000000000002E-2</v>
      </c>
      <c r="F476" s="107">
        <v>1.6E-2</v>
      </c>
      <c r="G476" s="107">
        <v>8.9999999999999993E-3</v>
      </c>
    </row>
    <row r="477" spans="1:7">
      <c r="A477" s="616"/>
      <c r="B477" s="82" t="s">
        <v>144</v>
      </c>
      <c r="C477" s="82" t="s">
        <v>14</v>
      </c>
      <c r="D477" s="107">
        <v>0.87360000000000004</v>
      </c>
      <c r="E477" s="107">
        <v>4.6100000000000002E-2</v>
      </c>
      <c r="F477" s="107">
        <v>1.2500000000000001E-2</v>
      </c>
      <c r="G477" s="107">
        <v>6.4999999999999997E-3</v>
      </c>
    </row>
    <row r="478" spans="1:7">
      <c r="A478" s="616"/>
      <c r="B478" s="82" t="s">
        <v>144</v>
      </c>
      <c r="C478" s="82" t="s">
        <v>16</v>
      </c>
      <c r="D478" s="107">
        <v>0.93269999999999997</v>
      </c>
      <c r="E478" s="107">
        <v>5.1499999999999997E-2</v>
      </c>
      <c r="F478" s="107">
        <v>6.1000000000000004E-3</v>
      </c>
      <c r="G478" s="107">
        <v>6.1999999999999998E-3</v>
      </c>
    </row>
    <row r="479" spans="1:7">
      <c r="A479" s="616"/>
      <c r="B479" s="82" t="s">
        <v>144</v>
      </c>
      <c r="C479" s="82" t="s">
        <v>18</v>
      </c>
      <c r="D479" s="107">
        <v>0.93600000000000005</v>
      </c>
      <c r="E479" s="107">
        <v>5.8500000000000003E-2</v>
      </c>
      <c r="F479" s="107">
        <v>8.8000000000000005E-3</v>
      </c>
      <c r="G479" s="107">
        <v>6.4999999999999997E-3</v>
      </c>
    </row>
    <row r="480" spans="1:7">
      <c r="A480" s="616"/>
      <c r="B480" s="82" t="s">
        <v>730</v>
      </c>
      <c r="C480" s="82" t="s">
        <v>731</v>
      </c>
      <c r="D480" s="107">
        <v>1.1543000000000001</v>
      </c>
      <c r="E480" s="107">
        <v>2.2100000000000002E-2</v>
      </c>
      <c r="F480" s="107">
        <v>0.72460000000000002</v>
      </c>
      <c r="G480" s="107">
        <v>7.9000000000000008E-3</v>
      </c>
    </row>
    <row r="481" spans="1:7">
      <c r="A481" s="616"/>
      <c r="B481" s="82" t="s">
        <v>730</v>
      </c>
      <c r="C481" s="82" t="s">
        <v>14</v>
      </c>
      <c r="D481" s="107">
        <v>0.7671</v>
      </c>
      <c r="E481" s="107">
        <v>6.2899999999999998E-2</v>
      </c>
      <c r="F481" s="107">
        <v>1.2500000000000001E-2</v>
      </c>
      <c r="G481" s="107">
        <v>5.7000000000000002E-3</v>
      </c>
    </row>
    <row r="482" spans="1:7">
      <c r="A482" s="616"/>
      <c r="B482" s="82" t="s">
        <v>730</v>
      </c>
      <c r="C482" s="82" t="s">
        <v>16</v>
      </c>
      <c r="D482" s="107">
        <v>0.9395</v>
      </c>
      <c r="E482" s="107">
        <v>7.5499999999999998E-2</v>
      </c>
      <c r="F482" s="107">
        <v>2.3999999999999998E-3</v>
      </c>
      <c r="G482" s="107">
        <v>5.5999999999999999E-3</v>
      </c>
    </row>
    <row r="483" spans="1:7">
      <c r="A483" s="616"/>
      <c r="B483" s="82" t="s">
        <v>730</v>
      </c>
      <c r="C483" s="82" t="s">
        <v>18</v>
      </c>
      <c r="D483" s="107">
        <v>0.97260000000000002</v>
      </c>
      <c r="E483" s="107">
        <v>7.4200000000000002E-2</v>
      </c>
      <c r="F483" s="107">
        <v>8.5000000000000006E-3</v>
      </c>
      <c r="G483" s="107">
        <v>5.7000000000000002E-3</v>
      </c>
    </row>
    <row r="484" spans="1:7">
      <c r="A484" s="616"/>
      <c r="B484" s="82" t="s">
        <v>731</v>
      </c>
      <c r="C484" s="82" t="s">
        <v>14</v>
      </c>
      <c r="D484" s="107">
        <v>0.77780000000000005</v>
      </c>
      <c r="E484" s="107">
        <v>4.7300000000000002E-2</v>
      </c>
      <c r="F484" s="107">
        <v>0.13389999999999999</v>
      </c>
      <c r="G484" s="107">
        <v>6.6E-3</v>
      </c>
    </row>
    <row r="485" spans="1:7">
      <c r="A485" s="616"/>
      <c r="B485" s="82" t="s">
        <v>731</v>
      </c>
      <c r="C485" s="82" t="s">
        <v>16</v>
      </c>
      <c r="D485" s="107">
        <v>0.89</v>
      </c>
      <c r="E485" s="107">
        <v>5.2299999999999999E-2</v>
      </c>
      <c r="F485" s="107">
        <v>0.17519999999999999</v>
      </c>
      <c r="G485" s="107">
        <v>6.3E-3</v>
      </c>
    </row>
    <row r="486" spans="1:7">
      <c r="A486" s="616"/>
      <c r="B486" s="82" t="s">
        <v>731</v>
      </c>
      <c r="C486" s="82" t="s">
        <v>18</v>
      </c>
      <c r="D486" s="107">
        <v>0.90600000000000003</v>
      </c>
      <c r="E486" s="107">
        <v>4.7399999999999998E-2</v>
      </c>
      <c r="F486" s="107">
        <v>0.1855</v>
      </c>
      <c r="G486" s="107">
        <v>6.1999999999999998E-3</v>
      </c>
    </row>
    <row r="487" spans="1:7">
      <c r="A487" s="616"/>
      <c r="B487" s="82" t="s">
        <v>14</v>
      </c>
      <c r="C487" s="82" t="s">
        <v>16</v>
      </c>
      <c r="D487" s="107">
        <v>0.87170000000000003</v>
      </c>
      <c r="E487" s="107">
        <v>7.6399999999999996E-2</v>
      </c>
      <c r="F487" s="107">
        <v>1.41E-2</v>
      </c>
      <c r="G487" s="107">
        <v>5.4999999999999997E-3</v>
      </c>
    </row>
    <row r="488" spans="1:7">
      <c r="A488" s="616"/>
      <c r="B488" s="82" t="s">
        <v>14</v>
      </c>
      <c r="C488" s="82" t="s">
        <v>18</v>
      </c>
      <c r="D488" s="107">
        <v>0.90490000000000004</v>
      </c>
      <c r="E488" s="107">
        <v>7.3200000000000001E-2</v>
      </c>
      <c r="F488" s="107">
        <v>9.2999999999999992E-3</v>
      </c>
      <c r="G488" s="107">
        <v>5.1999999999999998E-3</v>
      </c>
    </row>
    <row r="489" spans="1:7">
      <c r="A489" s="613"/>
      <c r="B489" s="209" t="s">
        <v>16</v>
      </c>
      <c r="C489" s="209" t="s">
        <v>18</v>
      </c>
      <c r="D489" s="212">
        <v>0.95240000000000002</v>
      </c>
      <c r="E489" s="212">
        <v>8.4400000000000003E-2</v>
      </c>
      <c r="F489" s="212">
        <v>2.7000000000000001E-3</v>
      </c>
      <c r="G489" s="212">
        <v>5.5999999999999999E-3</v>
      </c>
    </row>
    <row r="490" spans="1:7">
      <c r="A490" s="612" t="s">
        <v>407</v>
      </c>
      <c r="B490" s="204" t="s">
        <v>144</v>
      </c>
      <c r="C490" s="204" t="s">
        <v>732</v>
      </c>
      <c r="D490" s="207">
        <v>0.9587</v>
      </c>
      <c r="E490" s="207">
        <v>1.41E-2</v>
      </c>
      <c r="F490" s="207">
        <v>5.33E-2</v>
      </c>
      <c r="G490" s="207">
        <v>1.7299999999999999E-2</v>
      </c>
    </row>
    <row r="491" spans="1:7">
      <c r="A491" s="616"/>
      <c r="B491" s="82" t="s">
        <v>144</v>
      </c>
      <c r="C491" s="82" t="s">
        <v>14</v>
      </c>
      <c r="D491" s="107">
        <v>0.90590000000000004</v>
      </c>
      <c r="E491" s="107">
        <v>2.76E-2</v>
      </c>
      <c r="F491" s="107">
        <v>3.32E-2</v>
      </c>
      <c r="G491" s="107">
        <v>1.04E-2</v>
      </c>
    </row>
    <row r="492" spans="1:7">
      <c r="A492" s="616"/>
      <c r="B492" s="82" t="s">
        <v>144</v>
      </c>
      <c r="C492" s="82" t="s">
        <v>16</v>
      </c>
      <c r="D492" s="107">
        <v>0.94869999999999999</v>
      </c>
      <c r="E492" s="107">
        <v>4.2999999999999997E-2</v>
      </c>
      <c r="F492" s="107">
        <v>2.69E-2</v>
      </c>
      <c r="G492" s="107">
        <v>9.9000000000000008E-3</v>
      </c>
    </row>
    <row r="493" spans="1:7">
      <c r="A493" s="616"/>
      <c r="B493" s="82" t="s">
        <v>144</v>
      </c>
      <c r="C493" s="82" t="s">
        <v>18</v>
      </c>
      <c r="D493" s="107">
        <v>0.94720000000000004</v>
      </c>
      <c r="E493" s="107">
        <v>3.9100000000000003E-2</v>
      </c>
      <c r="F493" s="107">
        <v>1.7899999999999999E-2</v>
      </c>
      <c r="G493" s="107">
        <v>8.3999999999999995E-3</v>
      </c>
    </row>
    <row r="494" spans="1:7">
      <c r="A494" s="616"/>
      <c r="B494" s="82" t="s">
        <v>732</v>
      </c>
      <c r="C494" s="82" t="s">
        <v>14</v>
      </c>
      <c r="D494" s="107">
        <v>0.95250000000000001</v>
      </c>
      <c r="E494" s="107">
        <v>2.4400000000000002E-2</v>
      </c>
      <c r="F494" s="107">
        <v>0.22170000000000001</v>
      </c>
      <c r="G494" s="107">
        <v>1.21E-2</v>
      </c>
    </row>
    <row r="495" spans="1:7">
      <c r="A495" s="616"/>
      <c r="B495" s="82" t="s">
        <v>732</v>
      </c>
      <c r="C495" s="82" t="s">
        <v>16</v>
      </c>
      <c r="D495" s="107">
        <v>0.97319999999999995</v>
      </c>
      <c r="E495" s="107">
        <v>3.2899999999999999E-2</v>
      </c>
      <c r="F495" s="107">
        <v>0.2331</v>
      </c>
      <c r="G495" s="107">
        <v>1.01E-2</v>
      </c>
    </row>
    <row r="496" spans="1:7">
      <c r="A496" s="616"/>
      <c r="B496" s="82" t="s">
        <v>732</v>
      </c>
      <c r="C496" s="82" t="s">
        <v>18</v>
      </c>
      <c r="D496" s="107">
        <v>0.96240000000000003</v>
      </c>
      <c r="E496" s="107">
        <v>3.3000000000000002E-2</v>
      </c>
      <c r="F496" s="107">
        <v>0.22189999999999999</v>
      </c>
      <c r="G496" s="107">
        <v>1.0500000000000001E-2</v>
      </c>
    </row>
    <row r="497" spans="1:7">
      <c r="A497" s="616"/>
      <c r="B497" s="82" t="s">
        <v>14</v>
      </c>
      <c r="C497" s="82" t="s">
        <v>16</v>
      </c>
      <c r="D497" s="107">
        <v>1.0153000000000001</v>
      </c>
      <c r="E497" s="107">
        <v>5.7200000000000001E-2</v>
      </c>
      <c r="F497" s="107">
        <v>1.5599999999999999E-2</v>
      </c>
      <c r="G497" s="107">
        <v>6.7000000000000002E-3</v>
      </c>
    </row>
    <row r="498" spans="1:7">
      <c r="A498" s="616"/>
      <c r="B498" s="82" t="s">
        <v>14</v>
      </c>
      <c r="C498" s="82" t="s">
        <v>18</v>
      </c>
      <c r="D498" s="107">
        <v>1.0007999999999999</v>
      </c>
      <c r="E498" s="107">
        <v>5.5300000000000002E-2</v>
      </c>
      <c r="F498" s="107">
        <v>1.5900000000000001E-2</v>
      </c>
      <c r="G498" s="107">
        <v>6.4999999999999997E-3</v>
      </c>
    </row>
    <row r="499" spans="1:7">
      <c r="A499" s="613"/>
      <c r="B499" s="209" t="s">
        <v>16</v>
      </c>
      <c r="C499" s="209" t="s">
        <v>18</v>
      </c>
      <c r="D499" s="212">
        <v>1.0206</v>
      </c>
      <c r="E499" s="212">
        <v>6.83E-2</v>
      </c>
      <c r="F499" s="212">
        <v>1.9099999999999999E-2</v>
      </c>
      <c r="G499" s="212">
        <v>5.7999999999999996E-3</v>
      </c>
    </row>
    <row r="500" spans="1:7">
      <c r="A500" s="612" t="s">
        <v>422</v>
      </c>
      <c r="B500" s="204" t="s">
        <v>735</v>
      </c>
      <c r="C500" s="204" t="s">
        <v>14</v>
      </c>
      <c r="D500" s="207">
        <v>0.88790000000000002</v>
      </c>
      <c r="E500" s="207">
        <v>0.1183</v>
      </c>
      <c r="F500" s="207">
        <v>6.8099999999999994E-2</v>
      </c>
      <c r="G500" s="207">
        <v>3.5900000000000001E-2</v>
      </c>
    </row>
    <row r="501" spans="1:7">
      <c r="A501" s="616"/>
      <c r="B501" s="82" t="s">
        <v>735</v>
      </c>
      <c r="C501" s="82" t="s">
        <v>16</v>
      </c>
      <c r="D501" s="107">
        <v>0.99529999999999996</v>
      </c>
      <c r="E501" s="107">
        <v>0.12139999999999999</v>
      </c>
      <c r="F501" s="107">
        <v>7.4700000000000003E-2</v>
      </c>
      <c r="G501" s="107">
        <v>3.3500000000000002E-2</v>
      </c>
    </row>
    <row r="502" spans="1:7">
      <c r="A502" s="616"/>
      <c r="B502" s="82" t="s">
        <v>735</v>
      </c>
      <c r="C502" s="82" t="s">
        <v>18</v>
      </c>
      <c r="D502" s="107">
        <v>1.0185999999999999</v>
      </c>
      <c r="E502" s="107">
        <v>0.1484</v>
      </c>
      <c r="F502" s="107">
        <v>7.1499999999999994E-2</v>
      </c>
      <c r="G502" s="107">
        <v>3.5099999999999999E-2</v>
      </c>
    </row>
    <row r="503" spans="1:7">
      <c r="A503" s="616"/>
      <c r="B503" s="82" t="s">
        <v>14</v>
      </c>
      <c r="C503" s="82" t="s">
        <v>16</v>
      </c>
      <c r="D503" s="107">
        <v>0.94369999999999998</v>
      </c>
      <c r="E503" s="107">
        <v>0.1343</v>
      </c>
      <c r="F503" s="107">
        <v>1.9300000000000001E-2</v>
      </c>
      <c r="G503" s="107">
        <v>9.1999999999999998E-3</v>
      </c>
    </row>
    <row r="504" spans="1:7">
      <c r="A504" s="616"/>
      <c r="B504" s="82" t="s">
        <v>14</v>
      </c>
      <c r="C504" s="82" t="s">
        <v>18</v>
      </c>
      <c r="D504" s="107">
        <v>0.91169999999999995</v>
      </c>
      <c r="E504" s="107">
        <v>0.126</v>
      </c>
      <c r="F504" s="107">
        <v>1.78E-2</v>
      </c>
      <c r="G504" s="107">
        <v>9.1000000000000004E-3</v>
      </c>
    </row>
    <row r="505" spans="1:7">
      <c r="A505" s="613"/>
      <c r="B505" s="209" t="s">
        <v>16</v>
      </c>
      <c r="C505" s="209" t="s">
        <v>18</v>
      </c>
      <c r="D505" s="212">
        <v>1.2338</v>
      </c>
      <c r="E505" s="212">
        <v>0.1573</v>
      </c>
      <c r="F505" s="212">
        <v>1.4800000000000001E-2</v>
      </c>
      <c r="G505" s="212">
        <v>8.8000000000000005E-3</v>
      </c>
    </row>
    <row r="506" spans="1:7">
      <c r="A506" s="612" t="s">
        <v>449</v>
      </c>
      <c r="B506" s="204" t="s">
        <v>144</v>
      </c>
      <c r="C506" s="204" t="s">
        <v>14</v>
      </c>
      <c r="D506" s="207">
        <v>0.89849999999999997</v>
      </c>
      <c r="E506" s="207">
        <v>2.4299999999999999E-2</v>
      </c>
      <c r="F506" s="207">
        <v>1.7999999999999999E-2</v>
      </c>
      <c r="G506" s="207">
        <v>8.5000000000000006E-3</v>
      </c>
    </row>
    <row r="507" spans="1:7">
      <c r="A507" s="616"/>
      <c r="B507" s="82" t="s">
        <v>144</v>
      </c>
      <c r="C507" s="82" t="s">
        <v>16</v>
      </c>
      <c r="D507" s="107">
        <v>0.8589</v>
      </c>
      <c r="E507" s="107">
        <v>2.52E-2</v>
      </c>
      <c r="F507" s="107">
        <v>3.3799999999999997E-2</v>
      </c>
      <c r="G507" s="107">
        <v>9.1999999999999998E-3</v>
      </c>
    </row>
    <row r="508" spans="1:7">
      <c r="A508" s="616"/>
      <c r="B508" s="82" t="s">
        <v>144</v>
      </c>
      <c r="C508" s="82" t="s">
        <v>18</v>
      </c>
      <c r="D508" s="107">
        <v>0.91300000000000003</v>
      </c>
      <c r="E508" s="107">
        <v>2.1499999999999998E-2</v>
      </c>
      <c r="F508" s="107">
        <v>8.9999999999999993E-3</v>
      </c>
      <c r="G508" s="107">
        <v>7.7999999999999996E-3</v>
      </c>
    </row>
    <row r="509" spans="1:7">
      <c r="A509" s="616"/>
      <c r="B509" s="82" t="s">
        <v>14</v>
      </c>
      <c r="C509" s="82" t="s">
        <v>16</v>
      </c>
      <c r="D509" s="107">
        <v>1.0159</v>
      </c>
      <c r="E509" s="107">
        <v>3.4099999999999998E-2</v>
      </c>
      <c r="F509" s="107">
        <v>1.8100000000000002E-2</v>
      </c>
      <c r="G509" s="107">
        <v>5.7000000000000002E-3</v>
      </c>
    </row>
    <row r="510" spans="1:7">
      <c r="A510" s="616"/>
      <c r="B510" s="82" t="s">
        <v>14</v>
      </c>
      <c r="C510" s="82" t="s">
        <v>18</v>
      </c>
      <c r="D510" s="107">
        <v>0.97640000000000005</v>
      </c>
      <c r="E510" s="107">
        <v>3.3500000000000002E-2</v>
      </c>
      <c r="F510" s="107">
        <v>1.9599999999999999E-2</v>
      </c>
      <c r="G510" s="107">
        <v>5.7000000000000002E-3</v>
      </c>
    </row>
    <row r="511" spans="1:7">
      <c r="A511" s="613"/>
      <c r="B511" s="209" t="s">
        <v>16</v>
      </c>
      <c r="C511" s="209" t="s">
        <v>18</v>
      </c>
      <c r="D511" s="212">
        <v>1.0317000000000001</v>
      </c>
      <c r="E511" s="212">
        <v>3.4299999999999997E-2</v>
      </c>
      <c r="F511" s="212">
        <v>1.3599999999999999E-2</v>
      </c>
      <c r="G511" s="212">
        <v>6.7999999999999996E-3</v>
      </c>
    </row>
    <row r="512" spans="1:7">
      <c r="A512" s="616" t="s">
        <v>454</v>
      </c>
      <c r="B512" s="82" t="s">
        <v>738</v>
      </c>
      <c r="C512" s="82" t="s">
        <v>739</v>
      </c>
      <c r="D512" s="107">
        <v>1.119</v>
      </c>
      <c r="E512" s="107">
        <v>1.8200000000000001E-2</v>
      </c>
      <c r="F512" s="107">
        <v>0.36</v>
      </c>
      <c r="G512" s="107">
        <v>1.23E-2</v>
      </c>
    </row>
    <row r="513" spans="1:7">
      <c r="A513" s="616"/>
      <c r="B513" s="82" t="s">
        <v>738</v>
      </c>
      <c r="C513" s="82" t="s">
        <v>14</v>
      </c>
      <c r="D513" s="107">
        <v>0.96519999999999995</v>
      </c>
      <c r="E513" s="107">
        <v>2.9100000000000001E-2</v>
      </c>
      <c r="F513" s="107">
        <v>0.2414</v>
      </c>
      <c r="G513" s="107">
        <v>1.11E-2</v>
      </c>
    </row>
    <row r="514" spans="1:7">
      <c r="A514" s="616"/>
      <c r="B514" s="82" t="s">
        <v>738</v>
      </c>
      <c r="C514" s="82" t="s">
        <v>16</v>
      </c>
      <c r="D514" s="107">
        <v>1.0279</v>
      </c>
      <c r="E514" s="107">
        <v>2.5000000000000001E-2</v>
      </c>
      <c r="F514" s="107">
        <v>0.2404</v>
      </c>
      <c r="G514" s="107">
        <v>1.18E-2</v>
      </c>
    </row>
    <row r="515" spans="1:7">
      <c r="A515" s="616"/>
      <c r="B515" s="82" t="s">
        <v>738</v>
      </c>
      <c r="C515" s="82" t="s">
        <v>18</v>
      </c>
      <c r="D515" s="107">
        <v>0.95860000000000001</v>
      </c>
      <c r="E515" s="107">
        <v>2.1700000000000001E-2</v>
      </c>
      <c r="F515" s="107">
        <v>0.2472</v>
      </c>
      <c r="G515" s="107">
        <v>1.2E-2</v>
      </c>
    </row>
    <row r="516" spans="1:7">
      <c r="A516" s="616"/>
      <c r="B516" s="82" t="s">
        <v>739</v>
      </c>
      <c r="C516" s="82" t="s">
        <v>14</v>
      </c>
      <c r="D516" s="107">
        <v>0.98499999999999999</v>
      </c>
      <c r="E516" s="107">
        <v>4.82E-2</v>
      </c>
      <c r="F516" s="107">
        <v>1.83E-2</v>
      </c>
      <c r="G516" s="107">
        <v>7.4999999999999997E-3</v>
      </c>
    </row>
    <row r="517" spans="1:7">
      <c r="A517" s="616"/>
      <c r="B517" s="82" t="s">
        <v>739</v>
      </c>
      <c r="C517" s="82" t="s">
        <v>16</v>
      </c>
      <c r="D517" s="107">
        <v>0.96120000000000005</v>
      </c>
      <c r="E517" s="107">
        <v>3.9199999999999999E-2</v>
      </c>
      <c r="F517" s="107">
        <v>2.0799999999999999E-2</v>
      </c>
      <c r="G517" s="107">
        <v>8.0000000000000002E-3</v>
      </c>
    </row>
    <row r="518" spans="1:7">
      <c r="A518" s="616"/>
      <c r="B518" s="82" t="s">
        <v>739</v>
      </c>
      <c r="C518" s="82" t="s">
        <v>18</v>
      </c>
      <c r="D518" s="107">
        <v>0.93889999999999996</v>
      </c>
      <c r="E518" s="107">
        <v>4.0099999999999997E-2</v>
      </c>
      <c r="F518" s="107">
        <v>1.95E-2</v>
      </c>
      <c r="G518" s="107">
        <v>7.9000000000000008E-3</v>
      </c>
    </row>
    <row r="519" spans="1:7">
      <c r="A519" s="616"/>
      <c r="B519" s="82" t="s">
        <v>14</v>
      </c>
      <c r="C519" s="82" t="s">
        <v>16</v>
      </c>
      <c r="D519" s="107">
        <v>1.0567</v>
      </c>
      <c r="E519" s="107">
        <v>5.28E-2</v>
      </c>
      <c r="F519" s="107">
        <v>1.54E-2</v>
      </c>
      <c r="G519" s="107">
        <v>6.4000000000000003E-3</v>
      </c>
    </row>
    <row r="520" spans="1:7">
      <c r="A520" s="616"/>
      <c r="B520" s="82" t="s">
        <v>14</v>
      </c>
      <c r="C520" s="82" t="s">
        <v>18</v>
      </c>
      <c r="D520" s="107">
        <v>0.98799999999999999</v>
      </c>
      <c r="E520" s="107">
        <v>5.2499999999999998E-2</v>
      </c>
      <c r="F520" s="107">
        <v>2.6100000000000002E-2</v>
      </c>
      <c r="G520" s="107">
        <v>7.1999999999999998E-3</v>
      </c>
    </row>
    <row r="521" spans="1:7">
      <c r="A521" s="616"/>
      <c r="B521" s="82" t="s">
        <v>16</v>
      </c>
      <c r="C521" s="82" t="s">
        <v>18</v>
      </c>
      <c r="D521" s="107">
        <v>0.98029999999999995</v>
      </c>
      <c r="E521" s="107">
        <v>4.4900000000000002E-2</v>
      </c>
      <c r="F521" s="107">
        <v>3.04E-2</v>
      </c>
      <c r="G521" s="107">
        <v>6.8999999999999999E-3</v>
      </c>
    </row>
    <row r="522" spans="1:7">
      <c r="A522" s="61" t="s">
        <v>466</v>
      </c>
      <c r="B522" s="62"/>
      <c r="C522" s="52"/>
      <c r="D522" s="101"/>
      <c r="E522" s="198"/>
      <c r="F522" s="198"/>
      <c r="G522" s="198"/>
    </row>
    <row r="523" spans="1:7">
      <c r="A523" s="214" t="s">
        <v>467</v>
      </c>
      <c r="B523" s="657" t="s">
        <v>9</v>
      </c>
      <c r="C523" s="657"/>
      <c r="D523" s="657"/>
      <c r="E523" s="657"/>
      <c r="F523" s="657"/>
      <c r="G523" s="657"/>
    </row>
    <row r="524" spans="1:7">
      <c r="A524" s="214" t="s">
        <v>469</v>
      </c>
      <c r="B524" s="657" t="s">
        <v>9</v>
      </c>
      <c r="C524" s="657"/>
      <c r="D524" s="657"/>
      <c r="E524" s="657"/>
      <c r="F524" s="657"/>
      <c r="G524" s="657"/>
    </row>
    <row r="525" spans="1:7">
      <c r="A525" s="214" t="s">
        <v>470</v>
      </c>
      <c r="B525" s="657" t="s">
        <v>9</v>
      </c>
      <c r="C525" s="657"/>
      <c r="D525" s="657"/>
      <c r="E525" s="657"/>
      <c r="F525" s="657"/>
      <c r="G525" s="657"/>
    </row>
    <row r="526" spans="1:7">
      <c r="A526" s="214" t="s">
        <v>471</v>
      </c>
      <c r="B526" s="657" t="s">
        <v>9</v>
      </c>
      <c r="C526" s="657"/>
      <c r="D526" s="657"/>
      <c r="E526" s="657"/>
      <c r="F526" s="657"/>
      <c r="G526" s="657"/>
    </row>
    <row r="527" spans="1:7">
      <c r="A527" s="214" t="s">
        <v>472</v>
      </c>
      <c r="B527" s="657" t="s">
        <v>9</v>
      </c>
      <c r="C527" s="657"/>
      <c r="D527" s="657"/>
      <c r="E527" s="657"/>
      <c r="F527" s="657"/>
      <c r="G527" s="657"/>
    </row>
    <row r="528" spans="1:7">
      <c r="A528" s="214" t="s">
        <v>473</v>
      </c>
      <c r="B528" s="214" t="s">
        <v>144</v>
      </c>
      <c r="C528" s="214" t="s">
        <v>725</v>
      </c>
      <c r="D528" s="217">
        <v>0.9496</v>
      </c>
      <c r="E528" s="217">
        <v>0.09</v>
      </c>
      <c r="F528" s="217">
        <v>-3.7000000000000002E-3</v>
      </c>
      <c r="G528" s="217">
        <v>4.5999999999999999E-3</v>
      </c>
    </row>
    <row r="529" spans="1:7">
      <c r="A529" s="214" t="s">
        <v>478</v>
      </c>
      <c r="B529" s="657" t="s">
        <v>9</v>
      </c>
      <c r="C529" s="657"/>
      <c r="D529" s="657"/>
      <c r="E529" s="657"/>
      <c r="F529" s="657"/>
      <c r="G529" s="657"/>
    </row>
    <row r="530" spans="1:7">
      <c r="A530" s="612" t="s">
        <v>480</v>
      </c>
      <c r="B530" s="204" t="s">
        <v>14</v>
      </c>
      <c r="C530" s="204" t="s">
        <v>16</v>
      </c>
      <c r="D530" s="207">
        <v>1.1524000000000001</v>
      </c>
      <c r="E530" s="207">
        <v>0.15</v>
      </c>
      <c r="F530" s="207">
        <v>-2.9999999999999997E-4</v>
      </c>
      <c r="G530" s="207">
        <v>4.3E-3</v>
      </c>
    </row>
    <row r="531" spans="1:7">
      <c r="A531" s="616"/>
      <c r="B531" s="82" t="s">
        <v>14</v>
      </c>
      <c r="C531" s="82" t="s">
        <v>18</v>
      </c>
      <c r="D531" s="107">
        <v>0.8206</v>
      </c>
      <c r="E531" s="107">
        <v>0.1178</v>
      </c>
      <c r="F531" s="107">
        <v>1.0200000000000001E-2</v>
      </c>
      <c r="G531" s="107">
        <v>4.5999999999999999E-3</v>
      </c>
    </row>
    <row r="532" spans="1:7">
      <c r="A532" s="613"/>
      <c r="B532" s="209" t="s">
        <v>16</v>
      </c>
      <c r="C532" s="209" t="s">
        <v>18</v>
      </c>
      <c r="D532" s="212">
        <v>1.0113000000000001</v>
      </c>
      <c r="E532" s="212">
        <v>0.1411</v>
      </c>
      <c r="F532" s="212">
        <v>-1.1000000000000001E-3</v>
      </c>
      <c r="G532" s="212">
        <v>4.7000000000000002E-3</v>
      </c>
    </row>
    <row r="533" spans="1:7">
      <c r="A533" s="612" t="s">
        <v>485</v>
      </c>
      <c r="B533" s="204" t="s">
        <v>14</v>
      </c>
      <c r="C533" s="204" t="s">
        <v>16</v>
      </c>
      <c r="D533" s="207">
        <v>1.1313</v>
      </c>
      <c r="E533" s="207">
        <v>0.16550000000000001</v>
      </c>
      <c r="F533" s="207">
        <v>-7.3000000000000001E-3</v>
      </c>
      <c r="G533" s="207">
        <v>4.7999999999999996E-3</v>
      </c>
    </row>
    <row r="534" spans="1:7">
      <c r="A534" s="616"/>
      <c r="B534" s="82" t="s">
        <v>14</v>
      </c>
      <c r="C534" s="82" t="s">
        <v>18</v>
      </c>
      <c r="D534" s="107">
        <v>0.81630000000000003</v>
      </c>
      <c r="E534" s="107">
        <v>0.1027</v>
      </c>
      <c r="F534" s="107">
        <v>1.6000000000000001E-3</v>
      </c>
      <c r="G534" s="107">
        <v>5.0000000000000001E-3</v>
      </c>
    </row>
    <row r="535" spans="1:7">
      <c r="A535" s="613"/>
      <c r="B535" s="209" t="s">
        <v>16</v>
      </c>
      <c r="C535" s="209" t="s">
        <v>18</v>
      </c>
      <c r="D535" s="212">
        <v>0.98419999999999996</v>
      </c>
      <c r="E535" s="212">
        <v>0.1404</v>
      </c>
      <c r="F535" s="212">
        <v>4.8999999999999998E-3</v>
      </c>
      <c r="G535" s="212">
        <v>4.4000000000000003E-3</v>
      </c>
    </row>
    <row r="536" spans="1:7">
      <c r="A536" s="612" t="s">
        <v>486</v>
      </c>
      <c r="B536" s="204" t="s">
        <v>14</v>
      </c>
      <c r="C536" s="204" t="s">
        <v>16</v>
      </c>
      <c r="D536" s="207">
        <v>0.98229999999999995</v>
      </c>
      <c r="E536" s="207">
        <v>0.1113</v>
      </c>
      <c r="F536" s="207">
        <v>1.8E-3</v>
      </c>
      <c r="G536" s="207">
        <v>4.8999999999999998E-3</v>
      </c>
    </row>
    <row r="537" spans="1:7">
      <c r="A537" s="616"/>
      <c r="B537" s="82" t="s">
        <v>14</v>
      </c>
      <c r="C537" s="82" t="s">
        <v>18</v>
      </c>
      <c r="D537" s="107">
        <v>0.8236</v>
      </c>
      <c r="E537" s="107">
        <v>0.1086</v>
      </c>
      <c r="F537" s="107">
        <v>6.1999999999999998E-3</v>
      </c>
      <c r="G537" s="107">
        <v>4.5999999999999999E-3</v>
      </c>
    </row>
    <row r="538" spans="1:7">
      <c r="A538" s="613"/>
      <c r="B538" s="209" t="s">
        <v>16</v>
      </c>
      <c r="C538" s="209" t="s">
        <v>18</v>
      </c>
      <c r="D538" s="212">
        <v>0.73260000000000003</v>
      </c>
      <c r="E538" s="212">
        <v>9.69E-2</v>
      </c>
      <c r="F538" s="212">
        <v>6.7999999999999996E-3</v>
      </c>
      <c r="G538" s="212">
        <v>4.4000000000000003E-3</v>
      </c>
    </row>
    <row r="539" spans="1:7">
      <c r="A539" s="612" t="s">
        <v>586</v>
      </c>
      <c r="B539" s="204" t="s">
        <v>14</v>
      </c>
      <c r="C539" s="204" t="s">
        <v>16</v>
      </c>
      <c r="D539" s="207">
        <v>1.0572999999999999</v>
      </c>
      <c r="E539" s="207">
        <v>0.3281</v>
      </c>
      <c r="F539" s="207">
        <v>-8.9999999999999998E-4</v>
      </c>
      <c r="G539" s="207">
        <v>4.4000000000000003E-3</v>
      </c>
    </row>
    <row r="540" spans="1:7">
      <c r="A540" s="616"/>
      <c r="B540" s="82" t="s">
        <v>14</v>
      </c>
      <c r="C540" s="82" t="s">
        <v>18</v>
      </c>
      <c r="D540" s="107">
        <v>0.93469999999999998</v>
      </c>
      <c r="E540" s="107">
        <v>0.22270000000000001</v>
      </c>
      <c r="F540" s="107">
        <v>2.9999999999999997E-4</v>
      </c>
      <c r="G540" s="107">
        <v>5.0000000000000001E-3</v>
      </c>
    </row>
    <row r="541" spans="1:7">
      <c r="A541" s="613"/>
      <c r="B541" s="209" t="s">
        <v>16</v>
      </c>
      <c r="C541" s="209" t="s">
        <v>18</v>
      </c>
      <c r="D541" s="212">
        <v>0.57240000000000002</v>
      </c>
      <c r="E541" s="212">
        <v>0.192</v>
      </c>
      <c r="F541" s="212">
        <v>2.8E-3</v>
      </c>
      <c r="G541" s="212">
        <v>4.5999999999999999E-3</v>
      </c>
    </row>
    <row r="542" spans="1:7">
      <c r="A542" s="612" t="s">
        <v>492</v>
      </c>
      <c r="B542" s="204" t="s">
        <v>14</v>
      </c>
      <c r="C542" s="204" t="s">
        <v>16</v>
      </c>
      <c r="D542" s="207">
        <v>1.0402</v>
      </c>
      <c r="E542" s="207">
        <v>8.0199999999999994E-2</v>
      </c>
      <c r="F542" s="207">
        <v>6.4999999999999997E-3</v>
      </c>
      <c r="G542" s="207">
        <v>5.0000000000000001E-3</v>
      </c>
    </row>
    <row r="543" spans="1:7">
      <c r="A543" s="616"/>
      <c r="B543" s="82" t="s">
        <v>14</v>
      </c>
      <c r="C543" s="82" t="s">
        <v>18</v>
      </c>
      <c r="D543" s="107">
        <v>0.98460000000000003</v>
      </c>
      <c r="E543" s="107">
        <v>8.3699999999999997E-2</v>
      </c>
      <c r="F543" s="107">
        <v>4.0000000000000001E-3</v>
      </c>
      <c r="G543" s="107">
        <v>4.7999999999999996E-3</v>
      </c>
    </row>
    <row r="544" spans="1:7">
      <c r="A544" s="613"/>
      <c r="B544" s="209" t="s">
        <v>16</v>
      </c>
      <c r="C544" s="209" t="s">
        <v>18</v>
      </c>
      <c r="D544" s="212">
        <v>1.05</v>
      </c>
      <c r="E544" s="212">
        <v>9.06E-2</v>
      </c>
      <c r="F544" s="212">
        <v>5.4999999999999997E-3</v>
      </c>
      <c r="G544" s="212">
        <v>5.0000000000000001E-3</v>
      </c>
    </row>
    <row r="545" spans="1:7">
      <c r="A545" s="616" t="s">
        <v>493</v>
      </c>
      <c r="B545" s="82" t="s">
        <v>144</v>
      </c>
      <c r="C545" s="82" t="s">
        <v>14</v>
      </c>
      <c r="D545" s="107">
        <v>0.91669999999999996</v>
      </c>
      <c r="E545" s="107">
        <v>2.86E-2</v>
      </c>
      <c r="F545" s="107">
        <v>5.3E-3</v>
      </c>
      <c r="G545" s="107">
        <v>6.7999999999999996E-3</v>
      </c>
    </row>
    <row r="546" spans="1:7">
      <c r="A546" s="616"/>
      <c r="B546" s="82" t="s">
        <v>144</v>
      </c>
      <c r="C546" s="82" t="s">
        <v>16</v>
      </c>
      <c r="D546" s="107">
        <v>0.95099999999999996</v>
      </c>
      <c r="E546" s="107">
        <v>3.1199999999999999E-2</v>
      </c>
      <c r="F546" s="107">
        <v>6.3E-3</v>
      </c>
      <c r="G546" s="107">
        <v>6.7000000000000002E-3</v>
      </c>
    </row>
    <row r="547" spans="1:7">
      <c r="A547" s="616"/>
      <c r="B547" s="82" t="s">
        <v>144</v>
      </c>
      <c r="C547" s="82" t="s">
        <v>18</v>
      </c>
      <c r="D547" s="107">
        <v>0.93320000000000003</v>
      </c>
      <c r="E547" s="107">
        <v>3.0499999999999999E-2</v>
      </c>
      <c r="F547" s="107">
        <v>8.0000000000000004E-4</v>
      </c>
      <c r="G547" s="107">
        <v>6.4000000000000003E-3</v>
      </c>
    </row>
    <row r="548" spans="1:7">
      <c r="A548" s="616"/>
      <c r="B548" s="82" t="s">
        <v>14</v>
      </c>
      <c r="C548" s="82" t="s">
        <v>16</v>
      </c>
      <c r="D548" s="107">
        <v>1.0274000000000001</v>
      </c>
      <c r="E548" s="107">
        <v>3.1600000000000003E-2</v>
      </c>
      <c r="F548" s="107">
        <v>1.3599999999999999E-2</v>
      </c>
      <c r="G548" s="107">
        <v>6.3E-3</v>
      </c>
    </row>
    <row r="549" spans="1:7">
      <c r="A549" s="616"/>
      <c r="B549" s="82" t="s">
        <v>14</v>
      </c>
      <c r="C549" s="82" t="s">
        <v>18</v>
      </c>
      <c r="D549" s="107">
        <v>0.98409999999999997</v>
      </c>
      <c r="E549" s="107">
        <v>2.8799999999999999E-2</v>
      </c>
      <c r="F549" s="107">
        <v>1.0999999999999999E-2</v>
      </c>
      <c r="G549" s="107">
        <v>6.4000000000000003E-3</v>
      </c>
    </row>
    <row r="550" spans="1:7">
      <c r="A550" s="613"/>
      <c r="B550" s="209" t="s">
        <v>16</v>
      </c>
      <c r="C550" s="209" t="s">
        <v>18</v>
      </c>
      <c r="D550" s="212">
        <v>1.0132000000000001</v>
      </c>
      <c r="E550" s="212">
        <v>3.3000000000000002E-2</v>
      </c>
      <c r="F550" s="212">
        <v>1.55E-2</v>
      </c>
      <c r="G550" s="212">
        <v>6.4999999999999997E-3</v>
      </c>
    </row>
    <row r="551" spans="1:7">
      <c r="A551" s="214" t="s">
        <v>588</v>
      </c>
      <c r="B551" s="657" t="s">
        <v>9</v>
      </c>
      <c r="C551" s="657"/>
      <c r="D551" s="657"/>
      <c r="E551" s="657"/>
      <c r="F551" s="657"/>
      <c r="G551" s="657"/>
    </row>
    <row r="552" spans="1:7">
      <c r="A552" s="214" t="s">
        <v>500</v>
      </c>
      <c r="B552" s="657" t="s">
        <v>9</v>
      </c>
      <c r="C552" s="657"/>
      <c r="D552" s="657"/>
      <c r="E552" s="657"/>
      <c r="F552" s="657"/>
      <c r="G552" s="657"/>
    </row>
    <row r="553" spans="1:7">
      <c r="A553" s="612" t="s">
        <v>502</v>
      </c>
      <c r="B553" s="204" t="s">
        <v>144</v>
      </c>
      <c r="C553" s="204" t="s">
        <v>734</v>
      </c>
      <c r="D553" s="207">
        <v>0.91220000000000001</v>
      </c>
      <c r="E553" s="207">
        <v>0.1464</v>
      </c>
      <c r="F553" s="207">
        <v>8.0000000000000004E-4</v>
      </c>
      <c r="G553" s="207">
        <v>6.3E-3</v>
      </c>
    </row>
    <row r="554" spans="1:7">
      <c r="A554" s="616"/>
      <c r="B554" s="82" t="s">
        <v>144</v>
      </c>
      <c r="C554" s="82" t="s">
        <v>14</v>
      </c>
      <c r="D554" s="107">
        <v>0.86219999999999997</v>
      </c>
      <c r="E554" s="107">
        <v>4.4299999999999999E-2</v>
      </c>
      <c r="F554" s="107">
        <v>-4.4000000000000003E-3</v>
      </c>
      <c r="G554" s="107">
        <v>6.4999999999999997E-3</v>
      </c>
    </row>
    <row r="555" spans="1:7">
      <c r="A555" s="616"/>
      <c r="B555" s="82" t="s">
        <v>144</v>
      </c>
      <c r="C555" s="82" t="s">
        <v>16</v>
      </c>
      <c r="D555" s="107">
        <v>0.8931</v>
      </c>
      <c r="E555" s="107">
        <v>4.3999999999999997E-2</v>
      </c>
      <c r="F555" s="107">
        <v>-1.06E-2</v>
      </c>
      <c r="G555" s="107">
        <v>7.3000000000000001E-3</v>
      </c>
    </row>
    <row r="556" spans="1:7">
      <c r="A556" s="616"/>
      <c r="B556" s="82" t="s">
        <v>144</v>
      </c>
      <c r="C556" s="82" t="s">
        <v>18</v>
      </c>
      <c r="D556" s="107">
        <v>0.85870000000000002</v>
      </c>
      <c r="E556" s="107">
        <v>4.1700000000000001E-2</v>
      </c>
      <c r="F556" s="107">
        <v>-4.1000000000000003E-3</v>
      </c>
      <c r="G556" s="107">
        <v>7.1999999999999998E-3</v>
      </c>
    </row>
    <row r="557" spans="1:7">
      <c r="A557" s="616"/>
      <c r="B557" s="82" t="s">
        <v>734</v>
      </c>
      <c r="C557" s="82" t="s">
        <v>14</v>
      </c>
      <c r="D557" s="107">
        <v>0.98329999999999995</v>
      </c>
      <c r="E557" s="107">
        <v>0.13339999999999999</v>
      </c>
      <c r="F557" s="107">
        <v>4.7000000000000002E-3</v>
      </c>
      <c r="G557" s="107">
        <v>6.4999999999999997E-3</v>
      </c>
    </row>
    <row r="558" spans="1:7">
      <c r="A558" s="616"/>
      <c r="B558" s="82" t="s">
        <v>734</v>
      </c>
      <c r="C558" s="82" t="s">
        <v>16</v>
      </c>
      <c r="D558" s="107">
        <v>1.0475000000000001</v>
      </c>
      <c r="E558" s="107">
        <v>0.13900000000000001</v>
      </c>
      <c r="F558" s="107">
        <v>4.1000000000000003E-3</v>
      </c>
      <c r="G558" s="107">
        <v>6.7999999999999996E-3</v>
      </c>
    </row>
    <row r="559" spans="1:7">
      <c r="A559" s="616"/>
      <c r="B559" s="82" t="s">
        <v>734</v>
      </c>
      <c r="C559" s="82" t="s">
        <v>18</v>
      </c>
      <c r="D559" s="107">
        <v>1.0620000000000001</v>
      </c>
      <c r="E559" s="107">
        <v>0.1313</v>
      </c>
      <c r="F559" s="107">
        <v>2.3999999999999998E-3</v>
      </c>
      <c r="G559" s="107">
        <v>7.1000000000000004E-3</v>
      </c>
    </row>
    <row r="560" spans="1:7">
      <c r="A560" s="616"/>
      <c r="B560" s="82" t="s">
        <v>14</v>
      </c>
      <c r="C560" s="82" t="s">
        <v>16</v>
      </c>
      <c r="D560" s="107">
        <v>0.98470000000000002</v>
      </c>
      <c r="E560" s="107">
        <v>3.1699999999999999E-2</v>
      </c>
      <c r="F560" s="107">
        <v>8.8999999999999999E-3</v>
      </c>
      <c r="G560" s="107">
        <v>6.7999999999999996E-3</v>
      </c>
    </row>
    <row r="561" spans="1:7">
      <c r="A561" s="616"/>
      <c r="B561" s="82" t="s">
        <v>14</v>
      </c>
      <c r="C561" s="82" t="s">
        <v>18</v>
      </c>
      <c r="D561" s="107">
        <v>0.97850000000000004</v>
      </c>
      <c r="E561" s="107">
        <v>2.9700000000000001E-2</v>
      </c>
      <c r="F561" s="107">
        <v>5.1000000000000004E-3</v>
      </c>
      <c r="G561" s="107">
        <v>7.0000000000000001E-3</v>
      </c>
    </row>
    <row r="562" spans="1:7">
      <c r="A562" s="613"/>
      <c r="B562" s="209" t="s">
        <v>16</v>
      </c>
      <c r="C562" s="209" t="s">
        <v>18</v>
      </c>
      <c r="D562" s="212">
        <v>1.0072000000000001</v>
      </c>
      <c r="E562" s="212">
        <v>3.2800000000000003E-2</v>
      </c>
      <c r="F562" s="212">
        <v>4.0000000000000002E-4</v>
      </c>
      <c r="G562" s="212">
        <v>8.0999999999999996E-3</v>
      </c>
    </row>
    <row r="563" spans="1:7">
      <c r="A563" s="214" t="s">
        <v>516</v>
      </c>
      <c r="B563" s="214" t="s">
        <v>144</v>
      </c>
      <c r="C563" s="214" t="s">
        <v>734</v>
      </c>
      <c r="D563" s="217">
        <v>0.84789999999999999</v>
      </c>
      <c r="E563" s="217">
        <v>0.14399999999999999</v>
      </c>
      <c r="F563" s="217">
        <v>-1.1000000000000001E-3</v>
      </c>
      <c r="G563" s="217">
        <v>5.7999999999999996E-3</v>
      </c>
    </row>
    <row r="564" spans="1:7">
      <c r="A564" s="612" t="s">
        <v>418</v>
      </c>
      <c r="B564" s="204" t="s">
        <v>144</v>
      </c>
      <c r="C564" s="204" t="s">
        <v>699</v>
      </c>
      <c r="D564" s="207">
        <v>0.45979999999999999</v>
      </c>
      <c r="E564" s="207">
        <v>3.73E-2</v>
      </c>
      <c r="F564" s="207">
        <v>1.3899999999999999E-2</v>
      </c>
      <c r="G564" s="207">
        <v>6.3E-3</v>
      </c>
    </row>
    <row r="565" spans="1:7">
      <c r="A565" s="616"/>
      <c r="B565" s="82" t="s">
        <v>144</v>
      </c>
      <c r="C565" s="82" t="s">
        <v>740</v>
      </c>
      <c r="D565" s="107">
        <v>0.70269999999999999</v>
      </c>
      <c r="E565" s="107">
        <v>2.9600000000000001E-2</v>
      </c>
      <c r="F565" s="107">
        <v>1.04E-2</v>
      </c>
      <c r="G565" s="107">
        <v>6.6E-3</v>
      </c>
    </row>
    <row r="566" spans="1:7">
      <c r="A566" s="613"/>
      <c r="B566" s="209" t="s">
        <v>699</v>
      </c>
      <c r="C566" s="209" t="s">
        <v>740</v>
      </c>
      <c r="D566" s="212">
        <v>0.37680000000000002</v>
      </c>
      <c r="E566" s="212">
        <v>3.1899999999999998E-2</v>
      </c>
      <c r="F566" s="212">
        <v>6.5000000000000002E-2</v>
      </c>
      <c r="G566" s="212">
        <v>5.8999999999999999E-3</v>
      </c>
    </row>
    <row r="567" spans="1:7">
      <c r="A567" s="214" t="s">
        <v>525</v>
      </c>
      <c r="B567" s="657" t="s">
        <v>9</v>
      </c>
      <c r="C567" s="657"/>
      <c r="D567" s="657"/>
      <c r="E567" s="657"/>
      <c r="F567" s="657"/>
      <c r="G567" s="657"/>
    </row>
    <row r="568" spans="1:7">
      <c r="A568" s="612" t="s">
        <v>587</v>
      </c>
      <c r="B568" s="204" t="s">
        <v>14</v>
      </c>
      <c r="C568" s="204" t="s">
        <v>16</v>
      </c>
      <c r="D568" s="207">
        <v>0.86939999999999995</v>
      </c>
      <c r="E568" s="207">
        <v>5.8799999999999998E-2</v>
      </c>
      <c r="F568" s="207">
        <v>1.2699999999999999E-2</v>
      </c>
      <c r="G568" s="207">
        <v>5.0000000000000001E-3</v>
      </c>
    </row>
    <row r="569" spans="1:7">
      <c r="A569" s="616"/>
      <c r="B569" s="82" t="s">
        <v>14</v>
      </c>
      <c r="C569" s="82" t="s">
        <v>18</v>
      </c>
      <c r="D569" s="107">
        <v>1.0165999999999999</v>
      </c>
      <c r="E569" s="107">
        <v>6.9800000000000001E-2</v>
      </c>
      <c r="F569" s="107">
        <v>1.5599999999999999E-2</v>
      </c>
      <c r="G569" s="107">
        <v>5.4000000000000003E-3</v>
      </c>
    </row>
    <row r="570" spans="1:7">
      <c r="A570" s="613"/>
      <c r="B570" s="209" t="s">
        <v>16</v>
      </c>
      <c r="C570" s="209" t="s">
        <v>18</v>
      </c>
      <c r="D570" s="212">
        <v>1.0519000000000001</v>
      </c>
      <c r="E570" s="212">
        <v>6.6100000000000006E-2</v>
      </c>
      <c r="F570" s="212">
        <v>4.3E-3</v>
      </c>
      <c r="G570" s="212">
        <v>5.1000000000000004E-3</v>
      </c>
    </row>
    <row r="571" spans="1:7">
      <c r="A571" s="214" t="s">
        <v>526</v>
      </c>
      <c r="B571" s="657" t="s">
        <v>9</v>
      </c>
      <c r="C571" s="657"/>
      <c r="D571" s="657"/>
      <c r="E571" s="657"/>
      <c r="F571" s="657"/>
      <c r="G571" s="657"/>
    </row>
    <row r="572" spans="1:7">
      <c r="A572" s="612" t="s">
        <v>527</v>
      </c>
      <c r="B572" s="204" t="s">
        <v>144</v>
      </c>
      <c r="C572" s="204" t="s">
        <v>736</v>
      </c>
      <c r="D572" s="207">
        <v>0.75280000000000002</v>
      </c>
      <c r="E572" s="207">
        <v>1.95E-2</v>
      </c>
      <c r="F572" s="207">
        <v>1.6000000000000001E-3</v>
      </c>
      <c r="G572" s="207">
        <v>1.0699999999999999E-2</v>
      </c>
    </row>
    <row r="573" spans="1:7">
      <c r="A573" s="616"/>
      <c r="B573" s="82" t="s">
        <v>144</v>
      </c>
      <c r="C573" s="82" t="s">
        <v>14</v>
      </c>
      <c r="D573" s="107">
        <v>0.8085</v>
      </c>
      <c r="E573" s="107">
        <v>3.44E-2</v>
      </c>
      <c r="F573" s="107">
        <v>-0.01</v>
      </c>
      <c r="G573" s="107">
        <v>9.7000000000000003E-3</v>
      </c>
    </row>
    <row r="574" spans="1:7">
      <c r="A574" s="616"/>
      <c r="B574" s="82" t="s">
        <v>144</v>
      </c>
      <c r="C574" s="82" t="s">
        <v>16</v>
      </c>
      <c r="D574" s="107">
        <v>0.76429999999999998</v>
      </c>
      <c r="E574" s="107">
        <v>3.5000000000000003E-2</v>
      </c>
      <c r="F574" s="107">
        <v>-3.8E-3</v>
      </c>
      <c r="G574" s="107">
        <v>8.3000000000000001E-3</v>
      </c>
    </row>
    <row r="575" spans="1:7">
      <c r="A575" s="616"/>
      <c r="B575" s="82" t="s">
        <v>144</v>
      </c>
      <c r="C575" s="82" t="s">
        <v>18</v>
      </c>
      <c r="D575" s="107">
        <v>0.68430000000000002</v>
      </c>
      <c r="E575" s="107">
        <v>3.27E-2</v>
      </c>
      <c r="F575" s="107">
        <v>1.2200000000000001E-2</v>
      </c>
      <c r="G575" s="107">
        <v>7.9000000000000008E-3</v>
      </c>
    </row>
    <row r="576" spans="1:7">
      <c r="A576" s="616"/>
      <c r="B576" s="82" t="s">
        <v>736</v>
      </c>
      <c r="C576" s="82" t="s">
        <v>14</v>
      </c>
      <c r="D576" s="107">
        <v>1.0106999999999999</v>
      </c>
      <c r="E576" s="107">
        <v>1.9199999999999998E-2</v>
      </c>
      <c r="F576" s="107">
        <v>0.55900000000000005</v>
      </c>
      <c r="G576" s="107">
        <v>7.6E-3</v>
      </c>
    </row>
    <row r="577" spans="1:7">
      <c r="A577" s="616"/>
      <c r="B577" s="82" t="s">
        <v>736</v>
      </c>
      <c r="C577" s="82" t="s">
        <v>16</v>
      </c>
      <c r="D577" s="107">
        <v>0.99309999999999998</v>
      </c>
      <c r="E577" s="107">
        <v>2.1000000000000001E-2</v>
      </c>
      <c r="F577" s="107">
        <v>0.56489999999999996</v>
      </c>
      <c r="G577" s="107">
        <v>7.3000000000000001E-3</v>
      </c>
    </row>
    <row r="578" spans="1:7">
      <c r="A578" s="616"/>
      <c r="B578" s="82" t="s">
        <v>736</v>
      </c>
      <c r="C578" s="82" t="s">
        <v>18</v>
      </c>
      <c r="D578" s="107">
        <v>0.97389999999999999</v>
      </c>
      <c r="E578" s="107">
        <v>1.8599999999999998E-2</v>
      </c>
      <c r="F578" s="107">
        <v>0.57420000000000004</v>
      </c>
      <c r="G578" s="107">
        <v>7.1999999999999998E-3</v>
      </c>
    </row>
    <row r="579" spans="1:7">
      <c r="A579" s="616"/>
      <c r="B579" s="82" t="s">
        <v>14</v>
      </c>
      <c r="C579" s="82" t="s">
        <v>16</v>
      </c>
      <c r="D579" s="107">
        <v>1.0693999999999999</v>
      </c>
      <c r="E579" s="107">
        <v>5.9499999999999997E-2</v>
      </c>
      <c r="F579" s="107">
        <v>3.5000000000000001E-3</v>
      </c>
      <c r="G579" s="107">
        <v>5.7000000000000002E-3</v>
      </c>
    </row>
    <row r="580" spans="1:7">
      <c r="A580" s="616"/>
      <c r="B580" s="82" t="s">
        <v>14</v>
      </c>
      <c r="C580" s="82" t="s">
        <v>18</v>
      </c>
      <c r="D580" s="107">
        <v>1.0206999999999999</v>
      </c>
      <c r="E580" s="107">
        <v>5.4800000000000001E-2</v>
      </c>
      <c r="F580" s="107">
        <v>5.5999999999999999E-3</v>
      </c>
      <c r="G580" s="107">
        <v>5.7999999999999996E-3</v>
      </c>
    </row>
    <row r="581" spans="1:7">
      <c r="A581" s="613"/>
      <c r="B581" s="209" t="s">
        <v>16</v>
      </c>
      <c r="C581" s="209" t="s">
        <v>18</v>
      </c>
      <c r="D581" s="212">
        <v>0.93989999999999996</v>
      </c>
      <c r="E581" s="212">
        <v>5.45E-2</v>
      </c>
      <c r="F581" s="212">
        <v>5.7000000000000002E-3</v>
      </c>
      <c r="G581" s="212">
        <v>5.5999999999999999E-3</v>
      </c>
    </row>
    <row r="582" spans="1:7">
      <c r="A582" s="612" t="s">
        <v>535</v>
      </c>
      <c r="B582" s="204" t="s">
        <v>144</v>
      </c>
      <c r="C582" s="204" t="s">
        <v>799</v>
      </c>
      <c r="D582" s="207">
        <v>0.78410000000000002</v>
      </c>
      <c r="E582" s="207">
        <v>6.3200000000000006E-2</v>
      </c>
      <c r="F582" s="207">
        <v>3.5999999999999999E-3</v>
      </c>
      <c r="G582" s="207">
        <v>6.8999999999999999E-3</v>
      </c>
    </row>
    <row r="583" spans="1:7">
      <c r="A583" s="616"/>
      <c r="B583" s="82" t="s">
        <v>144</v>
      </c>
      <c r="C583" s="82" t="s">
        <v>798</v>
      </c>
      <c r="D583" s="107">
        <v>0.73870000000000002</v>
      </c>
      <c r="E583" s="107">
        <v>6.4199999999999993E-2</v>
      </c>
      <c r="F583" s="107">
        <v>4.0000000000000001E-3</v>
      </c>
      <c r="G583" s="107">
        <v>6.7999999999999996E-3</v>
      </c>
    </row>
    <row r="584" spans="1:7">
      <c r="A584" s="616"/>
      <c r="B584" s="82" t="s">
        <v>144</v>
      </c>
      <c r="C584" s="82" t="s">
        <v>797</v>
      </c>
      <c r="D584" s="107">
        <v>0.82340000000000002</v>
      </c>
      <c r="E584" s="107">
        <v>6.9099999999999995E-2</v>
      </c>
      <c r="F584" s="107">
        <v>3.3E-3</v>
      </c>
      <c r="G584" s="107">
        <v>7.1000000000000004E-3</v>
      </c>
    </row>
    <row r="585" spans="1:7">
      <c r="A585" s="616"/>
      <c r="B585" s="82" t="s">
        <v>144</v>
      </c>
      <c r="C585" s="82" t="s">
        <v>796</v>
      </c>
      <c r="D585" s="107">
        <v>0.80459999999999998</v>
      </c>
      <c r="E585" s="107">
        <v>7.7299999999999994E-2</v>
      </c>
      <c r="F585" s="107">
        <v>-5.0000000000000001E-4</v>
      </c>
      <c r="G585" s="107">
        <v>7.1999999999999998E-3</v>
      </c>
    </row>
    <row r="586" spans="1:7">
      <c r="A586" s="616"/>
      <c r="B586" s="82" t="s">
        <v>144</v>
      </c>
      <c r="C586" s="82" t="s">
        <v>795</v>
      </c>
      <c r="D586" s="107">
        <v>0.80310000000000004</v>
      </c>
      <c r="E586" s="107">
        <v>7.0300000000000001E-2</v>
      </c>
      <c r="F586" s="107">
        <v>3.7000000000000002E-3</v>
      </c>
      <c r="G586" s="107">
        <v>6.8999999999999999E-3</v>
      </c>
    </row>
    <row r="587" spans="1:7">
      <c r="A587" s="616"/>
      <c r="B587" s="82" t="s">
        <v>144</v>
      </c>
      <c r="C587" s="82" t="s">
        <v>794</v>
      </c>
      <c r="D587" s="107">
        <v>0.75790000000000002</v>
      </c>
      <c r="E587" s="107">
        <v>6.8099999999999994E-2</v>
      </c>
      <c r="F587" s="107">
        <v>8.8999999999999999E-3</v>
      </c>
      <c r="G587" s="107">
        <v>6.7000000000000002E-3</v>
      </c>
    </row>
    <row r="588" spans="1:7">
      <c r="A588" s="616"/>
      <c r="B588" s="82" t="s">
        <v>144</v>
      </c>
      <c r="C588" s="82" t="s">
        <v>14</v>
      </c>
      <c r="D588" s="107">
        <v>0.81910000000000005</v>
      </c>
      <c r="E588" s="107">
        <v>6.1199999999999997E-2</v>
      </c>
      <c r="F588" s="107">
        <v>-6.8999999999999999E-3</v>
      </c>
      <c r="G588" s="107">
        <v>6.7000000000000002E-3</v>
      </c>
    </row>
    <row r="589" spans="1:7">
      <c r="A589" s="616"/>
      <c r="B589" s="82" t="s">
        <v>144</v>
      </c>
      <c r="C589" s="82" t="s">
        <v>16</v>
      </c>
      <c r="D589" s="107">
        <v>0.80710000000000004</v>
      </c>
      <c r="E589" s="107">
        <v>7.17E-2</v>
      </c>
      <c r="F589" s="107">
        <v>-5.4999999999999997E-3</v>
      </c>
      <c r="G589" s="107">
        <v>5.8999999999999999E-3</v>
      </c>
    </row>
    <row r="590" spans="1:7">
      <c r="A590" s="616"/>
      <c r="B590" s="82" t="s">
        <v>144</v>
      </c>
      <c r="C590" s="82" t="s">
        <v>18</v>
      </c>
      <c r="D590" s="107">
        <v>0.65139999999999998</v>
      </c>
      <c r="E590" s="107">
        <v>5.6599999999999998E-2</v>
      </c>
      <c r="F590" s="107">
        <v>5.1000000000000004E-3</v>
      </c>
      <c r="G590" s="107">
        <v>6.4000000000000003E-3</v>
      </c>
    </row>
    <row r="591" spans="1:7">
      <c r="A591" s="616"/>
      <c r="B591" s="82" t="s">
        <v>799</v>
      </c>
      <c r="C591" s="82" t="s">
        <v>798</v>
      </c>
      <c r="D591" s="107">
        <v>1.0401</v>
      </c>
      <c r="E591" s="107">
        <v>3.3599999999999998E-2</v>
      </c>
      <c r="F591" s="107">
        <v>0.96889999999999998</v>
      </c>
      <c r="G591" s="107">
        <v>7.1000000000000004E-3</v>
      </c>
    </row>
    <row r="592" spans="1:7">
      <c r="A592" s="616"/>
      <c r="B592" s="82" t="s">
        <v>799</v>
      </c>
      <c r="C592" s="82" t="s">
        <v>797</v>
      </c>
      <c r="D592" s="107">
        <v>1.0270999999999999</v>
      </c>
      <c r="E592" s="107">
        <v>3.5400000000000001E-2</v>
      </c>
      <c r="F592" s="107">
        <v>0.96679999999999999</v>
      </c>
      <c r="G592" s="107">
        <v>7.1000000000000004E-3</v>
      </c>
    </row>
    <row r="593" spans="1:7">
      <c r="A593" s="616"/>
      <c r="B593" s="82" t="s">
        <v>799</v>
      </c>
      <c r="C593" s="82" t="s">
        <v>796</v>
      </c>
      <c r="D593" s="107">
        <v>1.0842000000000001</v>
      </c>
      <c r="E593" s="107">
        <v>3.32E-2</v>
      </c>
      <c r="F593" s="107">
        <v>0.94350000000000001</v>
      </c>
      <c r="G593" s="107">
        <v>7.1000000000000004E-3</v>
      </c>
    </row>
    <row r="594" spans="1:7">
      <c r="A594" s="616"/>
      <c r="B594" s="82" t="s">
        <v>799</v>
      </c>
      <c r="C594" s="82" t="s">
        <v>795</v>
      </c>
      <c r="D594" s="107">
        <v>1.0255000000000001</v>
      </c>
      <c r="E594" s="107">
        <v>3.6200000000000003E-2</v>
      </c>
      <c r="F594" s="107">
        <v>0.97960000000000003</v>
      </c>
      <c r="G594" s="107">
        <v>7.1999999999999998E-3</v>
      </c>
    </row>
    <row r="595" spans="1:7">
      <c r="A595" s="616"/>
      <c r="B595" s="82" t="s">
        <v>799</v>
      </c>
      <c r="C595" s="82" t="s">
        <v>794</v>
      </c>
      <c r="D595" s="107">
        <v>1.0501</v>
      </c>
      <c r="E595" s="107">
        <v>3.1899999999999998E-2</v>
      </c>
      <c r="F595" s="107">
        <v>0.9214</v>
      </c>
      <c r="G595" s="107">
        <v>6.4999999999999997E-3</v>
      </c>
    </row>
    <row r="596" spans="1:7">
      <c r="A596" s="616"/>
      <c r="B596" s="82" t="s">
        <v>799</v>
      </c>
      <c r="C596" s="82" t="s">
        <v>14</v>
      </c>
      <c r="D596" s="107">
        <v>0.88929999999999998</v>
      </c>
      <c r="E596" s="107">
        <v>0.10390000000000001</v>
      </c>
      <c r="F596" s="107">
        <v>-2.3E-3</v>
      </c>
      <c r="G596" s="107">
        <v>5.1999999999999998E-3</v>
      </c>
    </row>
    <row r="597" spans="1:7">
      <c r="A597" s="616"/>
      <c r="B597" s="82" t="s">
        <v>799</v>
      </c>
      <c r="C597" s="82" t="s">
        <v>16</v>
      </c>
      <c r="D597" s="107">
        <v>0.69769999999999999</v>
      </c>
      <c r="E597" s="107">
        <v>0.11310000000000001</v>
      </c>
      <c r="F597" s="107">
        <v>5.1000000000000004E-3</v>
      </c>
      <c r="G597" s="107">
        <v>4.8999999999999998E-3</v>
      </c>
    </row>
    <row r="598" spans="1:7">
      <c r="A598" s="616"/>
      <c r="B598" s="82" t="s">
        <v>799</v>
      </c>
      <c r="C598" s="82" t="s">
        <v>18</v>
      </c>
      <c r="D598" s="107">
        <v>0.57050000000000001</v>
      </c>
      <c r="E598" s="107">
        <v>0.10349999999999999</v>
      </c>
      <c r="F598" s="107">
        <v>5.5999999999999999E-3</v>
      </c>
      <c r="G598" s="107">
        <v>5.1000000000000004E-3</v>
      </c>
    </row>
    <row r="599" spans="1:7">
      <c r="A599" s="616"/>
      <c r="B599" s="82" t="s">
        <v>798</v>
      </c>
      <c r="C599" s="82" t="s">
        <v>797</v>
      </c>
      <c r="D599" s="107">
        <v>1.0709</v>
      </c>
      <c r="E599" s="107">
        <v>3.2199999999999999E-2</v>
      </c>
      <c r="F599" s="107">
        <v>0.92820000000000003</v>
      </c>
      <c r="G599" s="107">
        <v>7.0000000000000001E-3</v>
      </c>
    </row>
    <row r="600" spans="1:7">
      <c r="A600" s="616"/>
      <c r="B600" s="82" t="s">
        <v>798</v>
      </c>
      <c r="C600" s="82" t="s">
        <v>796</v>
      </c>
      <c r="D600" s="107">
        <v>1.1395</v>
      </c>
      <c r="E600" s="107">
        <v>3.2399999999999998E-2</v>
      </c>
      <c r="F600" s="107">
        <v>0.90259999999999996</v>
      </c>
      <c r="G600" s="107">
        <v>7.0000000000000001E-3</v>
      </c>
    </row>
    <row r="601" spans="1:7">
      <c r="A601" s="616"/>
      <c r="B601" s="82" t="s">
        <v>798</v>
      </c>
      <c r="C601" s="82" t="s">
        <v>795</v>
      </c>
      <c r="D601" s="107">
        <v>1.0673999999999999</v>
      </c>
      <c r="E601" s="107">
        <v>3.32E-2</v>
      </c>
      <c r="F601" s="107">
        <v>0.94330000000000003</v>
      </c>
      <c r="G601" s="107">
        <v>7.1000000000000004E-3</v>
      </c>
    </row>
    <row r="602" spans="1:7">
      <c r="A602" s="616"/>
      <c r="B602" s="82" t="s">
        <v>798</v>
      </c>
      <c r="C602" s="82" t="s">
        <v>794</v>
      </c>
      <c r="D602" s="107">
        <v>1.111</v>
      </c>
      <c r="E602" s="107">
        <v>3.1899999999999998E-2</v>
      </c>
      <c r="F602" s="107">
        <v>0.87849999999999995</v>
      </c>
      <c r="G602" s="107">
        <v>6.4000000000000003E-3</v>
      </c>
    </row>
    <row r="603" spans="1:7">
      <c r="A603" s="616"/>
      <c r="B603" s="82" t="s">
        <v>798</v>
      </c>
      <c r="C603" s="82" t="s">
        <v>14</v>
      </c>
      <c r="D603" s="107">
        <v>0.8458</v>
      </c>
      <c r="E603" s="107">
        <v>0.10150000000000001</v>
      </c>
      <c r="F603" s="107">
        <v>-1.5E-3</v>
      </c>
      <c r="G603" s="107">
        <v>5.1999999999999998E-3</v>
      </c>
    </row>
    <row r="604" spans="1:7">
      <c r="A604" s="616"/>
      <c r="B604" s="82" t="s">
        <v>798</v>
      </c>
      <c r="C604" s="82" t="s">
        <v>16</v>
      </c>
      <c r="D604" s="107">
        <v>0.64080000000000004</v>
      </c>
      <c r="E604" s="107">
        <v>0.1128</v>
      </c>
      <c r="F604" s="107">
        <v>5.4999999999999997E-3</v>
      </c>
      <c r="G604" s="107">
        <v>5.1000000000000004E-3</v>
      </c>
    </row>
    <row r="605" spans="1:7">
      <c r="A605" s="616"/>
      <c r="B605" s="82" t="s">
        <v>798</v>
      </c>
      <c r="C605" s="82" t="s">
        <v>18</v>
      </c>
      <c r="D605" s="107">
        <v>0.55620000000000003</v>
      </c>
      <c r="E605" s="107">
        <v>0.104</v>
      </c>
      <c r="F605" s="107">
        <v>3.0999999999999999E-3</v>
      </c>
      <c r="G605" s="107">
        <v>5.0000000000000001E-3</v>
      </c>
    </row>
    <row r="606" spans="1:7">
      <c r="A606" s="616"/>
      <c r="B606" s="82" t="s">
        <v>797</v>
      </c>
      <c r="C606" s="82" t="s">
        <v>796</v>
      </c>
      <c r="D606" s="107">
        <v>1.1289</v>
      </c>
      <c r="E606" s="107">
        <v>3.3700000000000001E-2</v>
      </c>
      <c r="F606" s="107">
        <v>0.89880000000000004</v>
      </c>
      <c r="G606" s="107">
        <v>7.0000000000000001E-3</v>
      </c>
    </row>
    <row r="607" spans="1:7">
      <c r="A607" s="616"/>
      <c r="B607" s="82" t="s">
        <v>797</v>
      </c>
      <c r="C607" s="82" t="s">
        <v>795</v>
      </c>
      <c r="D607" s="107">
        <v>1.0648</v>
      </c>
      <c r="E607" s="107">
        <v>3.32E-2</v>
      </c>
      <c r="F607" s="107">
        <v>0.94010000000000005</v>
      </c>
      <c r="G607" s="107">
        <v>7.1000000000000004E-3</v>
      </c>
    </row>
    <row r="608" spans="1:7">
      <c r="A608" s="616"/>
      <c r="B608" s="82" t="s">
        <v>797</v>
      </c>
      <c r="C608" s="82" t="s">
        <v>794</v>
      </c>
      <c r="D608" s="107">
        <v>1.0911</v>
      </c>
      <c r="E608" s="107">
        <v>3.3300000000000003E-2</v>
      </c>
      <c r="F608" s="107">
        <v>0.87419999999999998</v>
      </c>
      <c r="G608" s="107">
        <v>6.4999999999999997E-3</v>
      </c>
    </row>
    <row r="609" spans="1:7">
      <c r="A609" s="616"/>
      <c r="B609" s="82" t="s">
        <v>797</v>
      </c>
      <c r="C609" s="82" t="s">
        <v>14</v>
      </c>
      <c r="D609" s="107">
        <v>0.95169999999999999</v>
      </c>
      <c r="E609" s="107">
        <v>0.1152</v>
      </c>
      <c r="F609" s="107">
        <v>-3.3999999999999998E-3</v>
      </c>
      <c r="G609" s="107">
        <v>5.1999999999999998E-3</v>
      </c>
    </row>
    <row r="610" spans="1:7">
      <c r="A610" s="616"/>
      <c r="B610" s="82" t="s">
        <v>797</v>
      </c>
      <c r="C610" s="82" t="s">
        <v>16</v>
      </c>
      <c r="D610" s="107">
        <v>0.77869999999999995</v>
      </c>
      <c r="E610" s="107">
        <v>0.12690000000000001</v>
      </c>
      <c r="F610" s="107">
        <v>5.4000000000000003E-3</v>
      </c>
      <c r="G610" s="107">
        <v>5.1999999999999998E-3</v>
      </c>
    </row>
    <row r="611" spans="1:7">
      <c r="A611" s="616"/>
      <c r="B611" s="82" t="s">
        <v>797</v>
      </c>
      <c r="C611" s="82" t="s">
        <v>18</v>
      </c>
      <c r="D611" s="107">
        <v>0.60540000000000005</v>
      </c>
      <c r="E611" s="107">
        <v>0.1124</v>
      </c>
      <c r="F611" s="107">
        <v>5.4999999999999997E-3</v>
      </c>
      <c r="G611" s="107">
        <v>5.3E-3</v>
      </c>
    </row>
    <row r="612" spans="1:7">
      <c r="A612" s="616"/>
      <c r="B612" s="82" t="s">
        <v>796</v>
      </c>
      <c r="C612" s="82" t="s">
        <v>795</v>
      </c>
      <c r="D612" s="107">
        <v>1.1254999999999999</v>
      </c>
      <c r="E612" s="107">
        <v>3.2199999999999999E-2</v>
      </c>
      <c r="F612" s="107">
        <v>0.91569999999999996</v>
      </c>
      <c r="G612" s="107">
        <v>7.1000000000000004E-3</v>
      </c>
    </row>
    <row r="613" spans="1:7">
      <c r="A613" s="616"/>
      <c r="B613" s="82" t="s">
        <v>796</v>
      </c>
      <c r="C613" s="82" t="s">
        <v>794</v>
      </c>
      <c r="D613" s="107">
        <v>1.1937</v>
      </c>
      <c r="E613" s="107">
        <v>3.6200000000000003E-2</v>
      </c>
      <c r="F613" s="107">
        <v>0.84440000000000004</v>
      </c>
      <c r="G613" s="107">
        <v>6.4000000000000003E-3</v>
      </c>
    </row>
    <row r="614" spans="1:7">
      <c r="A614" s="616"/>
      <c r="B614" s="82" t="s">
        <v>796</v>
      </c>
      <c r="C614" s="82" t="s">
        <v>14</v>
      </c>
      <c r="D614" s="107">
        <v>0.92200000000000004</v>
      </c>
      <c r="E614" s="107">
        <v>0.1193</v>
      </c>
      <c r="F614" s="107">
        <v>-2.3E-3</v>
      </c>
      <c r="G614" s="107">
        <v>5.1999999999999998E-3</v>
      </c>
    </row>
    <row r="615" spans="1:7">
      <c r="A615" s="616"/>
      <c r="B615" s="82" t="s">
        <v>796</v>
      </c>
      <c r="C615" s="82" t="s">
        <v>16</v>
      </c>
      <c r="D615" s="107">
        <v>0.77010000000000001</v>
      </c>
      <c r="E615" s="107">
        <v>0.12909999999999999</v>
      </c>
      <c r="F615" s="107">
        <v>1.9E-3</v>
      </c>
      <c r="G615" s="107">
        <v>5.1000000000000004E-3</v>
      </c>
    </row>
    <row r="616" spans="1:7">
      <c r="A616" s="616"/>
      <c r="B616" s="82" t="s">
        <v>796</v>
      </c>
      <c r="C616" s="82" t="s">
        <v>18</v>
      </c>
      <c r="D616" s="107">
        <v>0.59619999999999995</v>
      </c>
      <c r="E616" s="107">
        <v>0.111</v>
      </c>
      <c r="F616" s="107">
        <v>5.5999999999999999E-3</v>
      </c>
      <c r="G616" s="107">
        <v>5.0000000000000001E-3</v>
      </c>
    </row>
    <row r="617" spans="1:7">
      <c r="A617" s="616"/>
      <c r="B617" s="82" t="s">
        <v>795</v>
      </c>
      <c r="C617" s="82" t="s">
        <v>794</v>
      </c>
      <c r="D617" s="107">
        <v>1.095</v>
      </c>
      <c r="E617" s="107">
        <v>3.3000000000000002E-2</v>
      </c>
      <c r="F617" s="107">
        <v>0.89149999999999996</v>
      </c>
      <c r="G617" s="107">
        <v>6.4999999999999997E-3</v>
      </c>
    </row>
    <row r="618" spans="1:7">
      <c r="A618" s="616"/>
      <c r="B618" s="82" t="s">
        <v>795</v>
      </c>
      <c r="C618" s="82" t="s">
        <v>14</v>
      </c>
      <c r="D618" s="107">
        <v>0.93240000000000001</v>
      </c>
      <c r="E618" s="107">
        <v>0.11360000000000001</v>
      </c>
      <c r="F618" s="107">
        <v>-2.7000000000000001E-3</v>
      </c>
      <c r="G618" s="107">
        <v>5.1000000000000004E-3</v>
      </c>
    </row>
    <row r="619" spans="1:7">
      <c r="A619" s="616"/>
      <c r="B619" s="82" t="s">
        <v>795</v>
      </c>
      <c r="C619" s="82" t="s">
        <v>16</v>
      </c>
      <c r="D619" s="107">
        <v>0.74580000000000002</v>
      </c>
      <c r="E619" s="107">
        <v>0.12720000000000001</v>
      </c>
      <c r="F619" s="107">
        <v>4.7999999999999996E-3</v>
      </c>
      <c r="G619" s="107">
        <v>5.0000000000000001E-3</v>
      </c>
    </row>
    <row r="620" spans="1:7">
      <c r="A620" s="616"/>
      <c r="B620" s="82" t="s">
        <v>795</v>
      </c>
      <c r="C620" s="82" t="s">
        <v>18</v>
      </c>
      <c r="D620" s="107">
        <v>0.61270000000000002</v>
      </c>
      <c r="E620" s="107">
        <v>0.1103</v>
      </c>
      <c r="F620" s="107">
        <v>4.8999999999999998E-3</v>
      </c>
      <c r="G620" s="107">
        <v>5.1000000000000004E-3</v>
      </c>
    </row>
    <row r="621" spans="1:7">
      <c r="A621" s="616"/>
      <c r="B621" s="82" t="s">
        <v>794</v>
      </c>
      <c r="C621" s="82" t="s">
        <v>14</v>
      </c>
      <c r="D621" s="107">
        <v>0.81810000000000005</v>
      </c>
      <c r="E621" s="107">
        <v>0.1077</v>
      </c>
      <c r="F621" s="107">
        <v>-1.1999999999999999E-3</v>
      </c>
      <c r="G621" s="107">
        <v>5.1000000000000004E-3</v>
      </c>
    </row>
    <row r="622" spans="1:7">
      <c r="A622" s="616"/>
      <c r="B622" s="82" t="s">
        <v>794</v>
      </c>
      <c r="C622" s="82" t="s">
        <v>16</v>
      </c>
      <c r="D622" s="107">
        <v>0.71230000000000004</v>
      </c>
      <c r="E622" s="107">
        <v>0.126</v>
      </c>
      <c r="F622" s="107">
        <v>3.5000000000000001E-3</v>
      </c>
      <c r="G622" s="107">
        <v>4.7999999999999996E-3</v>
      </c>
    </row>
    <row r="623" spans="1:7">
      <c r="A623" s="616"/>
      <c r="B623" s="82" t="s">
        <v>794</v>
      </c>
      <c r="C623" s="82" t="s">
        <v>18</v>
      </c>
      <c r="D623" s="107">
        <v>0.46500000000000002</v>
      </c>
      <c r="E623" s="107">
        <v>0.1115</v>
      </c>
      <c r="F623" s="107">
        <v>8.3999999999999995E-3</v>
      </c>
      <c r="G623" s="107">
        <v>5.1999999999999998E-3</v>
      </c>
    </row>
    <row r="624" spans="1:7">
      <c r="A624" s="616"/>
      <c r="B624" s="82" t="s">
        <v>14</v>
      </c>
      <c r="C624" s="82" t="s">
        <v>16</v>
      </c>
      <c r="D624" s="107">
        <v>1.1439999999999999</v>
      </c>
      <c r="E624" s="107">
        <v>0.125</v>
      </c>
      <c r="F624" s="107">
        <v>-1.8E-3</v>
      </c>
      <c r="G624" s="107">
        <v>5.1000000000000004E-3</v>
      </c>
    </row>
    <row r="625" spans="1:7">
      <c r="A625" s="616"/>
      <c r="B625" s="82" t="s">
        <v>14</v>
      </c>
      <c r="C625" s="82" t="s">
        <v>18</v>
      </c>
      <c r="D625" s="107">
        <v>0.77190000000000003</v>
      </c>
      <c r="E625" s="107">
        <v>9.6699999999999994E-2</v>
      </c>
      <c r="F625" s="107">
        <v>4.4000000000000003E-3</v>
      </c>
      <c r="G625" s="107">
        <v>4.4000000000000003E-3</v>
      </c>
    </row>
    <row r="626" spans="1:7">
      <c r="A626" s="613"/>
      <c r="B626" s="209" t="s">
        <v>16</v>
      </c>
      <c r="C626" s="209" t="s">
        <v>18</v>
      </c>
      <c r="D626" s="212">
        <v>0.8821</v>
      </c>
      <c r="E626" s="212">
        <v>0.10290000000000001</v>
      </c>
      <c r="F626" s="212">
        <v>-3.0419000000000001E-5</v>
      </c>
      <c r="G626" s="212">
        <v>4.5999999999999999E-3</v>
      </c>
    </row>
    <row r="627" spans="1:7">
      <c r="A627" s="51" t="s">
        <v>565</v>
      </c>
      <c r="B627" s="62"/>
      <c r="C627" s="52"/>
      <c r="D627" s="101"/>
      <c r="E627" s="198"/>
      <c r="F627" s="198"/>
      <c r="G627" s="198"/>
    </row>
    <row r="628" spans="1:7">
      <c r="A628" s="612" t="s">
        <v>193</v>
      </c>
      <c r="B628" s="204" t="s">
        <v>705</v>
      </c>
      <c r="C628" s="204" t="s">
        <v>863</v>
      </c>
      <c r="D628" s="107">
        <v>0.93959999999999999</v>
      </c>
      <c r="E628" s="107">
        <v>0.24940000000000001</v>
      </c>
      <c r="F628" s="107">
        <v>2.2000000000000001E-3</v>
      </c>
      <c r="G628" s="107">
        <v>4.4000000000000003E-3</v>
      </c>
    </row>
    <row r="629" spans="1:7">
      <c r="A629" s="616"/>
      <c r="B629" s="82" t="s">
        <v>705</v>
      </c>
      <c r="C629" s="82" t="s">
        <v>706</v>
      </c>
      <c r="D629" s="107">
        <v>1.0461</v>
      </c>
      <c r="E629" s="107">
        <v>6.25E-2</v>
      </c>
      <c r="F629" s="107">
        <v>0.4486</v>
      </c>
      <c r="G629" s="107">
        <v>7.7000000000000002E-3</v>
      </c>
    </row>
    <row r="630" spans="1:7">
      <c r="A630" s="613"/>
      <c r="B630" s="209" t="s">
        <v>863</v>
      </c>
      <c r="C630" s="209" t="s">
        <v>706</v>
      </c>
      <c r="D630" s="212">
        <v>0.92910000000000004</v>
      </c>
      <c r="E630" s="212">
        <v>0.1605</v>
      </c>
      <c r="F630" s="212">
        <v>0.16520000000000001</v>
      </c>
      <c r="G630" s="212">
        <v>7.4000000000000003E-3</v>
      </c>
    </row>
    <row r="631" spans="1:7">
      <c r="A631" s="214" t="s">
        <v>218</v>
      </c>
      <c r="B631" s="214" t="s">
        <v>144</v>
      </c>
      <c r="C631" s="214" t="s">
        <v>775</v>
      </c>
      <c r="D631" s="217">
        <v>0.61839999999999995</v>
      </c>
      <c r="E631" s="217">
        <v>9.3100000000000002E-2</v>
      </c>
      <c r="F631" s="217">
        <v>6.8999999999999999E-3</v>
      </c>
      <c r="G631" s="217">
        <v>5.8999999999999999E-3</v>
      </c>
    </row>
    <row r="632" spans="1:7">
      <c r="A632" s="214" t="s">
        <v>221</v>
      </c>
      <c r="B632" s="657" t="s">
        <v>9</v>
      </c>
      <c r="C632" s="657"/>
      <c r="D632" s="657"/>
      <c r="E632" s="657"/>
      <c r="F632" s="657"/>
      <c r="G632" s="657"/>
    </row>
    <row r="633" spans="1:7">
      <c r="A633" s="612" t="s">
        <v>224</v>
      </c>
      <c r="B633" s="204" t="s">
        <v>712</v>
      </c>
      <c r="C633" s="204" t="s">
        <v>713</v>
      </c>
      <c r="D633" s="207">
        <v>1.0417000000000001</v>
      </c>
      <c r="E633" s="207">
        <v>9.1000000000000004E-3</v>
      </c>
      <c r="F633" s="207">
        <v>0.67110000000000003</v>
      </c>
      <c r="G633" s="207">
        <v>1.0200000000000001E-2</v>
      </c>
    </row>
    <row r="634" spans="1:7">
      <c r="A634" s="616"/>
      <c r="B634" s="82" t="s">
        <v>712</v>
      </c>
      <c r="C634" s="82" t="s">
        <v>14</v>
      </c>
      <c r="D634" s="107">
        <v>1.0608</v>
      </c>
      <c r="E634" s="107">
        <v>0.3301</v>
      </c>
      <c r="F634" s="107">
        <v>3.5299999999999998E-2</v>
      </c>
      <c r="G634" s="107">
        <v>6.1000000000000004E-3</v>
      </c>
    </row>
    <row r="635" spans="1:7">
      <c r="A635" s="616"/>
      <c r="B635" s="82" t="s">
        <v>712</v>
      </c>
      <c r="C635" s="82" t="s">
        <v>16</v>
      </c>
      <c r="D635" s="107">
        <v>0.8024</v>
      </c>
      <c r="E635" s="107">
        <v>0.12180000000000001</v>
      </c>
      <c r="F635" s="107">
        <v>3.2800000000000003E-2</v>
      </c>
      <c r="G635" s="107">
        <v>6.4999999999999997E-3</v>
      </c>
    </row>
    <row r="636" spans="1:7">
      <c r="A636" s="616"/>
      <c r="B636" s="82" t="s">
        <v>712</v>
      </c>
      <c r="C636" s="82" t="s">
        <v>18</v>
      </c>
      <c r="D636" s="107">
        <v>0.88490000000000002</v>
      </c>
      <c r="E636" s="107">
        <v>0.15160000000000001</v>
      </c>
      <c r="F636" s="107">
        <v>4.3799999999999999E-2</v>
      </c>
      <c r="G636" s="107">
        <v>6.4999999999999997E-3</v>
      </c>
    </row>
    <row r="637" spans="1:7">
      <c r="A637" s="616"/>
      <c r="B637" s="82" t="s">
        <v>713</v>
      </c>
      <c r="C637" s="82" t="s">
        <v>14</v>
      </c>
      <c r="D637" s="107">
        <v>1.1333</v>
      </c>
      <c r="E637" s="107">
        <v>0.40589999999999998</v>
      </c>
      <c r="F637" s="107">
        <v>1.5100000000000001E-2</v>
      </c>
      <c r="G637" s="107">
        <v>6.4999999999999997E-3</v>
      </c>
    </row>
    <row r="638" spans="1:7">
      <c r="A638" s="616"/>
      <c r="B638" s="82" t="s">
        <v>713</v>
      </c>
      <c r="C638" s="82" t="s">
        <v>16</v>
      </c>
      <c r="D638" s="107">
        <v>0.77270000000000005</v>
      </c>
      <c r="E638" s="107">
        <v>0.1172</v>
      </c>
      <c r="F638" s="107">
        <v>4.3E-3</v>
      </c>
      <c r="G638" s="107">
        <v>6.6E-3</v>
      </c>
    </row>
    <row r="639" spans="1:7">
      <c r="A639" s="616"/>
      <c r="B639" s="82" t="s">
        <v>713</v>
      </c>
      <c r="C639" s="82" t="s">
        <v>18</v>
      </c>
      <c r="D639" s="107">
        <v>0.98719999999999997</v>
      </c>
      <c r="E639" s="107">
        <v>0.16919999999999999</v>
      </c>
      <c r="F639" s="107">
        <v>4.4000000000000003E-3</v>
      </c>
      <c r="G639" s="107">
        <v>6.7999999999999996E-3</v>
      </c>
    </row>
    <row r="640" spans="1:7">
      <c r="A640" s="616"/>
      <c r="B640" s="82" t="s">
        <v>14</v>
      </c>
      <c r="C640" s="82" t="s">
        <v>16</v>
      </c>
      <c r="D640" s="107">
        <v>0.56489999999999996</v>
      </c>
      <c r="E640" s="107">
        <v>0.33889999999999998</v>
      </c>
      <c r="F640" s="107">
        <v>8.0000000000000002E-3</v>
      </c>
      <c r="G640" s="107">
        <v>4.7000000000000002E-3</v>
      </c>
    </row>
    <row r="641" spans="1:7">
      <c r="A641" s="616"/>
      <c r="B641" s="82" t="s">
        <v>14</v>
      </c>
      <c r="C641" s="82" t="s">
        <v>18</v>
      </c>
      <c r="D641" s="107">
        <v>1.6631</v>
      </c>
      <c r="E641" s="107">
        <v>0.57840000000000003</v>
      </c>
      <c r="F641" s="107">
        <v>-2.8E-3</v>
      </c>
      <c r="G641" s="107">
        <v>4.8999999999999998E-3</v>
      </c>
    </row>
    <row r="642" spans="1:7">
      <c r="A642" s="613"/>
      <c r="B642" s="209" t="s">
        <v>16</v>
      </c>
      <c r="C642" s="209" t="s">
        <v>18</v>
      </c>
      <c r="D642" s="212">
        <v>0.84799999999999998</v>
      </c>
      <c r="E642" s="212">
        <v>0.31040000000000001</v>
      </c>
      <c r="F642" s="212">
        <v>1.4E-3</v>
      </c>
      <c r="G642" s="212">
        <v>4.4000000000000003E-3</v>
      </c>
    </row>
    <row r="643" spans="1:7">
      <c r="A643" s="612" t="s">
        <v>348</v>
      </c>
      <c r="B643" s="204" t="s">
        <v>144</v>
      </c>
      <c r="C643" s="204" t="s">
        <v>723</v>
      </c>
      <c r="D643" s="207">
        <v>0.9909</v>
      </c>
      <c r="E643" s="207">
        <v>0.18390000000000001</v>
      </c>
      <c r="F643" s="207">
        <v>5.4000000000000003E-3</v>
      </c>
      <c r="G643" s="207">
        <v>7.0000000000000001E-3</v>
      </c>
    </row>
    <row r="644" spans="1:7">
      <c r="A644" s="616"/>
      <c r="B644" s="82" t="s">
        <v>144</v>
      </c>
      <c r="C644" s="82" t="s">
        <v>14</v>
      </c>
      <c r="D644" s="107">
        <v>0.61319999999999997</v>
      </c>
      <c r="E644" s="107">
        <v>3.7199999999999997E-2</v>
      </c>
      <c r="F644" s="107">
        <v>-5.0000000000000001E-3</v>
      </c>
      <c r="G644" s="107">
        <v>6.3E-3</v>
      </c>
    </row>
    <row r="645" spans="1:7">
      <c r="A645" s="616"/>
      <c r="B645" s="82" t="s">
        <v>144</v>
      </c>
      <c r="C645" s="82" t="s">
        <v>16</v>
      </c>
      <c r="D645" s="107">
        <v>0.59250000000000003</v>
      </c>
      <c r="E645" s="107">
        <v>3.6900000000000002E-2</v>
      </c>
      <c r="F645" s="107">
        <v>7.7000000000000002E-3</v>
      </c>
      <c r="G645" s="107">
        <v>5.7999999999999996E-3</v>
      </c>
    </row>
    <row r="646" spans="1:7">
      <c r="A646" s="616"/>
      <c r="B646" s="82" t="s">
        <v>144</v>
      </c>
      <c r="C646" s="82" t="s">
        <v>18</v>
      </c>
      <c r="D646" s="107">
        <v>0.65410000000000001</v>
      </c>
      <c r="E646" s="107">
        <v>3.6499999999999998E-2</v>
      </c>
      <c r="F646" s="107">
        <v>-8.9999999999999998E-4</v>
      </c>
      <c r="G646" s="107">
        <v>6.1999999999999998E-3</v>
      </c>
    </row>
    <row r="647" spans="1:7">
      <c r="A647" s="616"/>
      <c r="B647" s="82" t="s">
        <v>144</v>
      </c>
      <c r="C647" s="82" t="s">
        <v>749</v>
      </c>
      <c r="D647" s="107">
        <v>0.86899999999999999</v>
      </c>
      <c r="E647" s="107">
        <v>3.7199999999999997E-2</v>
      </c>
      <c r="F647" s="107">
        <v>3.0999999999999999E-3</v>
      </c>
      <c r="G647" s="107">
        <v>6.8999999999999999E-3</v>
      </c>
    </row>
    <row r="648" spans="1:7">
      <c r="A648" s="616"/>
      <c r="B648" s="82" t="s">
        <v>723</v>
      </c>
      <c r="C648" s="82" t="s">
        <v>14</v>
      </c>
      <c r="D648" s="107">
        <v>0.84370000000000001</v>
      </c>
      <c r="E648" s="107">
        <v>0.1789</v>
      </c>
      <c r="F648" s="107">
        <v>-7.1000000000000004E-3</v>
      </c>
      <c r="G648" s="107">
        <v>6.6E-3</v>
      </c>
    </row>
    <row r="649" spans="1:7">
      <c r="A649" s="616"/>
      <c r="B649" s="82" t="s">
        <v>723</v>
      </c>
      <c r="C649" s="82" t="s">
        <v>16</v>
      </c>
      <c r="D649" s="107">
        <v>0.94240000000000002</v>
      </c>
      <c r="E649" s="107">
        <v>0.18920000000000001</v>
      </c>
      <c r="F649" s="107">
        <v>-7.3000000000000001E-3</v>
      </c>
      <c r="G649" s="107">
        <v>6.8999999999999999E-3</v>
      </c>
    </row>
    <row r="650" spans="1:7">
      <c r="A650" s="616"/>
      <c r="B650" s="82" t="s">
        <v>723</v>
      </c>
      <c r="C650" s="82" t="s">
        <v>18</v>
      </c>
      <c r="D650" s="107">
        <v>0.85799999999999998</v>
      </c>
      <c r="E650" s="107">
        <v>0.16470000000000001</v>
      </c>
      <c r="F650" s="107">
        <v>-1.6000000000000001E-3</v>
      </c>
      <c r="G650" s="107">
        <v>7.0000000000000001E-3</v>
      </c>
    </row>
    <row r="651" spans="1:7">
      <c r="A651" s="616"/>
      <c r="B651" s="82" t="s">
        <v>723</v>
      </c>
      <c r="C651" s="82" t="s">
        <v>749</v>
      </c>
      <c r="D651" s="107">
        <v>0.83379999999999999</v>
      </c>
      <c r="E651" s="107">
        <v>0.10589999999999999</v>
      </c>
      <c r="F651" s="107">
        <v>0.46700000000000003</v>
      </c>
      <c r="G651" s="107">
        <v>7.6E-3</v>
      </c>
    </row>
    <row r="652" spans="1:7">
      <c r="A652" s="616"/>
      <c r="B652" s="82" t="s">
        <v>14</v>
      </c>
      <c r="C652" s="82" t="s">
        <v>16</v>
      </c>
      <c r="D652" s="107">
        <v>0.9486</v>
      </c>
      <c r="E652" s="107">
        <v>4.7600000000000003E-2</v>
      </c>
      <c r="F652" s="107">
        <v>1.4E-2</v>
      </c>
      <c r="G652" s="107">
        <v>5.0000000000000001E-3</v>
      </c>
    </row>
    <row r="653" spans="1:7">
      <c r="A653" s="616"/>
      <c r="B653" s="82" t="s">
        <v>14</v>
      </c>
      <c r="C653" s="82" t="s">
        <v>18</v>
      </c>
      <c r="D653" s="107">
        <v>0.97030000000000005</v>
      </c>
      <c r="E653" s="107">
        <v>4.5199999999999997E-2</v>
      </c>
      <c r="F653" s="107">
        <v>4.4999999999999997E-3</v>
      </c>
      <c r="G653" s="107">
        <v>5.8999999999999999E-3</v>
      </c>
    </row>
    <row r="654" spans="1:7">
      <c r="A654" s="616"/>
      <c r="B654" s="82" t="s">
        <v>16</v>
      </c>
      <c r="C654" s="82" t="s">
        <v>18</v>
      </c>
      <c r="D654" s="107">
        <v>1.0201</v>
      </c>
      <c r="E654" s="107">
        <v>4.7500000000000001E-2</v>
      </c>
      <c r="F654" s="107">
        <v>-3.0999999999999999E-3</v>
      </c>
      <c r="G654" s="107">
        <v>5.7000000000000002E-3</v>
      </c>
    </row>
    <row r="655" spans="1:7">
      <c r="A655" s="616"/>
      <c r="B655" s="82" t="s">
        <v>749</v>
      </c>
      <c r="C655" s="82" t="s">
        <v>14</v>
      </c>
      <c r="D655" s="107">
        <v>0.79549999999999998</v>
      </c>
      <c r="E655" s="107">
        <v>4.8899999999999999E-2</v>
      </c>
      <c r="F655" s="107">
        <v>-7.1000000000000004E-3</v>
      </c>
      <c r="G655" s="107">
        <v>6.6E-3</v>
      </c>
    </row>
    <row r="656" spans="1:7">
      <c r="A656" s="616"/>
      <c r="B656" s="82" t="s">
        <v>749</v>
      </c>
      <c r="C656" s="82" t="s">
        <v>16</v>
      </c>
      <c r="D656" s="107">
        <v>0.83420000000000005</v>
      </c>
      <c r="E656" s="107">
        <v>4.6199999999999998E-2</v>
      </c>
      <c r="F656" s="107">
        <v>-5.7000000000000002E-3</v>
      </c>
      <c r="G656" s="107">
        <v>6.1999999999999998E-3</v>
      </c>
    </row>
    <row r="657" spans="1:7">
      <c r="A657" s="613"/>
      <c r="B657" s="209" t="s">
        <v>749</v>
      </c>
      <c r="C657" s="209" t="s">
        <v>18</v>
      </c>
      <c r="D657" s="212">
        <v>0.80079999999999996</v>
      </c>
      <c r="E657" s="212">
        <v>4.8599999999999997E-2</v>
      </c>
      <c r="F657" s="212">
        <v>-1.2999999999999999E-3</v>
      </c>
      <c r="G657" s="212">
        <v>6.4999999999999997E-3</v>
      </c>
    </row>
    <row r="658" spans="1:7">
      <c r="A658" s="612" t="s">
        <v>391</v>
      </c>
      <c r="B658" s="204" t="s">
        <v>144</v>
      </c>
      <c r="C658" s="204" t="s">
        <v>727</v>
      </c>
      <c r="D658" s="207">
        <v>0.68710000000000004</v>
      </c>
      <c r="E658" s="207">
        <v>2.06E-2</v>
      </c>
      <c r="F658" s="207">
        <v>5.8999999999999999E-3</v>
      </c>
      <c r="G658" s="207">
        <v>7.7000000000000002E-3</v>
      </c>
    </row>
    <row r="659" spans="1:7">
      <c r="A659" s="616"/>
      <c r="B659" s="82" t="s">
        <v>144</v>
      </c>
      <c r="C659" s="82" t="s">
        <v>14</v>
      </c>
      <c r="D659" s="107">
        <v>0.74480000000000002</v>
      </c>
      <c r="E659" s="107">
        <v>3.4599999999999999E-2</v>
      </c>
      <c r="F659" s="107">
        <v>-4.1000000000000003E-3</v>
      </c>
      <c r="G659" s="107">
        <v>6.7000000000000002E-3</v>
      </c>
    </row>
    <row r="660" spans="1:7">
      <c r="A660" s="616"/>
      <c r="B660" s="82" t="s">
        <v>144</v>
      </c>
      <c r="C660" s="82" t="s">
        <v>16</v>
      </c>
      <c r="D660" s="107">
        <v>0.66969999999999996</v>
      </c>
      <c r="E660" s="107">
        <v>3.5999999999999997E-2</v>
      </c>
      <c r="F660" s="107">
        <v>1.8E-3</v>
      </c>
      <c r="G660" s="107">
        <v>6.3E-3</v>
      </c>
    </row>
    <row r="661" spans="1:7">
      <c r="A661" s="616"/>
      <c r="B661" s="82" t="s">
        <v>144</v>
      </c>
      <c r="C661" s="82" t="s">
        <v>18</v>
      </c>
      <c r="D661" s="107">
        <v>0.70269999999999999</v>
      </c>
      <c r="E661" s="107">
        <v>4.0300000000000002E-2</v>
      </c>
      <c r="F661" s="107">
        <v>1.34E-2</v>
      </c>
      <c r="G661" s="107">
        <v>7.1000000000000004E-3</v>
      </c>
    </row>
    <row r="662" spans="1:7">
      <c r="A662" s="616"/>
      <c r="B662" s="82" t="s">
        <v>727</v>
      </c>
      <c r="C662" s="82" t="s">
        <v>14</v>
      </c>
      <c r="D662" s="107">
        <v>1.0636000000000001</v>
      </c>
      <c r="E662" s="107">
        <v>3.5099999999999999E-2</v>
      </c>
      <c r="F662" s="107">
        <v>0.32450000000000001</v>
      </c>
      <c r="G662" s="107">
        <v>5.5999999999999999E-3</v>
      </c>
    </row>
    <row r="663" spans="1:7">
      <c r="A663" s="616"/>
      <c r="B663" s="82" t="s">
        <v>727</v>
      </c>
      <c r="C663" s="82" t="s">
        <v>16</v>
      </c>
      <c r="D663" s="107">
        <v>1.0076000000000001</v>
      </c>
      <c r="E663" s="107">
        <v>2.3300000000000001E-2</v>
      </c>
      <c r="F663" s="107">
        <v>0.58489999999999998</v>
      </c>
      <c r="G663" s="107">
        <v>6.7999999999999996E-3</v>
      </c>
    </row>
    <row r="664" spans="1:7">
      <c r="A664" s="616"/>
      <c r="B664" s="82" t="s">
        <v>727</v>
      </c>
      <c r="C664" s="82" t="s">
        <v>18</v>
      </c>
      <c r="D664" s="107">
        <v>1.0085999999999999</v>
      </c>
      <c r="E664" s="107">
        <v>2.3300000000000001E-2</v>
      </c>
      <c r="F664" s="107">
        <v>0.62039999999999995</v>
      </c>
      <c r="G664" s="107">
        <v>6.4000000000000003E-3</v>
      </c>
    </row>
    <row r="665" spans="1:7">
      <c r="A665" s="616"/>
      <c r="B665" s="82" t="s">
        <v>14</v>
      </c>
      <c r="C665" s="82" t="s">
        <v>16</v>
      </c>
      <c r="D665" s="107">
        <v>1.0414000000000001</v>
      </c>
      <c r="E665" s="107">
        <v>6.4899999999999999E-2</v>
      </c>
      <c r="F665" s="107">
        <v>2.5000000000000001E-3</v>
      </c>
      <c r="G665" s="107">
        <v>4.8999999999999998E-3</v>
      </c>
    </row>
    <row r="666" spans="1:7">
      <c r="A666" s="616"/>
      <c r="B666" s="82" t="s">
        <v>14</v>
      </c>
      <c r="C666" s="82" t="s">
        <v>18</v>
      </c>
      <c r="D666" s="107">
        <v>1.0972</v>
      </c>
      <c r="E666" s="107">
        <v>7.8100000000000003E-2</v>
      </c>
      <c r="F666" s="107">
        <v>3.8E-3</v>
      </c>
      <c r="G666" s="107">
        <v>4.4000000000000003E-3</v>
      </c>
    </row>
    <row r="667" spans="1:7">
      <c r="A667" s="613"/>
      <c r="B667" s="209" t="s">
        <v>16</v>
      </c>
      <c r="C667" s="209" t="s">
        <v>18</v>
      </c>
      <c r="D667" s="212">
        <v>1.0177</v>
      </c>
      <c r="E667" s="212">
        <v>7.3599999999999999E-2</v>
      </c>
      <c r="F667" s="212">
        <v>9.7999999999999997E-3</v>
      </c>
      <c r="G667" s="212">
        <v>5.1000000000000004E-3</v>
      </c>
    </row>
    <row r="668" spans="1:7">
      <c r="A668" s="616" t="s">
        <v>439</v>
      </c>
      <c r="B668" s="82" t="s">
        <v>737</v>
      </c>
      <c r="C668" s="82" t="s">
        <v>14</v>
      </c>
      <c r="D668" s="107">
        <v>0.70309999999999995</v>
      </c>
      <c r="E668" s="107">
        <v>0.15260000000000001</v>
      </c>
      <c r="F668" s="107">
        <v>1.54E-2</v>
      </c>
      <c r="G668" s="107">
        <v>7.6E-3</v>
      </c>
    </row>
    <row r="669" spans="1:7">
      <c r="A669" s="616"/>
      <c r="B669" s="82" t="s">
        <v>737</v>
      </c>
      <c r="C669" s="82" t="s">
        <v>16</v>
      </c>
      <c r="D669" s="107">
        <v>1.1556999999999999</v>
      </c>
      <c r="E669" s="107">
        <v>0.47210000000000002</v>
      </c>
      <c r="F669" s="107">
        <v>-1.9E-3</v>
      </c>
      <c r="G669" s="107">
        <v>7.4000000000000003E-3</v>
      </c>
    </row>
    <row r="670" spans="1:7">
      <c r="A670" s="616"/>
      <c r="B670" s="82" t="s">
        <v>737</v>
      </c>
      <c r="C670" s="82" t="s">
        <v>18</v>
      </c>
      <c r="D670" s="107">
        <v>1.1595</v>
      </c>
      <c r="E670" s="107">
        <v>0.52890000000000004</v>
      </c>
      <c r="F670" s="107">
        <v>2.5999999999999999E-3</v>
      </c>
      <c r="G670" s="107">
        <v>6.7000000000000002E-3</v>
      </c>
    </row>
    <row r="671" spans="1:7">
      <c r="A671" s="616"/>
      <c r="B671" s="82" t="s">
        <v>14</v>
      </c>
      <c r="C671" s="82" t="s">
        <v>16</v>
      </c>
      <c r="D671" s="107">
        <v>1.2096</v>
      </c>
      <c r="E671" s="107">
        <v>0.65990000000000004</v>
      </c>
      <c r="F671" s="107">
        <v>-1.3899999999999999E-2</v>
      </c>
      <c r="G671" s="107">
        <v>5.0000000000000001E-3</v>
      </c>
    </row>
    <row r="672" spans="1:7">
      <c r="A672" s="616"/>
      <c r="B672" s="82" t="s">
        <v>14</v>
      </c>
      <c r="C672" s="82" t="s">
        <v>18</v>
      </c>
      <c r="D672" s="107">
        <v>0.7883</v>
      </c>
      <c r="E672" s="107">
        <v>0.41070000000000001</v>
      </c>
      <c r="F672" s="107">
        <v>8.9999999999999998E-4</v>
      </c>
      <c r="G672" s="107">
        <v>4.4999999999999997E-3</v>
      </c>
    </row>
    <row r="673" spans="1:7">
      <c r="A673" s="616"/>
      <c r="B673" s="82" t="s">
        <v>16</v>
      </c>
      <c r="C673" s="82" t="s">
        <v>18</v>
      </c>
      <c r="D673" s="107">
        <v>0.90559999999999996</v>
      </c>
      <c r="E673" s="107">
        <v>0.71289999999999998</v>
      </c>
      <c r="F673" s="107">
        <v>4.4000000000000003E-3</v>
      </c>
      <c r="G673" s="107">
        <v>4.5999999999999999E-3</v>
      </c>
    </row>
    <row r="674" spans="1:7">
      <c r="A674" s="51" t="s">
        <v>566</v>
      </c>
      <c r="B674" s="62"/>
      <c r="C674" s="52"/>
      <c r="D674" s="101"/>
      <c r="E674" s="198"/>
      <c r="F674" s="198"/>
      <c r="G674" s="198"/>
    </row>
    <row r="675" spans="1:7">
      <c r="A675" s="612" t="s">
        <v>159</v>
      </c>
      <c r="B675" s="204" t="s">
        <v>144</v>
      </c>
      <c r="C675" s="204" t="s">
        <v>14</v>
      </c>
      <c r="D675" s="207">
        <v>0.4415</v>
      </c>
      <c r="E675" s="207">
        <v>0.13789999999999999</v>
      </c>
      <c r="F675" s="207">
        <v>1.3599999999999999E-2</v>
      </c>
      <c r="G675" s="207">
        <v>5.1999999999999998E-3</v>
      </c>
    </row>
    <row r="676" spans="1:7">
      <c r="A676" s="616"/>
      <c r="B676" s="82" t="s">
        <v>144</v>
      </c>
      <c r="C676" s="82" t="s">
        <v>16</v>
      </c>
      <c r="D676" s="107">
        <v>0.65939999999999999</v>
      </c>
      <c r="E676" s="107">
        <v>0.14729999999999999</v>
      </c>
      <c r="F676" s="107">
        <v>7.7999999999999996E-3</v>
      </c>
      <c r="G676" s="107">
        <v>4.8999999999999998E-3</v>
      </c>
    </row>
    <row r="677" spans="1:7">
      <c r="A677" s="616"/>
      <c r="B677" s="82" t="s">
        <v>144</v>
      </c>
      <c r="C677" s="82" t="s">
        <v>18</v>
      </c>
      <c r="D677" s="107">
        <v>0.70340000000000003</v>
      </c>
      <c r="E677" s="107">
        <v>0.152</v>
      </c>
      <c r="F677" s="107">
        <v>5.4999999999999997E-3</v>
      </c>
      <c r="G677" s="107">
        <v>4.7999999999999996E-3</v>
      </c>
    </row>
    <row r="678" spans="1:7">
      <c r="A678" s="616"/>
      <c r="B678" s="82" t="s">
        <v>144</v>
      </c>
      <c r="C678" s="82" t="s">
        <v>711</v>
      </c>
      <c r="D678" s="107">
        <v>0.16170000000000001</v>
      </c>
      <c r="E678" s="107">
        <v>0.16339999999999999</v>
      </c>
      <c r="F678" s="107">
        <v>5.7999999999999996E-3</v>
      </c>
      <c r="G678" s="107">
        <v>4.7000000000000002E-3</v>
      </c>
    </row>
    <row r="679" spans="1:7">
      <c r="A679" s="616"/>
      <c r="B679" s="82" t="s">
        <v>14</v>
      </c>
      <c r="C679" s="82" t="s">
        <v>16</v>
      </c>
      <c r="D679" s="107">
        <v>1.1056999999999999</v>
      </c>
      <c r="E679" s="107">
        <v>0.1123</v>
      </c>
      <c r="F679" s="107">
        <v>-5.8999999999999999E-3</v>
      </c>
      <c r="G679" s="107">
        <v>4.8999999999999998E-3</v>
      </c>
    </row>
    <row r="680" spans="1:7">
      <c r="A680" s="616"/>
      <c r="B680" s="82" t="s">
        <v>14</v>
      </c>
      <c r="C680" s="82" t="s">
        <v>18</v>
      </c>
      <c r="D680" s="107">
        <v>1.0609</v>
      </c>
      <c r="E680" s="107">
        <v>0.1447</v>
      </c>
      <c r="F680" s="107">
        <v>-4.3E-3</v>
      </c>
      <c r="G680" s="107">
        <v>5.0000000000000001E-3</v>
      </c>
    </row>
    <row r="681" spans="1:7">
      <c r="A681" s="616"/>
      <c r="B681" s="82" t="s">
        <v>16</v>
      </c>
      <c r="C681" s="82" t="s">
        <v>18</v>
      </c>
      <c r="D681" s="107">
        <v>1.0218</v>
      </c>
      <c r="E681" s="107">
        <v>0.13769999999999999</v>
      </c>
      <c r="F681" s="107">
        <v>6.4999999999999997E-3</v>
      </c>
      <c r="G681" s="107">
        <v>5.1000000000000004E-3</v>
      </c>
    </row>
    <row r="682" spans="1:7">
      <c r="A682" s="616"/>
      <c r="B682" s="82" t="s">
        <v>711</v>
      </c>
      <c r="C682" s="82" t="s">
        <v>14</v>
      </c>
      <c r="D682" s="107">
        <v>0.43859999999999999</v>
      </c>
      <c r="E682" s="107">
        <v>0.09</v>
      </c>
      <c r="F682" s="107">
        <v>8.0000000000000004E-4</v>
      </c>
      <c r="G682" s="107">
        <v>4.1999999999999997E-3</v>
      </c>
    </row>
    <row r="683" spans="1:7">
      <c r="A683" s="616"/>
      <c r="B683" s="82" t="s">
        <v>711</v>
      </c>
      <c r="C683" s="82" t="s">
        <v>16</v>
      </c>
      <c r="D683" s="107">
        <v>0.65769999999999995</v>
      </c>
      <c r="E683" s="107">
        <v>0.12280000000000001</v>
      </c>
      <c r="F683" s="107">
        <v>-7.1000000000000004E-3</v>
      </c>
      <c r="G683" s="107">
        <v>4.8999999999999998E-3</v>
      </c>
    </row>
    <row r="684" spans="1:7">
      <c r="A684" s="613"/>
      <c r="B684" s="209" t="s">
        <v>711</v>
      </c>
      <c r="C684" s="209" t="s">
        <v>18</v>
      </c>
      <c r="D684" s="212">
        <v>0.41930000000000001</v>
      </c>
      <c r="E684" s="212">
        <v>0.1244</v>
      </c>
      <c r="F684" s="212">
        <v>6.1999999999999998E-3</v>
      </c>
      <c r="G684" s="212">
        <v>4.4999999999999997E-3</v>
      </c>
    </row>
    <row r="685" spans="1:7">
      <c r="A685" s="612" t="s">
        <v>171</v>
      </c>
      <c r="B685" s="204" t="s">
        <v>144</v>
      </c>
      <c r="C685" s="204" t="s">
        <v>708</v>
      </c>
      <c r="D685" s="207">
        <v>0.76380000000000003</v>
      </c>
      <c r="E685" s="207">
        <v>6.4399999999999999E-2</v>
      </c>
      <c r="F685" s="207">
        <v>8.6E-3</v>
      </c>
      <c r="G685" s="207">
        <v>5.0000000000000001E-3</v>
      </c>
    </row>
    <row r="686" spans="1:7">
      <c r="A686" s="616"/>
      <c r="B686" s="82" t="s">
        <v>144</v>
      </c>
      <c r="C686" s="82" t="s">
        <v>741</v>
      </c>
      <c r="D686" s="107">
        <v>0.80030000000000001</v>
      </c>
      <c r="E686" s="107">
        <v>6.1699999999999998E-2</v>
      </c>
      <c r="F686" s="107">
        <v>6.3E-3</v>
      </c>
      <c r="G686" s="107">
        <v>5.0000000000000001E-3</v>
      </c>
    </row>
    <row r="687" spans="1:7">
      <c r="A687" s="616"/>
      <c r="B687" s="82" t="s">
        <v>144</v>
      </c>
      <c r="C687" s="82" t="s">
        <v>742</v>
      </c>
      <c r="D687" s="107">
        <v>0.84250000000000003</v>
      </c>
      <c r="E687" s="107">
        <v>8.5000000000000006E-2</v>
      </c>
      <c r="F687" s="107">
        <v>7.1000000000000004E-3</v>
      </c>
      <c r="G687" s="107">
        <v>4.1000000000000003E-3</v>
      </c>
    </row>
    <row r="688" spans="1:7">
      <c r="A688" s="616"/>
      <c r="B688" s="82" t="s">
        <v>144</v>
      </c>
      <c r="C688" s="82" t="s">
        <v>14</v>
      </c>
      <c r="D688" s="107">
        <v>0.86470000000000002</v>
      </c>
      <c r="E688" s="107">
        <v>0.18099999999999999</v>
      </c>
      <c r="F688" s="107">
        <v>1.6999999999999999E-3</v>
      </c>
      <c r="G688" s="107">
        <v>4.5999999999999999E-3</v>
      </c>
    </row>
    <row r="689" spans="1:7">
      <c r="A689" s="616"/>
      <c r="B689" s="82" t="s">
        <v>144</v>
      </c>
      <c r="C689" s="82" t="s">
        <v>16</v>
      </c>
      <c r="D689" s="107">
        <v>0.81610000000000005</v>
      </c>
      <c r="E689" s="107">
        <v>0.2039</v>
      </c>
      <c r="F689" s="107">
        <v>5.3E-3</v>
      </c>
      <c r="G689" s="107">
        <v>4.5999999999999999E-3</v>
      </c>
    </row>
    <row r="690" spans="1:7">
      <c r="A690" s="616"/>
      <c r="B690" s="82" t="s">
        <v>144</v>
      </c>
      <c r="C690" s="82" t="s">
        <v>18</v>
      </c>
      <c r="D690" s="107">
        <v>0.71579999999999999</v>
      </c>
      <c r="E690" s="107">
        <v>0.1351</v>
      </c>
      <c r="F690" s="107">
        <v>-1E-4</v>
      </c>
      <c r="G690" s="107">
        <v>4.4999999999999997E-3</v>
      </c>
    </row>
    <row r="691" spans="1:7">
      <c r="A691" s="616"/>
      <c r="B691" s="82" t="s">
        <v>708</v>
      </c>
      <c r="C691" s="82" t="s">
        <v>741</v>
      </c>
      <c r="D691" s="107">
        <v>1.0218</v>
      </c>
      <c r="E691" s="107">
        <v>8.6E-3</v>
      </c>
      <c r="F691" s="107">
        <v>0.83809999999999996</v>
      </c>
      <c r="G691" s="107">
        <v>7.6E-3</v>
      </c>
    </row>
    <row r="692" spans="1:7">
      <c r="A692" s="616"/>
      <c r="B692" s="82" t="s">
        <v>708</v>
      </c>
      <c r="C692" s="82" t="s">
        <v>742</v>
      </c>
      <c r="D692" s="107">
        <v>1.0848</v>
      </c>
      <c r="E692" s="107">
        <v>3.3399999999999999E-2</v>
      </c>
      <c r="F692" s="107">
        <v>0.54310000000000003</v>
      </c>
      <c r="G692" s="107">
        <v>6.4000000000000003E-3</v>
      </c>
    </row>
    <row r="693" spans="1:7">
      <c r="A693" s="616"/>
      <c r="B693" s="82" t="s">
        <v>708</v>
      </c>
      <c r="C693" s="82" t="s">
        <v>14</v>
      </c>
      <c r="D693" s="107">
        <v>1.1443000000000001</v>
      </c>
      <c r="E693" s="107">
        <v>0.1694</v>
      </c>
      <c r="F693" s="107">
        <v>0.23269999999999999</v>
      </c>
      <c r="G693" s="107">
        <v>5.5999999999999999E-3</v>
      </c>
    </row>
    <row r="694" spans="1:7">
      <c r="A694" s="616"/>
      <c r="B694" s="82" t="s">
        <v>708</v>
      </c>
      <c r="C694" s="82" t="s">
        <v>16</v>
      </c>
      <c r="D694" s="107">
        <v>0.84430000000000005</v>
      </c>
      <c r="E694" s="107">
        <v>0.1283</v>
      </c>
      <c r="F694" s="107">
        <v>0.2974</v>
      </c>
      <c r="G694" s="107">
        <v>5.3E-3</v>
      </c>
    </row>
    <row r="695" spans="1:7">
      <c r="A695" s="616"/>
      <c r="B695" s="82" t="s">
        <v>708</v>
      </c>
      <c r="C695" s="82" t="s">
        <v>18</v>
      </c>
      <c r="D695" s="107">
        <v>0.82399999999999995</v>
      </c>
      <c r="E695" s="107">
        <v>7.0099999999999996E-2</v>
      </c>
      <c r="F695" s="107">
        <v>0.29099999999999998</v>
      </c>
      <c r="G695" s="107">
        <v>5.4000000000000003E-3</v>
      </c>
    </row>
    <row r="696" spans="1:7">
      <c r="A696" s="616"/>
      <c r="B696" s="82" t="s">
        <v>741</v>
      </c>
      <c r="C696" s="82" t="s">
        <v>742</v>
      </c>
      <c r="D696" s="107">
        <v>1.0208999999999999</v>
      </c>
      <c r="E696" s="107">
        <v>2.29E-2</v>
      </c>
      <c r="F696" s="107">
        <v>0.72170000000000001</v>
      </c>
      <c r="G696" s="107">
        <v>6.8999999999999999E-3</v>
      </c>
    </row>
    <row r="697" spans="1:7">
      <c r="A697" s="616"/>
      <c r="B697" s="82" t="s">
        <v>741</v>
      </c>
      <c r="C697" s="82" t="s">
        <v>14</v>
      </c>
      <c r="D697" s="107">
        <v>1.2224999999999999</v>
      </c>
      <c r="E697" s="107">
        <v>0.18770000000000001</v>
      </c>
      <c r="F697" s="107">
        <v>0.2848</v>
      </c>
      <c r="G697" s="107">
        <v>5.8999999999999999E-3</v>
      </c>
    </row>
    <row r="698" spans="1:7">
      <c r="A698" s="616"/>
      <c r="B698" s="82" t="s">
        <v>741</v>
      </c>
      <c r="C698" s="82" t="s">
        <v>16</v>
      </c>
      <c r="D698" s="107">
        <v>0.92449999999999999</v>
      </c>
      <c r="E698" s="107">
        <v>0.14019999999999999</v>
      </c>
      <c r="F698" s="107">
        <v>0.29949999999999999</v>
      </c>
      <c r="G698" s="107">
        <v>5.4000000000000003E-3</v>
      </c>
    </row>
    <row r="699" spans="1:7">
      <c r="A699" s="616"/>
      <c r="B699" s="82" t="s">
        <v>741</v>
      </c>
      <c r="C699" s="82" t="s">
        <v>18</v>
      </c>
      <c r="D699" s="107">
        <v>0.91320000000000001</v>
      </c>
      <c r="E699" s="107">
        <v>7.6799999999999993E-2</v>
      </c>
      <c r="F699" s="107">
        <v>0.29120000000000001</v>
      </c>
      <c r="G699" s="107">
        <v>5.3E-3</v>
      </c>
    </row>
    <row r="700" spans="1:7">
      <c r="A700" s="616"/>
      <c r="B700" s="82" t="s">
        <v>742</v>
      </c>
      <c r="C700" s="82" t="s">
        <v>14</v>
      </c>
      <c r="D700" s="107">
        <v>1.3835</v>
      </c>
      <c r="E700" s="107">
        <v>0.2571</v>
      </c>
      <c r="F700" s="107">
        <v>-7.9000000000000008E-3</v>
      </c>
      <c r="G700" s="107">
        <v>5.4000000000000003E-3</v>
      </c>
    </row>
    <row r="701" spans="1:7">
      <c r="A701" s="616"/>
      <c r="B701" s="82" t="s">
        <v>742</v>
      </c>
      <c r="C701" s="82" t="s">
        <v>16</v>
      </c>
      <c r="D701" s="107">
        <v>0.85699999999999998</v>
      </c>
      <c r="E701" s="107">
        <v>0.20430000000000001</v>
      </c>
      <c r="F701" s="107">
        <v>7.3000000000000001E-3</v>
      </c>
      <c r="G701" s="107">
        <v>4.8999999999999998E-3</v>
      </c>
    </row>
    <row r="702" spans="1:7">
      <c r="A702" s="616"/>
      <c r="B702" s="82" t="s">
        <v>742</v>
      </c>
      <c r="C702" s="82" t="s">
        <v>18</v>
      </c>
      <c r="D702" s="107">
        <v>0.91600000000000004</v>
      </c>
      <c r="E702" s="107">
        <v>0.1273</v>
      </c>
      <c r="F702" s="107">
        <v>1.2999999999999999E-3</v>
      </c>
      <c r="G702" s="107">
        <v>4.8999999999999998E-3</v>
      </c>
    </row>
    <row r="703" spans="1:7">
      <c r="A703" s="616"/>
      <c r="B703" s="82" t="s">
        <v>14</v>
      </c>
      <c r="C703" s="82" t="s">
        <v>16</v>
      </c>
      <c r="D703" s="107">
        <v>1.2224999999999999</v>
      </c>
      <c r="E703" s="107">
        <v>0.33560000000000001</v>
      </c>
      <c r="F703" s="107">
        <v>5.1000000000000004E-3</v>
      </c>
      <c r="G703" s="107">
        <v>4.4000000000000003E-3</v>
      </c>
    </row>
    <row r="704" spans="1:7">
      <c r="A704" s="616"/>
      <c r="B704" s="82" t="s">
        <v>14</v>
      </c>
      <c r="C704" s="82" t="s">
        <v>18</v>
      </c>
      <c r="D704" s="107">
        <v>1.288</v>
      </c>
      <c r="E704" s="107">
        <v>0.28720000000000001</v>
      </c>
      <c r="F704" s="107">
        <v>-7.4000000000000003E-3</v>
      </c>
      <c r="G704" s="107">
        <v>4.5999999999999999E-3</v>
      </c>
    </row>
    <row r="705" spans="1:7">
      <c r="A705" s="616"/>
      <c r="B705" s="82" t="s">
        <v>16</v>
      </c>
      <c r="C705" s="82" t="s">
        <v>18</v>
      </c>
      <c r="D705" s="107">
        <v>0.56379999999999997</v>
      </c>
      <c r="E705" s="107">
        <v>0.19339999999999999</v>
      </c>
      <c r="F705" s="107">
        <v>8.6E-3</v>
      </c>
      <c r="G705" s="107">
        <v>4.7000000000000002E-3</v>
      </c>
    </row>
    <row r="706" spans="1:7">
      <c r="A706" s="612" t="s">
        <v>303</v>
      </c>
      <c r="B706" s="204" t="s">
        <v>144</v>
      </c>
      <c r="C706" s="204" t="s">
        <v>721</v>
      </c>
      <c r="D706" s="207">
        <v>0.91600000000000004</v>
      </c>
      <c r="E706" s="207">
        <v>0.22040000000000001</v>
      </c>
      <c r="F706" s="207">
        <v>-8.3000000000000001E-3</v>
      </c>
      <c r="G706" s="207">
        <v>5.1999999999999998E-3</v>
      </c>
    </row>
    <row r="707" spans="1:7">
      <c r="A707" s="616"/>
      <c r="B707" s="82" t="s">
        <v>144</v>
      </c>
      <c r="C707" s="82" t="s">
        <v>14</v>
      </c>
      <c r="D707" s="107">
        <v>0.42299999999999999</v>
      </c>
      <c r="E707" s="107">
        <v>0.14779999999999999</v>
      </c>
      <c r="F707" s="107">
        <v>1.0699999999999999E-2</v>
      </c>
      <c r="G707" s="107">
        <v>5.4000000000000003E-3</v>
      </c>
    </row>
    <row r="708" spans="1:7">
      <c r="A708" s="616"/>
      <c r="B708" s="82" t="s">
        <v>144</v>
      </c>
      <c r="C708" s="82" t="s">
        <v>16</v>
      </c>
      <c r="D708" s="107">
        <v>1.0478000000000001</v>
      </c>
      <c r="E708" s="107">
        <v>0.21060000000000001</v>
      </c>
      <c r="F708" s="107">
        <v>-2.7000000000000001E-3</v>
      </c>
      <c r="G708" s="107">
        <v>5.1000000000000004E-3</v>
      </c>
    </row>
    <row r="709" spans="1:7">
      <c r="A709" s="616"/>
      <c r="B709" s="82" t="s">
        <v>144</v>
      </c>
      <c r="C709" s="82" t="s">
        <v>18</v>
      </c>
      <c r="D709" s="107">
        <v>1.0286</v>
      </c>
      <c r="E709" s="107">
        <v>0.22900000000000001</v>
      </c>
      <c r="F709" s="107">
        <v>-1.6000000000000001E-3</v>
      </c>
      <c r="G709" s="107">
        <v>5.1999999999999998E-3</v>
      </c>
    </row>
    <row r="710" spans="1:7">
      <c r="A710" s="616"/>
      <c r="B710" s="82" t="s">
        <v>721</v>
      </c>
      <c r="C710" s="82" t="s">
        <v>14</v>
      </c>
      <c r="D710" s="107">
        <v>0.621</v>
      </c>
      <c r="E710" s="107">
        <v>0.12479999999999999</v>
      </c>
      <c r="F710" s="107">
        <v>-1.1999999999999999E-3</v>
      </c>
      <c r="G710" s="107">
        <v>5.3E-3</v>
      </c>
    </row>
    <row r="711" spans="1:7">
      <c r="A711" s="616"/>
      <c r="B711" s="82" t="s">
        <v>721</v>
      </c>
      <c r="C711" s="82" t="s">
        <v>16</v>
      </c>
      <c r="D711" s="107">
        <v>0.86260000000000003</v>
      </c>
      <c r="E711" s="107">
        <v>0.1384</v>
      </c>
      <c r="F711" s="107">
        <v>-2.2000000000000001E-3</v>
      </c>
      <c r="G711" s="107">
        <v>4.8999999999999998E-3</v>
      </c>
    </row>
    <row r="712" spans="1:7">
      <c r="A712" s="616"/>
      <c r="B712" s="82" t="s">
        <v>721</v>
      </c>
      <c r="C712" s="82" t="s">
        <v>18</v>
      </c>
      <c r="D712" s="107">
        <v>0.62990000000000002</v>
      </c>
      <c r="E712" s="107">
        <v>0.1431</v>
      </c>
      <c r="F712" s="107">
        <v>7.6E-3</v>
      </c>
      <c r="G712" s="107">
        <v>5.7000000000000002E-3</v>
      </c>
    </row>
    <row r="713" spans="1:7">
      <c r="A713" s="616"/>
      <c r="B713" s="82" t="s">
        <v>14</v>
      </c>
      <c r="C713" s="82" t="s">
        <v>16</v>
      </c>
      <c r="D713" s="107">
        <v>1.0458000000000001</v>
      </c>
      <c r="E713" s="107">
        <v>0.12690000000000001</v>
      </c>
      <c r="F713" s="107">
        <v>8.9999999999999998E-4</v>
      </c>
      <c r="G713" s="107">
        <v>5.0000000000000001E-3</v>
      </c>
    </row>
    <row r="714" spans="1:7">
      <c r="A714" s="616"/>
      <c r="B714" s="82" t="s">
        <v>14</v>
      </c>
      <c r="C714" s="82" t="s">
        <v>18</v>
      </c>
      <c r="D714" s="107">
        <v>1.0267999999999999</v>
      </c>
      <c r="E714" s="107">
        <v>0.1288</v>
      </c>
      <c r="F714" s="107">
        <v>1.0500000000000001E-2</v>
      </c>
      <c r="G714" s="107">
        <v>5.4999999999999997E-3</v>
      </c>
    </row>
    <row r="715" spans="1:7">
      <c r="A715" s="613"/>
      <c r="B715" s="209" t="s">
        <v>16</v>
      </c>
      <c r="C715" s="209" t="s">
        <v>18</v>
      </c>
      <c r="D715" s="212">
        <v>1.2115</v>
      </c>
      <c r="E715" s="212">
        <v>0.16389999999999999</v>
      </c>
      <c r="F715" s="212">
        <v>3.0999999999999999E-3</v>
      </c>
      <c r="G715" s="212">
        <v>4.8999999999999998E-3</v>
      </c>
    </row>
    <row r="716" spans="1:7">
      <c r="A716" s="612" t="s">
        <v>589</v>
      </c>
      <c r="B716" s="204" t="s">
        <v>144</v>
      </c>
      <c r="C716" s="204" t="s">
        <v>708</v>
      </c>
      <c r="D716" s="207">
        <v>0.90149999999999997</v>
      </c>
      <c r="E716" s="207">
        <v>3.9399999999999998E-2</v>
      </c>
      <c r="F716" s="207">
        <v>4.4999999999999997E-3</v>
      </c>
      <c r="G716" s="207">
        <v>1.0200000000000001E-2</v>
      </c>
    </row>
    <row r="717" spans="1:7">
      <c r="A717" s="616"/>
      <c r="B717" s="82" t="s">
        <v>144</v>
      </c>
      <c r="C717" s="82" t="s">
        <v>741</v>
      </c>
      <c r="D717" s="107">
        <v>0.89159999999999995</v>
      </c>
      <c r="E717" s="107">
        <v>4.0500000000000001E-2</v>
      </c>
      <c r="F717" s="107">
        <v>7.1000000000000004E-3</v>
      </c>
      <c r="G717" s="107">
        <v>1.26E-2</v>
      </c>
    </row>
    <row r="718" spans="1:7">
      <c r="A718" s="616"/>
      <c r="B718" s="82" t="s">
        <v>144</v>
      </c>
      <c r="C718" s="82" t="s">
        <v>742</v>
      </c>
      <c r="D718" s="107">
        <v>0.96909999999999996</v>
      </c>
      <c r="E718" s="107">
        <v>4.4200000000000003E-2</v>
      </c>
      <c r="F718" s="107">
        <v>-6.9999999999999999E-4</v>
      </c>
      <c r="G718" s="107">
        <v>9.4999999999999998E-3</v>
      </c>
    </row>
    <row r="719" spans="1:7">
      <c r="A719" s="616"/>
      <c r="B719" s="82" t="s">
        <v>144</v>
      </c>
      <c r="C719" s="82" t="s">
        <v>14</v>
      </c>
      <c r="D719" s="107">
        <v>0.83919999999999995</v>
      </c>
      <c r="E719" s="107">
        <v>9.6000000000000002E-2</v>
      </c>
      <c r="F719" s="107">
        <v>9.1999999999999998E-3</v>
      </c>
      <c r="G719" s="107">
        <v>6.4999999999999997E-3</v>
      </c>
    </row>
    <row r="720" spans="1:7">
      <c r="A720" s="616"/>
      <c r="B720" s="82" t="s">
        <v>144</v>
      </c>
      <c r="C720" s="82" t="s">
        <v>16</v>
      </c>
      <c r="D720" s="107">
        <v>0.80110000000000003</v>
      </c>
      <c r="E720" s="107">
        <v>7.2800000000000004E-2</v>
      </c>
      <c r="F720" s="107">
        <v>4.7000000000000002E-3</v>
      </c>
      <c r="G720" s="107">
        <v>6.1999999999999998E-3</v>
      </c>
    </row>
    <row r="721" spans="1:7">
      <c r="A721" s="616"/>
      <c r="B721" s="82" t="s">
        <v>144</v>
      </c>
      <c r="C721" s="82" t="s">
        <v>18</v>
      </c>
      <c r="D721" s="107">
        <v>0.83840000000000003</v>
      </c>
      <c r="E721" s="107">
        <v>7.2099999999999997E-2</v>
      </c>
      <c r="F721" s="107">
        <v>-5.9999999999999995E-4</v>
      </c>
      <c r="G721" s="107">
        <v>5.7999999999999996E-3</v>
      </c>
    </row>
    <row r="722" spans="1:7">
      <c r="A722" s="616"/>
      <c r="B722" s="82" t="s">
        <v>708</v>
      </c>
      <c r="C722" s="82" t="s">
        <v>741</v>
      </c>
      <c r="D722" s="107">
        <v>1.0165</v>
      </c>
      <c r="E722" s="107">
        <v>0.01</v>
      </c>
      <c r="F722" s="107">
        <v>0.82</v>
      </c>
      <c r="G722" s="107">
        <v>1.8599999999999998E-2</v>
      </c>
    </row>
    <row r="723" spans="1:7">
      <c r="A723" s="616"/>
      <c r="B723" s="82" t="s">
        <v>708</v>
      </c>
      <c r="C723" s="82" t="s">
        <v>742</v>
      </c>
      <c r="D723" s="107">
        <v>1.044</v>
      </c>
      <c r="E723" s="107">
        <v>1.35E-2</v>
      </c>
      <c r="F723" s="107">
        <v>0.57650000000000001</v>
      </c>
      <c r="G723" s="107">
        <v>1.38E-2</v>
      </c>
    </row>
    <row r="724" spans="1:7">
      <c r="A724" s="616"/>
      <c r="B724" s="82" t="s">
        <v>708</v>
      </c>
      <c r="C724" s="82" t="s">
        <v>14</v>
      </c>
      <c r="D724" s="107">
        <v>1.0236000000000001</v>
      </c>
      <c r="E724" s="107">
        <v>6.3899999999999998E-2</v>
      </c>
      <c r="F724" s="107">
        <v>0.29380000000000001</v>
      </c>
      <c r="G724" s="107">
        <v>8.3000000000000001E-3</v>
      </c>
    </row>
    <row r="725" spans="1:7">
      <c r="A725" s="616"/>
      <c r="B725" s="82" t="s">
        <v>708</v>
      </c>
      <c r="C725" s="82" t="s">
        <v>16</v>
      </c>
      <c r="D725" s="107">
        <v>0.94899999999999995</v>
      </c>
      <c r="E725" s="107">
        <v>4.36E-2</v>
      </c>
      <c r="F725" s="107">
        <v>0.3553</v>
      </c>
      <c r="G725" s="107">
        <v>8.9999999999999993E-3</v>
      </c>
    </row>
    <row r="726" spans="1:7">
      <c r="A726" s="616"/>
      <c r="B726" s="82" t="s">
        <v>708</v>
      </c>
      <c r="C726" s="82" t="s">
        <v>18</v>
      </c>
      <c r="D726" s="107">
        <v>0.91869999999999996</v>
      </c>
      <c r="E726" s="107">
        <v>4.6199999999999998E-2</v>
      </c>
      <c r="F726" s="107">
        <v>0.3589</v>
      </c>
      <c r="G726" s="107">
        <v>8.8000000000000005E-3</v>
      </c>
    </row>
    <row r="727" spans="1:7">
      <c r="A727" s="616"/>
      <c r="B727" s="82" t="s">
        <v>741</v>
      </c>
      <c r="C727" s="82" t="s">
        <v>742</v>
      </c>
      <c r="D727" s="107">
        <v>1.0044999999999999</v>
      </c>
      <c r="E727" s="107">
        <v>1.29E-2</v>
      </c>
      <c r="F727" s="107">
        <v>0.75329999999999997</v>
      </c>
      <c r="G727" s="107">
        <v>1.6799999999999999E-2</v>
      </c>
    </row>
    <row r="728" spans="1:7">
      <c r="A728" s="616"/>
      <c r="B728" s="82" t="s">
        <v>741</v>
      </c>
      <c r="C728" s="82" t="s">
        <v>14</v>
      </c>
      <c r="D728" s="107">
        <v>1.0408999999999999</v>
      </c>
      <c r="E728" s="107">
        <v>5.6300000000000003E-2</v>
      </c>
      <c r="F728" s="107">
        <v>0.37290000000000001</v>
      </c>
      <c r="G728" s="107">
        <v>9.4000000000000004E-3</v>
      </c>
    </row>
    <row r="729" spans="1:7">
      <c r="A729" s="616"/>
      <c r="B729" s="82" t="s">
        <v>741</v>
      </c>
      <c r="C729" s="82" t="s">
        <v>16</v>
      </c>
      <c r="D729" s="107">
        <v>0.96</v>
      </c>
      <c r="E729" s="107">
        <v>4.3099999999999999E-2</v>
      </c>
      <c r="F729" s="107">
        <v>0.3715</v>
      </c>
      <c r="G729" s="107">
        <v>1.0500000000000001E-2</v>
      </c>
    </row>
    <row r="730" spans="1:7">
      <c r="A730" s="616"/>
      <c r="B730" s="82" t="s">
        <v>741</v>
      </c>
      <c r="C730" s="82" t="s">
        <v>18</v>
      </c>
      <c r="D730" s="107">
        <v>0.97089999999999999</v>
      </c>
      <c r="E730" s="107">
        <v>4.4499999999999998E-2</v>
      </c>
      <c r="F730" s="107">
        <v>0.37330000000000002</v>
      </c>
      <c r="G730" s="107">
        <v>9.7999999999999997E-3</v>
      </c>
    </row>
    <row r="731" spans="1:7">
      <c r="A731" s="616"/>
      <c r="B731" s="82" t="s">
        <v>742</v>
      </c>
      <c r="C731" s="82" t="s">
        <v>14</v>
      </c>
      <c r="D731" s="107">
        <v>1.0306999999999999</v>
      </c>
      <c r="E731" s="107">
        <v>8.2500000000000004E-2</v>
      </c>
      <c r="F731" s="107">
        <v>3.3999999999999998E-3</v>
      </c>
      <c r="G731" s="107">
        <v>6.8999999999999999E-3</v>
      </c>
    </row>
    <row r="732" spans="1:7">
      <c r="A732" s="616"/>
      <c r="B732" s="82" t="s">
        <v>742</v>
      </c>
      <c r="C732" s="82" t="s">
        <v>16</v>
      </c>
      <c r="D732" s="107">
        <v>0.93830000000000002</v>
      </c>
      <c r="E732" s="107">
        <v>6.5100000000000005E-2</v>
      </c>
      <c r="F732" s="107">
        <v>-2.5000000000000001E-3</v>
      </c>
      <c r="G732" s="107">
        <v>7.7999999999999996E-3</v>
      </c>
    </row>
    <row r="733" spans="1:7">
      <c r="A733" s="616"/>
      <c r="B733" s="82" t="s">
        <v>742</v>
      </c>
      <c r="C733" s="82" t="s">
        <v>18</v>
      </c>
      <c r="D733" s="107">
        <v>0.95309999999999995</v>
      </c>
      <c r="E733" s="107">
        <v>6.6699999999999995E-2</v>
      </c>
      <c r="F733" s="107">
        <v>-2.5999999999999999E-3</v>
      </c>
      <c r="G733" s="107">
        <v>7.9000000000000008E-3</v>
      </c>
    </row>
    <row r="734" spans="1:7">
      <c r="A734" s="616"/>
      <c r="B734" s="82" t="s">
        <v>14</v>
      </c>
      <c r="C734" s="82" t="s">
        <v>16</v>
      </c>
      <c r="D734" s="107">
        <v>1.1383000000000001</v>
      </c>
      <c r="E734" s="107">
        <v>0.12429999999999999</v>
      </c>
      <c r="F734" s="107">
        <v>-5.9999999999999995E-4</v>
      </c>
      <c r="G734" s="107">
        <v>5.7000000000000002E-3</v>
      </c>
    </row>
    <row r="735" spans="1:7">
      <c r="A735" s="616"/>
      <c r="B735" s="82" t="s">
        <v>14</v>
      </c>
      <c r="C735" s="82" t="s">
        <v>18</v>
      </c>
      <c r="D735" s="107">
        <v>1.0325</v>
      </c>
      <c r="E735" s="107">
        <v>0.1157</v>
      </c>
      <c r="F735" s="107">
        <v>9.9000000000000008E-3</v>
      </c>
      <c r="G735" s="107">
        <v>5.1000000000000004E-3</v>
      </c>
    </row>
    <row r="736" spans="1:7">
      <c r="A736" s="616"/>
      <c r="B736" s="82" t="s">
        <v>16</v>
      </c>
      <c r="C736" s="82" t="s">
        <v>18</v>
      </c>
      <c r="D736" s="107">
        <v>0.89159999999999995</v>
      </c>
      <c r="E736" s="107">
        <v>9.1399999999999995E-2</v>
      </c>
      <c r="F736" s="107">
        <v>4.1000000000000003E-3</v>
      </c>
      <c r="G736" s="107">
        <v>5.7000000000000002E-3</v>
      </c>
    </row>
    <row r="737" spans="1:7">
      <c r="A737" s="612" t="s">
        <v>364</v>
      </c>
      <c r="B737" s="204" t="s">
        <v>144</v>
      </c>
      <c r="C737" s="204" t="s">
        <v>708</v>
      </c>
      <c r="D737" s="207">
        <v>0.80640000000000001</v>
      </c>
      <c r="E737" s="207">
        <v>2.5000000000000001E-2</v>
      </c>
      <c r="F737" s="207">
        <v>5.3E-3</v>
      </c>
      <c r="G737" s="207">
        <v>6.3E-3</v>
      </c>
    </row>
    <row r="738" spans="1:7">
      <c r="A738" s="616"/>
      <c r="B738" s="82" t="s">
        <v>144</v>
      </c>
      <c r="C738" s="82" t="s">
        <v>741</v>
      </c>
      <c r="D738" s="107">
        <v>0.79949999999999999</v>
      </c>
      <c r="E738" s="107">
        <v>2.4500000000000001E-2</v>
      </c>
      <c r="F738" s="107">
        <v>1.0800000000000001E-2</v>
      </c>
      <c r="G738" s="107">
        <v>7.1999999999999998E-3</v>
      </c>
    </row>
    <row r="739" spans="1:7">
      <c r="A739" s="616"/>
      <c r="B739" s="82" t="s">
        <v>144</v>
      </c>
      <c r="C739" s="82" t="s">
        <v>742</v>
      </c>
      <c r="D739" s="107">
        <v>0.77180000000000004</v>
      </c>
      <c r="E739" s="107">
        <v>3.5200000000000002E-2</v>
      </c>
      <c r="F739" s="107">
        <v>8.2000000000000007E-3</v>
      </c>
      <c r="G739" s="107">
        <v>6.0000000000000001E-3</v>
      </c>
    </row>
    <row r="740" spans="1:7">
      <c r="A740" s="616"/>
      <c r="B740" s="82" t="s">
        <v>144</v>
      </c>
      <c r="C740" s="82" t="s">
        <v>14</v>
      </c>
      <c r="D740" s="107">
        <v>0.78400000000000003</v>
      </c>
      <c r="E740" s="107">
        <v>4.4200000000000003E-2</v>
      </c>
      <c r="F740" s="107">
        <v>5.0000000000000001E-3</v>
      </c>
      <c r="G740" s="107">
        <v>5.7999999999999996E-3</v>
      </c>
    </row>
    <row r="741" spans="1:7">
      <c r="A741" s="616"/>
      <c r="B741" s="82" t="s">
        <v>144</v>
      </c>
      <c r="C741" s="82" t="s">
        <v>16</v>
      </c>
      <c r="D741" s="107">
        <v>0.71799999999999997</v>
      </c>
      <c r="E741" s="107">
        <v>4.5400000000000003E-2</v>
      </c>
      <c r="F741" s="107">
        <v>6.1000000000000004E-3</v>
      </c>
      <c r="G741" s="107">
        <v>5.8999999999999999E-3</v>
      </c>
    </row>
    <row r="742" spans="1:7">
      <c r="A742" s="616"/>
      <c r="B742" s="82" t="s">
        <v>144</v>
      </c>
      <c r="C742" s="82" t="s">
        <v>18</v>
      </c>
      <c r="D742" s="107">
        <v>0.69450000000000001</v>
      </c>
      <c r="E742" s="107">
        <v>4.02E-2</v>
      </c>
      <c r="F742" s="107">
        <v>9.1000000000000004E-3</v>
      </c>
      <c r="G742" s="107">
        <v>5.3E-3</v>
      </c>
    </row>
    <row r="743" spans="1:7">
      <c r="A743" s="616"/>
      <c r="B743" s="82" t="s">
        <v>708</v>
      </c>
      <c r="C743" s="82" t="s">
        <v>741</v>
      </c>
      <c r="D743" s="107">
        <v>1.0024</v>
      </c>
      <c r="E743" s="107">
        <v>4.5999999999999999E-3</v>
      </c>
      <c r="F743" s="107">
        <v>0.89280000000000004</v>
      </c>
      <c r="G743" s="107">
        <v>1.0200000000000001E-2</v>
      </c>
    </row>
    <row r="744" spans="1:7">
      <c r="A744" s="616"/>
      <c r="B744" s="82" t="s">
        <v>708</v>
      </c>
      <c r="C744" s="82" t="s">
        <v>742</v>
      </c>
      <c r="D744" s="107">
        <v>0.96909999999999996</v>
      </c>
      <c r="E744" s="107">
        <v>1.5299999999999999E-2</v>
      </c>
      <c r="F744" s="107">
        <v>0.55740000000000001</v>
      </c>
      <c r="G744" s="107">
        <v>7.3000000000000001E-3</v>
      </c>
    </row>
    <row r="745" spans="1:7">
      <c r="A745" s="616"/>
      <c r="B745" s="82" t="s">
        <v>708</v>
      </c>
      <c r="C745" s="82" t="s">
        <v>14</v>
      </c>
      <c r="D745" s="107">
        <v>0.93869999999999998</v>
      </c>
      <c r="E745" s="107">
        <v>2.8899999999999999E-2</v>
      </c>
      <c r="F745" s="107">
        <v>0.28639999999999999</v>
      </c>
      <c r="G745" s="107">
        <v>6.3E-3</v>
      </c>
    </row>
    <row r="746" spans="1:7">
      <c r="A746" s="616"/>
      <c r="B746" s="82" t="s">
        <v>708</v>
      </c>
      <c r="C746" s="82" t="s">
        <v>16</v>
      </c>
      <c r="D746" s="107">
        <v>0.95809999999999995</v>
      </c>
      <c r="E746" s="107">
        <v>2.7300000000000001E-2</v>
      </c>
      <c r="F746" s="107">
        <v>0.33389999999999997</v>
      </c>
      <c r="G746" s="107">
        <v>6.4000000000000003E-3</v>
      </c>
    </row>
    <row r="747" spans="1:7">
      <c r="A747" s="616"/>
      <c r="B747" s="82" t="s">
        <v>708</v>
      </c>
      <c r="C747" s="82" t="s">
        <v>18</v>
      </c>
      <c r="D747" s="107">
        <v>0.91659999999999997</v>
      </c>
      <c r="E747" s="107">
        <v>2.3099999999999999E-2</v>
      </c>
      <c r="F747" s="107">
        <v>0.33400000000000002</v>
      </c>
      <c r="G747" s="107">
        <v>6.3E-3</v>
      </c>
    </row>
    <row r="748" spans="1:7">
      <c r="A748" s="616"/>
      <c r="B748" s="82" t="s">
        <v>741</v>
      </c>
      <c r="C748" s="82" t="s">
        <v>742</v>
      </c>
      <c r="D748" s="107">
        <v>0.97629999999999995</v>
      </c>
      <c r="E748" s="107">
        <v>1.37E-2</v>
      </c>
      <c r="F748" s="107">
        <v>0.68010000000000004</v>
      </c>
      <c r="G748" s="107">
        <v>8.8000000000000005E-3</v>
      </c>
    </row>
    <row r="749" spans="1:7">
      <c r="A749" s="616"/>
      <c r="B749" s="82" t="s">
        <v>741</v>
      </c>
      <c r="C749" s="82" t="s">
        <v>14</v>
      </c>
      <c r="D749" s="107">
        <v>0.92589999999999995</v>
      </c>
      <c r="E749" s="107">
        <v>2.7300000000000001E-2</v>
      </c>
      <c r="F749" s="107">
        <v>0.38100000000000001</v>
      </c>
      <c r="G749" s="107">
        <v>7.1999999999999998E-3</v>
      </c>
    </row>
    <row r="750" spans="1:7">
      <c r="A750" s="616"/>
      <c r="B750" s="82" t="s">
        <v>741</v>
      </c>
      <c r="C750" s="82" t="s">
        <v>16</v>
      </c>
      <c r="D750" s="107">
        <v>0.95420000000000005</v>
      </c>
      <c r="E750" s="107">
        <v>2.7699999999999999E-2</v>
      </c>
      <c r="F750" s="107">
        <v>0.37709999999999999</v>
      </c>
      <c r="G750" s="107">
        <v>7.1000000000000004E-3</v>
      </c>
    </row>
    <row r="751" spans="1:7">
      <c r="A751" s="616"/>
      <c r="B751" s="82" t="s">
        <v>741</v>
      </c>
      <c r="C751" s="82" t="s">
        <v>18</v>
      </c>
      <c r="D751" s="107">
        <v>0.93110000000000004</v>
      </c>
      <c r="E751" s="107">
        <v>2.3699999999999999E-2</v>
      </c>
      <c r="F751" s="107">
        <v>0.36730000000000002</v>
      </c>
      <c r="G751" s="107">
        <v>6.8999999999999999E-3</v>
      </c>
    </row>
    <row r="752" spans="1:7">
      <c r="A752" s="616"/>
      <c r="B752" s="82" t="s">
        <v>742</v>
      </c>
      <c r="C752" s="82" t="s">
        <v>14</v>
      </c>
      <c r="D752" s="107">
        <v>0.85260000000000002</v>
      </c>
      <c r="E752" s="107">
        <v>4.7699999999999999E-2</v>
      </c>
      <c r="F752" s="107">
        <v>9.1000000000000004E-3</v>
      </c>
      <c r="G752" s="107">
        <v>5.8999999999999999E-3</v>
      </c>
    </row>
    <row r="753" spans="1:7">
      <c r="A753" s="616"/>
      <c r="B753" s="82" t="s">
        <v>742</v>
      </c>
      <c r="C753" s="82" t="s">
        <v>16</v>
      </c>
      <c r="D753" s="107">
        <v>0.84399999999999997</v>
      </c>
      <c r="E753" s="107">
        <v>5.1200000000000002E-2</v>
      </c>
      <c r="F753" s="107">
        <v>8.6999999999999994E-3</v>
      </c>
      <c r="G753" s="107">
        <v>5.7000000000000002E-3</v>
      </c>
    </row>
    <row r="754" spans="1:7">
      <c r="A754" s="616"/>
      <c r="B754" s="82" t="s">
        <v>742</v>
      </c>
      <c r="C754" s="82" t="s">
        <v>18</v>
      </c>
      <c r="D754" s="107">
        <v>0.88029999999999997</v>
      </c>
      <c r="E754" s="107">
        <v>4.1300000000000003E-2</v>
      </c>
      <c r="F754" s="107">
        <v>-1.6999999999999999E-3</v>
      </c>
      <c r="G754" s="107">
        <v>5.7000000000000002E-3</v>
      </c>
    </row>
    <row r="755" spans="1:7">
      <c r="A755" s="616"/>
      <c r="B755" s="82" t="s">
        <v>14</v>
      </c>
      <c r="C755" s="82" t="s">
        <v>16</v>
      </c>
      <c r="D755" s="107">
        <v>0.99780000000000002</v>
      </c>
      <c r="E755" s="107">
        <v>6.2799999999999995E-2</v>
      </c>
      <c r="F755" s="107">
        <v>3.5999999999999999E-3</v>
      </c>
      <c r="G755" s="107">
        <v>5.4999999999999997E-3</v>
      </c>
    </row>
    <row r="756" spans="1:7">
      <c r="A756" s="616"/>
      <c r="B756" s="82" t="s">
        <v>14</v>
      </c>
      <c r="C756" s="82" t="s">
        <v>18</v>
      </c>
      <c r="D756" s="107">
        <v>0.94340000000000002</v>
      </c>
      <c r="E756" s="107">
        <v>5.6300000000000003E-2</v>
      </c>
      <c r="F756" s="107">
        <v>4.1999999999999997E-3</v>
      </c>
      <c r="G756" s="107">
        <v>5.1000000000000004E-3</v>
      </c>
    </row>
    <row r="757" spans="1:7">
      <c r="A757" s="613"/>
      <c r="B757" s="209" t="s">
        <v>16</v>
      </c>
      <c r="C757" s="209" t="s">
        <v>18</v>
      </c>
      <c r="D757" s="212">
        <v>0.87939999999999996</v>
      </c>
      <c r="E757" s="212">
        <v>5.3699999999999998E-2</v>
      </c>
      <c r="F757" s="212">
        <v>2.3E-3</v>
      </c>
      <c r="G757" s="212">
        <v>5.1999999999999998E-3</v>
      </c>
    </row>
    <row r="758" spans="1:7">
      <c r="A758" s="612" t="s">
        <v>372</v>
      </c>
      <c r="B758" s="204" t="s">
        <v>144</v>
      </c>
      <c r="C758" s="204" t="s">
        <v>708</v>
      </c>
      <c r="D758" s="207">
        <v>0.94230000000000003</v>
      </c>
      <c r="E758" s="207">
        <v>1.0500000000000001E-2</v>
      </c>
      <c r="F758" s="207">
        <v>8.2000000000000007E-3</v>
      </c>
      <c r="G758" s="207">
        <v>8.6999999999999994E-3</v>
      </c>
    </row>
    <row r="759" spans="1:7">
      <c r="A759" s="616"/>
      <c r="B759" s="82" t="s">
        <v>144</v>
      </c>
      <c r="C759" s="82" t="s">
        <v>741</v>
      </c>
      <c r="D759" s="107">
        <v>0.92949999999999999</v>
      </c>
      <c r="E759" s="107">
        <v>1.0200000000000001E-2</v>
      </c>
      <c r="F759" s="107">
        <v>7.3000000000000001E-3</v>
      </c>
      <c r="G759" s="107">
        <v>1.01E-2</v>
      </c>
    </row>
    <row r="760" spans="1:7">
      <c r="A760" s="616"/>
      <c r="B760" s="82" t="s">
        <v>144</v>
      </c>
      <c r="C760" s="82" t="s">
        <v>742</v>
      </c>
      <c r="D760" s="107">
        <v>0.86660000000000004</v>
      </c>
      <c r="E760" s="107">
        <v>1.52E-2</v>
      </c>
      <c r="F760" s="107">
        <v>8.6E-3</v>
      </c>
      <c r="G760" s="107">
        <v>8.0999999999999996E-3</v>
      </c>
    </row>
    <row r="761" spans="1:7">
      <c r="A761" s="616"/>
      <c r="B761" s="82" t="s">
        <v>144</v>
      </c>
      <c r="C761" s="82" t="s">
        <v>14</v>
      </c>
      <c r="D761" s="107">
        <v>0.96479999999999999</v>
      </c>
      <c r="E761" s="107">
        <v>1.9900000000000001E-2</v>
      </c>
      <c r="F761" s="107">
        <v>-9.4999999999999998E-3</v>
      </c>
      <c r="G761" s="107">
        <v>7.4999999999999997E-3</v>
      </c>
    </row>
    <row r="762" spans="1:7">
      <c r="A762" s="616"/>
      <c r="B762" s="82" t="s">
        <v>144</v>
      </c>
      <c r="C762" s="82" t="s">
        <v>16</v>
      </c>
      <c r="D762" s="107">
        <v>0.95279999999999998</v>
      </c>
      <c r="E762" s="107">
        <v>2.3E-2</v>
      </c>
      <c r="F762" s="107">
        <v>2.7000000000000001E-3</v>
      </c>
      <c r="G762" s="107">
        <v>7.9000000000000008E-3</v>
      </c>
    </row>
    <row r="763" spans="1:7">
      <c r="A763" s="616"/>
      <c r="B763" s="82" t="s">
        <v>144</v>
      </c>
      <c r="C763" s="82" t="s">
        <v>18</v>
      </c>
      <c r="D763" s="107">
        <v>0.98140000000000005</v>
      </c>
      <c r="E763" s="107">
        <v>2.1999999999999999E-2</v>
      </c>
      <c r="F763" s="107">
        <v>4.4000000000000003E-3</v>
      </c>
      <c r="G763" s="107">
        <v>7.6E-3</v>
      </c>
    </row>
    <row r="764" spans="1:7">
      <c r="A764" s="616"/>
      <c r="B764" s="82" t="s">
        <v>708</v>
      </c>
      <c r="C764" s="82" t="s">
        <v>741</v>
      </c>
      <c r="D764" s="107">
        <v>0.99590000000000001</v>
      </c>
      <c r="E764" s="107">
        <v>3.3999999999999998E-3</v>
      </c>
      <c r="F764" s="107">
        <v>0.72670000000000001</v>
      </c>
      <c r="G764" s="107">
        <v>1.09E-2</v>
      </c>
    </row>
    <row r="765" spans="1:7">
      <c r="A765" s="616"/>
      <c r="B765" s="82" t="s">
        <v>708</v>
      </c>
      <c r="C765" s="82" t="s">
        <v>742</v>
      </c>
      <c r="D765" s="107">
        <v>0.95099999999999996</v>
      </c>
      <c r="E765" s="107">
        <v>8.8999999999999999E-3</v>
      </c>
      <c r="F765" s="107">
        <v>0.46</v>
      </c>
      <c r="G765" s="107">
        <v>8.5000000000000006E-3</v>
      </c>
    </row>
    <row r="766" spans="1:7">
      <c r="A766" s="616"/>
      <c r="B766" s="82" t="s">
        <v>708</v>
      </c>
      <c r="C766" s="82" t="s">
        <v>14</v>
      </c>
      <c r="D766" s="107">
        <v>0.94199999999999995</v>
      </c>
      <c r="E766" s="107">
        <v>1.46E-2</v>
      </c>
      <c r="F766" s="107">
        <v>0.30399999999999999</v>
      </c>
      <c r="G766" s="107">
        <v>6.7000000000000002E-3</v>
      </c>
    </row>
    <row r="767" spans="1:7">
      <c r="A767" s="616"/>
      <c r="B767" s="82" t="s">
        <v>708</v>
      </c>
      <c r="C767" s="82" t="s">
        <v>16</v>
      </c>
      <c r="D767" s="107">
        <v>0.98929999999999996</v>
      </c>
      <c r="E767" s="107">
        <v>1.41E-2</v>
      </c>
      <c r="F767" s="107">
        <v>0.3488</v>
      </c>
      <c r="G767" s="107">
        <v>7.1000000000000004E-3</v>
      </c>
    </row>
    <row r="768" spans="1:7">
      <c r="A768" s="616"/>
      <c r="B768" s="82" t="s">
        <v>708</v>
      </c>
      <c r="C768" s="82" t="s">
        <v>18</v>
      </c>
      <c r="D768" s="107">
        <v>0.99280000000000002</v>
      </c>
      <c r="E768" s="107">
        <v>1.6199999999999999E-2</v>
      </c>
      <c r="F768" s="107">
        <v>0.3528</v>
      </c>
      <c r="G768" s="107">
        <v>7.0000000000000001E-3</v>
      </c>
    </row>
    <row r="769" spans="1:7">
      <c r="A769" s="616"/>
      <c r="B769" s="82" t="s">
        <v>741</v>
      </c>
      <c r="C769" s="82" t="s">
        <v>742</v>
      </c>
      <c r="D769" s="107">
        <v>0.94689999999999996</v>
      </c>
      <c r="E769" s="107">
        <v>6.8999999999999999E-3</v>
      </c>
      <c r="F769" s="107">
        <v>0.68259999999999998</v>
      </c>
      <c r="G769" s="107">
        <v>1.06E-2</v>
      </c>
    </row>
    <row r="770" spans="1:7">
      <c r="A770" s="616"/>
      <c r="B770" s="82" t="s">
        <v>741</v>
      </c>
      <c r="C770" s="82" t="s">
        <v>14</v>
      </c>
      <c r="D770" s="107">
        <v>0.95350000000000001</v>
      </c>
      <c r="E770" s="107">
        <v>1.4E-2</v>
      </c>
      <c r="F770" s="107">
        <v>0.37280000000000002</v>
      </c>
      <c r="G770" s="107">
        <v>8.5000000000000006E-3</v>
      </c>
    </row>
    <row r="771" spans="1:7">
      <c r="A771" s="616"/>
      <c r="B771" s="82" t="s">
        <v>741</v>
      </c>
      <c r="C771" s="82" t="s">
        <v>16</v>
      </c>
      <c r="D771" s="107">
        <v>0.99339999999999995</v>
      </c>
      <c r="E771" s="107">
        <v>1.43E-2</v>
      </c>
      <c r="F771" s="107">
        <v>0.35949999999999999</v>
      </c>
      <c r="G771" s="107">
        <v>8.0999999999999996E-3</v>
      </c>
    </row>
    <row r="772" spans="1:7">
      <c r="A772" s="616"/>
      <c r="B772" s="82" t="s">
        <v>741</v>
      </c>
      <c r="C772" s="82" t="s">
        <v>18</v>
      </c>
      <c r="D772" s="107">
        <v>0.9909</v>
      </c>
      <c r="E772" s="107">
        <v>1.5100000000000001E-2</v>
      </c>
      <c r="F772" s="107">
        <v>0.36170000000000002</v>
      </c>
      <c r="G772" s="107">
        <v>8.6E-3</v>
      </c>
    </row>
    <row r="773" spans="1:7">
      <c r="A773" s="616"/>
      <c r="B773" s="82" t="s">
        <v>742</v>
      </c>
      <c r="C773" s="82" t="s">
        <v>14</v>
      </c>
      <c r="D773" s="107">
        <v>0.85840000000000005</v>
      </c>
      <c r="E773" s="107">
        <v>2.3199999999999998E-2</v>
      </c>
      <c r="F773" s="107">
        <v>2.0999999999999999E-3</v>
      </c>
      <c r="G773" s="107">
        <v>6.4999999999999997E-3</v>
      </c>
    </row>
    <row r="774" spans="1:7">
      <c r="A774" s="616"/>
      <c r="B774" s="82" t="s">
        <v>742</v>
      </c>
      <c r="C774" s="82" t="s">
        <v>16</v>
      </c>
      <c r="D774" s="107">
        <v>0.90100000000000002</v>
      </c>
      <c r="E774" s="107">
        <v>2.3E-2</v>
      </c>
      <c r="F774" s="107">
        <v>-4.4000000000000003E-3</v>
      </c>
      <c r="G774" s="107">
        <v>6.4000000000000003E-3</v>
      </c>
    </row>
    <row r="775" spans="1:7">
      <c r="A775" s="616"/>
      <c r="B775" s="82" t="s">
        <v>742</v>
      </c>
      <c r="C775" s="82" t="s">
        <v>18</v>
      </c>
      <c r="D775" s="107">
        <v>0.90590000000000004</v>
      </c>
      <c r="E775" s="107">
        <v>2.5600000000000001E-2</v>
      </c>
      <c r="F775" s="107">
        <v>-4.1000000000000003E-3</v>
      </c>
      <c r="G775" s="107">
        <v>6.8999999999999999E-3</v>
      </c>
    </row>
    <row r="776" spans="1:7">
      <c r="A776" s="616"/>
      <c r="B776" s="82" t="s">
        <v>14</v>
      </c>
      <c r="C776" s="82" t="s">
        <v>16</v>
      </c>
      <c r="D776" s="107">
        <v>0.97929999999999995</v>
      </c>
      <c r="E776" s="107">
        <v>3.0300000000000001E-2</v>
      </c>
      <c r="F776" s="107">
        <v>5.5999999999999999E-3</v>
      </c>
      <c r="G776" s="107">
        <v>6.1999999999999998E-3</v>
      </c>
    </row>
    <row r="777" spans="1:7">
      <c r="A777" s="616"/>
      <c r="B777" s="82" t="s">
        <v>14</v>
      </c>
      <c r="C777" s="82" t="s">
        <v>18</v>
      </c>
      <c r="D777" s="107">
        <v>0.94879999999999998</v>
      </c>
      <c r="E777" s="107">
        <v>3.3099999999999997E-2</v>
      </c>
      <c r="F777" s="107">
        <v>1.3599999999999999E-2</v>
      </c>
      <c r="G777" s="107">
        <v>5.7999999999999996E-3</v>
      </c>
    </row>
    <row r="778" spans="1:7">
      <c r="A778" s="616"/>
      <c r="B778" s="82" t="s">
        <v>16</v>
      </c>
      <c r="C778" s="82" t="s">
        <v>18</v>
      </c>
      <c r="D778" s="107">
        <v>1.0331999999999999</v>
      </c>
      <c r="E778" s="107">
        <v>3.15E-2</v>
      </c>
      <c r="F778" s="107">
        <v>1.1999999999999999E-3</v>
      </c>
      <c r="G778" s="107">
        <v>6.4999999999999997E-3</v>
      </c>
    </row>
    <row r="779" spans="1:7">
      <c r="A779" s="612" t="s">
        <v>431</v>
      </c>
      <c r="B779" s="204" t="s">
        <v>144</v>
      </c>
      <c r="C779" s="204" t="s">
        <v>708</v>
      </c>
      <c r="D779" s="207">
        <v>0.9</v>
      </c>
      <c r="E779" s="207">
        <v>4.4900000000000002E-2</v>
      </c>
      <c r="F779" s="207">
        <v>8.5000000000000006E-3</v>
      </c>
      <c r="G779" s="207">
        <v>6.7000000000000002E-3</v>
      </c>
    </row>
    <row r="780" spans="1:7">
      <c r="A780" s="616"/>
      <c r="B780" s="82" t="s">
        <v>144</v>
      </c>
      <c r="C780" s="82" t="s">
        <v>741</v>
      </c>
      <c r="D780" s="107">
        <v>0.86419999999999997</v>
      </c>
      <c r="E780" s="107">
        <v>3.27E-2</v>
      </c>
      <c r="F780" s="107">
        <v>-2.9999999999999997E-4</v>
      </c>
      <c r="G780" s="107">
        <v>7.6E-3</v>
      </c>
    </row>
    <row r="781" spans="1:7">
      <c r="A781" s="616"/>
      <c r="B781" s="82" t="s">
        <v>144</v>
      </c>
      <c r="C781" s="82" t="s">
        <v>742</v>
      </c>
      <c r="D781" s="107">
        <v>0.86460000000000004</v>
      </c>
      <c r="E781" s="107">
        <v>4.6800000000000001E-2</v>
      </c>
      <c r="F781" s="107">
        <v>5.9999999999999995E-4</v>
      </c>
      <c r="G781" s="107">
        <v>6.0000000000000001E-3</v>
      </c>
    </row>
    <row r="782" spans="1:7">
      <c r="A782" s="616"/>
      <c r="B782" s="82" t="s">
        <v>144</v>
      </c>
      <c r="C782" s="82" t="s">
        <v>14</v>
      </c>
      <c r="D782" s="107">
        <v>0.91710000000000003</v>
      </c>
      <c r="E782" s="107">
        <v>8.7499999999999994E-2</v>
      </c>
      <c r="F782" s="107">
        <v>2.5000000000000001E-3</v>
      </c>
      <c r="G782" s="107">
        <v>5.8999999999999999E-3</v>
      </c>
    </row>
    <row r="783" spans="1:7">
      <c r="A783" s="616"/>
      <c r="B783" s="82" t="s">
        <v>144</v>
      </c>
      <c r="C783" s="82" t="s">
        <v>16</v>
      </c>
      <c r="D783" s="107">
        <v>0.88549999999999995</v>
      </c>
      <c r="E783" s="107">
        <v>7.7700000000000005E-2</v>
      </c>
      <c r="F783" s="107">
        <v>3.2000000000000002E-3</v>
      </c>
      <c r="G783" s="107">
        <v>5.5999999999999999E-3</v>
      </c>
    </row>
    <row r="784" spans="1:7">
      <c r="A784" s="616"/>
      <c r="B784" s="82" t="s">
        <v>144</v>
      </c>
      <c r="C784" s="82" t="s">
        <v>18</v>
      </c>
      <c r="D784" s="107">
        <v>0.9073</v>
      </c>
      <c r="E784" s="107">
        <v>8.43E-2</v>
      </c>
      <c r="F784" s="107">
        <v>1E-4</v>
      </c>
      <c r="G784" s="107">
        <v>6.0000000000000001E-3</v>
      </c>
    </row>
    <row r="785" spans="1:7">
      <c r="A785" s="616"/>
      <c r="B785" s="82" t="s">
        <v>708</v>
      </c>
      <c r="C785" s="82" t="s">
        <v>741</v>
      </c>
      <c r="D785" s="107">
        <v>0.99339999999999995</v>
      </c>
      <c r="E785" s="107">
        <v>1.4800000000000001E-2</v>
      </c>
      <c r="F785" s="107">
        <v>0.70009999999999994</v>
      </c>
      <c r="G785" s="107">
        <v>9.7000000000000003E-3</v>
      </c>
    </row>
    <row r="786" spans="1:7">
      <c r="A786" s="616"/>
      <c r="B786" s="82" t="s">
        <v>708</v>
      </c>
      <c r="C786" s="82" t="s">
        <v>742</v>
      </c>
      <c r="D786" s="107">
        <v>0.97430000000000005</v>
      </c>
      <c r="E786" s="107">
        <v>3.0200000000000001E-2</v>
      </c>
      <c r="F786" s="107">
        <v>0.52029999999999998</v>
      </c>
      <c r="G786" s="107">
        <v>7.1000000000000004E-3</v>
      </c>
    </row>
    <row r="787" spans="1:7">
      <c r="A787" s="616"/>
      <c r="B787" s="82" t="s">
        <v>708</v>
      </c>
      <c r="C787" s="82" t="s">
        <v>14</v>
      </c>
      <c r="D787" s="107">
        <v>0.93659999999999999</v>
      </c>
      <c r="E787" s="107">
        <v>7.5200000000000003E-2</v>
      </c>
      <c r="F787" s="107">
        <v>0.1933</v>
      </c>
      <c r="G787" s="107">
        <v>5.4999999999999997E-3</v>
      </c>
    </row>
    <row r="788" spans="1:7">
      <c r="A788" s="616"/>
      <c r="B788" s="82" t="s">
        <v>708</v>
      </c>
      <c r="C788" s="82" t="s">
        <v>16</v>
      </c>
      <c r="D788" s="107">
        <v>0.89600000000000002</v>
      </c>
      <c r="E788" s="107">
        <v>6.25E-2</v>
      </c>
      <c r="F788" s="107">
        <v>0.249</v>
      </c>
      <c r="G788" s="107">
        <v>6.0000000000000001E-3</v>
      </c>
    </row>
    <row r="789" spans="1:7">
      <c r="A789" s="616"/>
      <c r="B789" s="82" t="s">
        <v>708</v>
      </c>
      <c r="C789" s="82" t="s">
        <v>18</v>
      </c>
      <c r="D789" s="107">
        <v>0.96189999999999998</v>
      </c>
      <c r="E789" s="107">
        <v>6.5199999999999994E-2</v>
      </c>
      <c r="F789" s="107">
        <v>0.24809999999999999</v>
      </c>
      <c r="G789" s="107">
        <v>6.4000000000000003E-3</v>
      </c>
    </row>
    <row r="790" spans="1:7">
      <c r="A790" s="616"/>
      <c r="B790" s="82" t="s">
        <v>741</v>
      </c>
      <c r="C790" s="82" t="s">
        <v>742</v>
      </c>
      <c r="D790" s="107">
        <v>0.90229999999999999</v>
      </c>
      <c r="E790" s="107">
        <v>1.9E-2</v>
      </c>
      <c r="F790" s="107">
        <v>0.75219999999999998</v>
      </c>
      <c r="G790" s="107">
        <v>8.5000000000000006E-3</v>
      </c>
    </row>
    <row r="791" spans="1:7">
      <c r="A791" s="616"/>
      <c r="B791" s="82" t="s">
        <v>741</v>
      </c>
      <c r="C791" s="82" t="s">
        <v>14</v>
      </c>
      <c r="D791" s="107">
        <v>0.90359999999999996</v>
      </c>
      <c r="E791" s="107">
        <v>6.7599999999999993E-2</v>
      </c>
      <c r="F791" s="107">
        <v>0.2324</v>
      </c>
      <c r="G791" s="107">
        <v>6.6E-3</v>
      </c>
    </row>
    <row r="792" spans="1:7">
      <c r="A792" s="616"/>
      <c r="B792" s="82" t="s">
        <v>741</v>
      </c>
      <c r="C792" s="82" t="s">
        <v>16</v>
      </c>
      <c r="D792" s="107">
        <v>0.93069999999999997</v>
      </c>
      <c r="E792" s="107">
        <v>5.6800000000000003E-2</v>
      </c>
      <c r="F792" s="107">
        <v>0.2359</v>
      </c>
      <c r="G792" s="107">
        <v>6.3E-3</v>
      </c>
    </row>
    <row r="793" spans="1:7">
      <c r="A793" s="616"/>
      <c r="B793" s="82" t="s">
        <v>741</v>
      </c>
      <c r="C793" s="82" t="s">
        <v>18</v>
      </c>
      <c r="D793" s="107">
        <v>0.95650000000000002</v>
      </c>
      <c r="E793" s="107">
        <v>6.3E-2</v>
      </c>
      <c r="F793" s="107">
        <v>0.23230000000000001</v>
      </c>
      <c r="G793" s="107">
        <v>7.1999999999999998E-3</v>
      </c>
    </row>
    <row r="794" spans="1:7">
      <c r="A794" s="616"/>
      <c r="B794" s="82" t="s">
        <v>742</v>
      </c>
      <c r="C794" s="82" t="s">
        <v>14</v>
      </c>
      <c r="D794" s="107">
        <v>0.80959999999999999</v>
      </c>
      <c r="E794" s="107">
        <v>9.64E-2</v>
      </c>
      <c r="F794" s="107">
        <v>6.4999999999999997E-3</v>
      </c>
      <c r="G794" s="107">
        <v>5.3E-3</v>
      </c>
    </row>
    <row r="795" spans="1:7">
      <c r="A795" s="616"/>
      <c r="B795" s="82" t="s">
        <v>742</v>
      </c>
      <c r="C795" s="82" t="s">
        <v>16</v>
      </c>
      <c r="D795" s="107">
        <v>0.85940000000000005</v>
      </c>
      <c r="E795" s="107">
        <v>9.35E-2</v>
      </c>
      <c r="F795" s="107">
        <v>4.0000000000000002E-4</v>
      </c>
      <c r="G795" s="107">
        <v>5.1000000000000004E-3</v>
      </c>
    </row>
    <row r="796" spans="1:7">
      <c r="A796" s="616"/>
      <c r="B796" s="82" t="s">
        <v>742</v>
      </c>
      <c r="C796" s="82" t="s">
        <v>18</v>
      </c>
      <c r="D796" s="107">
        <v>0.89429999999999998</v>
      </c>
      <c r="E796" s="107">
        <v>9.2799999999999994E-2</v>
      </c>
      <c r="F796" s="107">
        <v>-2.5000000000000001E-3</v>
      </c>
      <c r="G796" s="107">
        <v>5.1999999999999998E-3</v>
      </c>
    </row>
    <row r="797" spans="1:7">
      <c r="A797" s="616"/>
      <c r="B797" s="82" t="s">
        <v>14</v>
      </c>
      <c r="C797" s="82" t="s">
        <v>16</v>
      </c>
      <c r="D797" s="107">
        <v>1.0980000000000001</v>
      </c>
      <c r="E797" s="107">
        <v>0.1278</v>
      </c>
      <c r="F797" s="107">
        <v>-2.2000000000000001E-3</v>
      </c>
      <c r="G797" s="107">
        <v>4.8999999999999998E-3</v>
      </c>
    </row>
    <row r="798" spans="1:7">
      <c r="A798" s="616"/>
      <c r="B798" s="82" t="s">
        <v>14</v>
      </c>
      <c r="C798" s="82" t="s">
        <v>18</v>
      </c>
      <c r="D798" s="107">
        <v>1.1595</v>
      </c>
      <c r="E798" s="107">
        <v>0.14699999999999999</v>
      </c>
      <c r="F798" s="107">
        <v>-3.0999999999999999E-3</v>
      </c>
      <c r="G798" s="107">
        <v>5.0000000000000001E-3</v>
      </c>
    </row>
    <row r="799" spans="1:7">
      <c r="A799" s="613"/>
      <c r="B799" s="209" t="s">
        <v>16</v>
      </c>
      <c r="C799" s="209" t="s">
        <v>18</v>
      </c>
      <c r="D799" s="212">
        <v>0.88819999999999999</v>
      </c>
      <c r="E799" s="212">
        <v>0.1076</v>
      </c>
      <c r="F799" s="212">
        <v>8.0999999999999996E-3</v>
      </c>
      <c r="G799" s="212">
        <v>4.5999999999999999E-3</v>
      </c>
    </row>
    <row r="800" spans="1:7">
      <c r="A800" s="8" t="s">
        <v>1473</v>
      </c>
    </row>
  </sheetData>
  <sortState xmlns:xlrd2="http://schemas.microsoft.com/office/spreadsheetml/2017/richdata2" ref="B779:G799">
    <sortCondition ref="B779:B799"/>
    <sortCondition ref="C779:C799"/>
  </sortState>
  <mergeCells count="77">
    <mergeCell ref="A4:A9"/>
    <mergeCell ref="A779:A799"/>
    <mergeCell ref="A582:A626"/>
    <mergeCell ref="A758:A778"/>
    <mergeCell ref="A530:A532"/>
    <mergeCell ref="A533:A535"/>
    <mergeCell ref="A536:A538"/>
    <mergeCell ref="A737:A757"/>
    <mergeCell ref="A716:A736"/>
    <mergeCell ref="A706:A715"/>
    <mergeCell ref="A668:A673"/>
    <mergeCell ref="A685:A705"/>
    <mergeCell ref="A675:A684"/>
    <mergeCell ref="A506:A511"/>
    <mergeCell ref="A463:A468"/>
    <mergeCell ref="A469:A474"/>
    <mergeCell ref="A658:A667"/>
    <mergeCell ref="A542:A544"/>
    <mergeCell ref="A475:A489"/>
    <mergeCell ref="A545:A550"/>
    <mergeCell ref="A490:A499"/>
    <mergeCell ref="A553:A562"/>
    <mergeCell ref="A500:A505"/>
    <mergeCell ref="A568:A570"/>
    <mergeCell ref="A512:A521"/>
    <mergeCell ref="A643:A657"/>
    <mergeCell ref="A572:A581"/>
    <mergeCell ref="A633:A642"/>
    <mergeCell ref="A564:A566"/>
    <mergeCell ref="A628:A630"/>
    <mergeCell ref="A460:A462"/>
    <mergeCell ref="A307:A321"/>
    <mergeCell ref="A69:A78"/>
    <mergeCell ref="A329:A331"/>
    <mergeCell ref="A332:A352"/>
    <mergeCell ref="A439:A444"/>
    <mergeCell ref="A292:A306"/>
    <mergeCell ref="A39:A53"/>
    <mergeCell ref="A94:A108"/>
    <mergeCell ref="A445:A459"/>
    <mergeCell ref="A433:A438"/>
    <mergeCell ref="A129:A138"/>
    <mergeCell ref="A119:A128"/>
    <mergeCell ref="A109:A118"/>
    <mergeCell ref="A153:A288"/>
    <mergeCell ref="B525:G525"/>
    <mergeCell ref="A10:A37"/>
    <mergeCell ref="A147:A152"/>
    <mergeCell ref="A353:A355"/>
    <mergeCell ref="A539:A541"/>
    <mergeCell ref="A54:A68"/>
    <mergeCell ref="A140:A145"/>
    <mergeCell ref="A423:A432"/>
    <mergeCell ref="A413:A422"/>
    <mergeCell ref="A79:A93"/>
    <mergeCell ref="A322:A327"/>
    <mergeCell ref="A407:A412"/>
    <mergeCell ref="A356:A361"/>
    <mergeCell ref="A362:A397"/>
    <mergeCell ref="A398:A403"/>
    <mergeCell ref="B526:G526"/>
    <mergeCell ref="A1:G1"/>
    <mergeCell ref="B146:G146"/>
    <mergeCell ref="B567:G567"/>
    <mergeCell ref="B289:G289"/>
    <mergeCell ref="B632:G632"/>
    <mergeCell ref="B571:G571"/>
    <mergeCell ref="B551:G551"/>
    <mergeCell ref="B328:G328"/>
    <mergeCell ref="B290:G290"/>
    <mergeCell ref="B523:G523"/>
    <mergeCell ref="B524:G524"/>
    <mergeCell ref="B405:G405"/>
    <mergeCell ref="B406:G406"/>
    <mergeCell ref="B529:G529"/>
    <mergeCell ref="B552:G552"/>
    <mergeCell ref="B527:G527"/>
  </mergeCells>
  <pageMargins left="0.7" right="0.7" top="0.75" bottom="0.75" header="0.3" footer="0.3"/>
  <pageSetup paperSize="9" orientation="portrait" horizont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19249-DE1C-4708-B64B-EFE0DEC0C8F4}">
  <dimension ref="A1:Y1139"/>
  <sheetViews>
    <sheetView topLeftCell="A274" workbookViewId="0">
      <selection activeCell="D285" sqref="D285"/>
    </sheetView>
  </sheetViews>
  <sheetFormatPr defaultColWidth="13.7890625" defaultRowHeight="14.4"/>
  <cols>
    <col min="1" max="1" width="4.15625" style="1" customWidth="1"/>
    <col min="2" max="2" width="20.7890625" style="21" customWidth="1"/>
    <col min="3" max="3" width="15.47265625" style="21" customWidth="1"/>
    <col min="4" max="4" width="40.47265625" style="21" customWidth="1"/>
    <col min="5" max="5" width="10.47265625" style="11" customWidth="1"/>
    <col min="6" max="6" width="12.47265625" style="22" customWidth="1"/>
    <col min="7" max="7" width="11.47265625" style="22" customWidth="1"/>
    <col min="8" max="8" width="15.47265625" style="23" customWidth="1"/>
    <col min="9" max="9" width="46.47265625" style="1" customWidth="1"/>
    <col min="10" max="10" width="78.15625" style="9" customWidth="1"/>
    <col min="11" max="25" width="8.47265625" style="1" customWidth="1"/>
    <col min="26" max="16384" width="13.7890625" style="1"/>
  </cols>
  <sheetData>
    <row r="1" spans="1:25">
      <c r="A1" s="662" t="s">
        <v>1555</v>
      </c>
      <c r="B1" s="662"/>
      <c r="C1" s="662"/>
      <c r="D1" s="662"/>
      <c r="E1" s="662"/>
      <c r="F1" s="662"/>
      <c r="G1" s="662"/>
      <c r="H1" s="662"/>
      <c r="I1" s="662"/>
      <c r="J1" s="662"/>
    </row>
    <row r="2" spans="1:25">
      <c r="A2" s="569" t="s">
        <v>0</v>
      </c>
      <c r="B2" s="569"/>
      <c r="C2" s="569" t="s">
        <v>1477</v>
      </c>
      <c r="D2" s="569" t="s">
        <v>1476</v>
      </c>
      <c r="E2" s="664" t="s">
        <v>2</v>
      </c>
      <c r="F2" s="664" t="s">
        <v>3</v>
      </c>
      <c r="G2" s="664" t="s">
        <v>4</v>
      </c>
      <c r="H2" s="664" t="s">
        <v>5</v>
      </c>
      <c r="I2" s="573" t="s">
        <v>1478</v>
      </c>
      <c r="J2" s="668" t="s">
        <v>1479</v>
      </c>
      <c r="K2" s="2"/>
      <c r="L2" s="2"/>
      <c r="M2" s="2"/>
      <c r="N2" s="2"/>
      <c r="O2" s="2"/>
      <c r="P2" s="2"/>
      <c r="Q2" s="2"/>
      <c r="R2" s="2"/>
      <c r="S2" s="2"/>
      <c r="T2" s="2"/>
      <c r="U2" s="2"/>
      <c r="V2" s="2"/>
      <c r="W2" s="2"/>
      <c r="X2" s="2"/>
      <c r="Y2" s="2"/>
    </row>
    <row r="3" spans="1:25">
      <c r="A3" s="570"/>
      <c r="B3" s="570"/>
      <c r="C3" s="570"/>
      <c r="D3" s="663"/>
      <c r="E3" s="665"/>
      <c r="F3" s="666"/>
      <c r="G3" s="666"/>
      <c r="H3" s="666"/>
      <c r="I3" s="667"/>
      <c r="J3" s="669"/>
    </row>
    <row r="4" spans="1:25">
      <c r="B4" s="4"/>
      <c r="C4" s="4"/>
      <c r="D4" s="4"/>
      <c r="E4" s="5"/>
      <c r="F4" s="6"/>
      <c r="G4" s="6"/>
      <c r="H4" s="7"/>
      <c r="I4" s="8"/>
    </row>
    <row r="5" spans="1:25">
      <c r="A5" s="56" t="s">
        <v>6</v>
      </c>
      <c r="B5" s="57"/>
      <c r="C5" s="57"/>
      <c r="D5" s="57"/>
      <c r="E5" s="53"/>
      <c r="F5" s="58"/>
      <c r="G5" s="58"/>
      <c r="H5" s="59"/>
      <c r="I5" s="60"/>
      <c r="J5" s="55"/>
    </row>
    <row r="6" spans="1:25" ht="21" customHeight="1">
      <c r="B6" s="614" t="s">
        <v>7</v>
      </c>
      <c r="C6" s="10" t="s">
        <v>8</v>
      </c>
      <c r="D6" s="10" t="s">
        <v>1220</v>
      </c>
      <c r="E6" s="11">
        <v>438476</v>
      </c>
      <c r="F6" s="5" t="s">
        <v>9</v>
      </c>
      <c r="G6" s="5">
        <v>322154</v>
      </c>
      <c r="H6" s="5">
        <f t="shared" ref="H6:H15" si="0">SUM(E6:G6)</f>
        <v>760630</v>
      </c>
      <c r="I6" s="8" t="s">
        <v>1594</v>
      </c>
      <c r="J6" s="12" t="s">
        <v>1645</v>
      </c>
    </row>
    <row r="7" spans="1:25">
      <c r="B7" s="614"/>
      <c r="C7" s="10" t="s">
        <v>10</v>
      </c>
      <c r="D7" s="10" t="s">
        <v>12</v>
      </c>
      <c r="E7" s="11">
        <v>438476</v>
      </c>
      <c r="F7" s="5" t="s">
        <v>9</v>
      </c>
      <c r="G7" s="5" t="s">
        <v>9</v>
      </c>
      <c r="H7" s="5">
        <f t="shared" si="0"/>
        <v>438476</v>
      </c>
      <c r="I7" s="13" t="s">
        <v>12</v>
      </c>
      <c r="J7" s="9" t="s">
        <v>1595</v>
      </c>
      <c r="K7" s="14"/>
      <c r="L7" s="14"/>
      <c r="M7" s="14"/>
      <c r="N7" s="14"/>
      <c r="O7" s="14"/>
      <c r="P7" s="14"/>
      <c r="Q7" s="14"/>
      <c r="R7" s="14"/>
      <c r="S7" s="14"/>
      <c r="T7" s="14"/>
      <c r="U7" s="14"/>
      <c r="V7" s="14"/>
      <c r="W7" s="14"/>
      <c r="X7" s="14"/>
      <c r="Y7" s="14"/>
    </row>
    <row r="8" spans="1:25">
      <c r="B8" s="614"/>
      <c r="C8" s="10" t="s">
        <v>13</v>
      </c>
      <c r="D8" s="10" t="s">
        <v>1221</v>
      </c>
      <c r="E8" s="11">
        <v>292085</v>
      </c>
      <c r="F8" s="5" t="s">
        <v>9</v>
      </c>
      <c r="G8" s="5">
        <v>322154</v>
      </c>
      <c r="H8" s="5">
        <f t="shared" si="0"/>
        <v>614239</v>
      </c>
      <c r="I8" s="13" t="s">
        <v>1596</v>
      </c>
      <c r="J8" s="9" t="s">
        <v>14</v>
      </c>
      <c r="K8" s="14"/>
      <c r="L8" s="14"/>
      <c r="M8" s="14"/>
      <c r="N8" s="14"/>
      <c r="O8" s="14"/>
      <c r="P8" s="14"/>
      <c r="Q8" s="14"/>
      <c r="R8" s="14"/>
      <c r="S8" s="14"/>
      <c r="T8" s="14"/>
      <c r="U8" s="14"/>
      <c r="V8" s="14"/>
      <c r="W8" s="14"/>
      <c r="X8" s="14"/>
      <c r="Y8" s="14"/>
    </row>
    <row r="9" spans="1:25">
      <c r="B9" s="614"/>
      <c r="C9" s="10" t="s">
        <v>15</v>
      </c>
      <c r="D9" s="10" t="s">
        <v>1222</v>
      </c>
      <c r="E9" s="11">
        <v>292351</v>
      </c>
      <c r="F9" s="5" t="s">
        <v>9</v>
      </c>
      <c r="G9" s="5">
        <v>322154</v>
      </c>
      <c r="H9" s="5">
        <f t="shared" si="0"/>
        <v>614505</v>
      </c>
      <c r="I9" s="13" t="s">
        <v>1597</v>
      </c>
      <c r="J9" s="9" t="s">
        <v>16</v>
      </c>
      <c r="K9" s="14"/>
      <c r="L9" s="14"/>
      <c r="M9" s="14"/>
      <c r="N9" s="14"/>
      <c r="O9" s="14"/>
      <c r="P9" s="14"/>
      <c r="Q9" s="14"/>
      <c r="R9" s="14"/>
      <c r="S9" s="14"/>
      <c r="T9" s="14"/>
      <c r="U9" s="14"/>
      <c r="V9" s="14"/>
      <c r="W9" s="14"/>
      <c r="X9" s="14"/>
      <c r="Y9" s="14"/>
    </row>
    <row r="10" spans="1:25">
      <c r="B10" s="615"/>
      <c r="C10" s="24" t="s">
        <v>17</v>
      </c>
      <c r="D10" s="24" t="s">
        <v>1223</v>
      </c>
      <c r="E10" s="25">
        <v>292516</v>
      </c>
      <c r="F10" s="26" t="s">
        <v>9</v>
      </c>
      <c r="G10" s="26">
        <v>322154</v>
      </c>
      <c r="H10" s="26">
        <f t="shared" si="0"/>
        <v>614670</v>
      </c>
      <c r="I10" s="27" t="s">
        <v>1598</v>
      </c>
      <c r="J10" s="28" t="s">
        <v>18</v>
      </c>
      <c r="K10" s="14"/>
      <c r="L10" s="14"/>
      <c r="M10" s="14"/>
      <c r="N10" s="14"/>
      <c r="O10" s="14"/>
      <c r="P10" s="14"/>
      <c r="Q10" s="14"/>
      <c r="R10" s="14"/>
      <c r="S10" s="14"/>
      <c r="T10" s="14"/>
      <c r="U10" s="14"/>
      <c r="V10" s="14"/>
      <c r="W10" s="14"/>
      <c r="X10" s="14"/>
      <c r="Y10" s="14"/>
    </row>
    <row r="11" spans="1:25" ht="20.399999999999999">
      <c r="B11" s="614" t="s">
        <v>19</v>
      </c>
      <c r="C11" s="10" t="s">
        <v>20</v>
      </c>
      <c r="D11" s="29" t="s">
        <v>21</v>
      </c>
      <c r="E11" s="30" t="s">
        <v>9</v>
      </c>
      <c r="F11" s="31">
        <v>2502262</v>
      </c>
      <c r="G11" s="31">
        <v>1597374</v>
      </c>
      <c r="H11" s="5">
        <f t="shared" si="0"/>
        <v>4099636</v>
      </c>
      <c r="I11" s="32" t="s">
        <v>1599</v>
      </c>
      <c r="J11" s="33" t="s">
        <v>1674</v>
      </c>
    </row>
    <row r="12" spans="1:25">
      <c r="B12" s="614"/>
      <c r="C12" s="10" t="s">
        <v>22</v>
      </c>
      <c r="D12" s="10" t="s">
        <v>23</v>
      </c>
      <c r="E12" s="11">
        <v>445054</v>
      </c>
      <c r="F12" s="31">
        <v>2502262</v>
      </c>
      <c r="G12" s="5">
        <v>253280</v>
      </c>
      <c r="H12" s="5">
        <f t="shared" si="0"/>
        <v>3200596</v>
      </c>
      <c r="I12" s="8" t="s">
        <v>1594</v>
      </c>
      <c r="J12" s="12" t="s">
        <v>24</v>
      </c>
      <c r="K12" s="14"/>
      <c r="L12" s="14"/>
      <c r="M12" s="14"/>
      <c r="N12" s="14"/>
      <c r="O12" s="14"/>
      <c r="P12" s="14"/>
      <c r="Q12" s="14"/>
      <c r="R12" s="14"/>
      <c r="S12" s="14"/>
      <c r="T12" s="14"/>
      <c r="U12" s="14"/>
      <c r="V12" s="14"/>
      <c r="W12" s="14"/>
      <c r="X12" s="14"/>
      <c r="Y12" s="14"/>
    </row>
    <row r="13" spans="1:25">
      <c r="B13" s="614"/>
      <c r="C13" s="10" t="s">
        <v>25</v>
      </c>
      <c r="D13" s="10" t="s">
        <v>11</v>
      </c>
      <c r="E13" s="11">
        <v>445054</v>
      </c>
      <c r="F13" s="31">
        <v>2502262</v>
      </c>
      <c r="G13" s="5" t="s">
        <v>9</v>
      </c>
      <c r="H13" s="5">
        <f t="shared" si="0"/>
        <v>2947316</v>
      </c>
      <c r="I13" s="13" t="s">
        <v>12</v>
      </c>
      <c r="J13" s="9" t="s">
        <v>1595</v>
      </c>
      <c r="K13" s="14"/>
      <c r="L13" s="14"/>
      <c r="M13" s="14"/>
      <c r="N13" s="14"/>
      <c r="O13" s="14"/>
      <c r="P13" s="14"/>
      <c r="Q13" s="14"/>
      <c r="R13" s="14"/>
      <c r="S13" s="14"/>
      <c r="T13" s="14"/>
      <c r="U13" s="14"/>
      <c r="V13" s="14"/>
      <c r="W13" s="14"/>
      <c r="X13" s="14"/>
      <c r="Y13" s="14"/>
    </row>
    <row r="14" spans="1:25" ht="20.399999999999999">
      <c r="B14" s="614"/>
      <c r="C14" s="10" t="s">
        <v>26</v>
      </c>
      <c r="D14" s="10" t="s">
        <v>27</v>
      </c>
      <c r="E14" s="11">
        <v>296624</v>
      </c>
      <c r="F14" s="31">
        <v>2502262</v>
      </c>
      <c r="G14" s="5">
        <v>1177601</v>
      </c>
      <c r="H14" s="5">
        <f t="shared" si="0"/>
        <v>3976487</v>
      </c>
      <c r="I14" s="13" t="s">
        <v>1596</v>
      </c>
      <c r="J14" s="9" t="s">
        <v>14</v>
      </c>
      <c r="K14" s="14"/>
      <c r="L14" s="14"/>
      <c r="M14" s="14"/>
      <c r="N14" s="14"/>
      <c r="O14" s="14"/>
      <c r="P14" s="14"/>
      <c r="Q14" s="14"/>
      <c r="R14" s="14"/>
      <c r="S14" s="14"/>
      <c r="T14" s="14"/>
      <c r="U14" s="14"/>
      <c r="V14" s="14"/>
      <c r="W14" s="14"/>
      <c r="X14" s="14"/>
      <c r="Y14" s="14"/>
    </row>
    <row r="15" spans="1:25" ht="20.399999999999999">
      <c r="B15" s="614"/>
      <c r="C15" s="10" t="s">
        <v>28</v>
      </c>
      <c r="D15" s="10" t="s">
        <v>29</v>
      </c>
      <c r="E15" s="11">
        <v>296738</v>
      </c>
      <c r="F15" s="31">
        <v>2502262</v>
      </c>
      <c r="G15" s="5">
        <v>1177601</v>
      </c>
      <c r="H15" s="5">
        <f t="shared" si="0"/>
        <v>3976601</v>
      </c>
      <c r="I15" s="13" t="s">
        <v>1597</v>
      </c>
      <c r="J15" s="9" t="s">
        <v>16</v>
      </c>
      <c r="K15" s="14"/>
      <c r="L15" s="14"/>
      <c r="M15" s="14"/>
      <c r="N15" s="14"/>
      <c r="O15" s="14"/>
      <c r="P15" s="14"/>
      <c r="Q15" s="14"/>
      <c r="R15" s="14"/>
      <c r="S15" s="14"/>
      <c r="T15" s="14"/>
      <c r="U15" s="14"/>
      <c r="V15" s="14"/>
      <c r="W15" s="14"/>
      <c r="X15" s="14"/>
      <c r="Y15" s="14"/>
    </row>
    <row r="16" spans="1:25" ht="20.399999999999999">
      <c r="A16" s="3"/>
      <c r="B16" s="615"/>
      <c r="C16" s="34" t="s">
        <v>30</v>
      </c>
      <c r="D16" s="24" t="s">
        <v>31</v>
      </c>
      <c r="E16" s="25">
        <v>296746</v>
      </c>
      <c r="F16" s="35">
        <v>2502262</v>
      </c>
      <c r="G16" s="26">
        <v>1177601</v>
      </c>
      <c r="H16" s="26">
        <f>SUM(E16:G16)</f>
        <v>3976609</v>
      </c>
      <c r="I16" s="27" t="s">
        <v>1598</v>
      </c>
      <c r="J16" s="28" t="s">
        <v>18</v>
      </c>
      <c r="K16" s="14"/>
      <c r="L16" s="14"/>
      <c r="M16" s="14"/>
      <c r="N16" s="14"/>
      <c r="O16" s="14"/>
      <c r="P16" s="14"/>
      <c r="Q16" s="14"/>
      <c r="R16" s="14"/>
      <c r="S16" s="14"/>
      <c r="T16" s="14"/>
      <c r="U16" s="14"/>
      <c r="V16" s="14"/>
      <c r="W16" s="14"/>
      <c r="X16" s="14"/>
      <c r="Y16" s="14"/>
    </row>
    <row r="17" spans="1:25">
      <c r="B17" s="10"/>
      <c r="C17" s="29"/>
      <c r="D17" s="10"/>
      <c r="F17" s="31"/>
      <c r="G17" s="5"/>
      <c r="H17" s="5"/>
      <c r="I17" s="13"/>
      <c r="K17" s="14"/>
      <c r="L17" s="14"/>
      <c r="M17" s="14"/>
      <c r="N17" s="14"/>
      <c r="O17" s="14"/>
      <c r="P17" s="14"/>
      <c r="Q17" s="14"/>
      <c r="R17" s="14"/>
      <c r="S17" s="14"/>
      <c r="T17" s="14"/>
      <c r="U17" s="14"/>
      <c r="V17" s="14"/>
      <c r="W17" s="14"/>
      <c r="X17" s="14"/>
      <c r="Y17" s="14"/>
    </row>
    <row r="18" spans="1:25">
      <c r="A18" s="51" t="s">
        <v>564</v>
      </c>
      <c r="B18" s="52"/>
      <c r="C18" s="83"/>
      <c r="D18" s="52"/>
      <c r="E18" s="84"/>
      <c r="F18" s="85"/>
      <c r="G18" s="53"/>
      <c r="H18" s="53"/>
      <c r="I18" s="54"/>
      <c r="J18" s="55"/>
      <c r="K18" s="14"/>
      <c r="L18" s="14"/>
      <c r="M18" s="14"/>
      <c r="N18" s="14"/>
      <c r="O18" s="14"/>
      <c r="P18" s="14"/>
      <c r="Q18" s="14"/>
      <c r="R18" s="14"/>
      <c r="S18" s="14"/>
      <c r="T18" s="14"/>
      <c r="U18" s="14"/>
      <c r="V18" s="14"/>
      <c r="W18" s="14"/>
      <c r="X18" s="14"/>
      <c r="Y18" s="14"/>
    </row>
    <row r="19" spans="1:25">
      <c r="B19" s="655" t="s">
        <v>234</v>
      </c>
      <c r="C19" s="10" t="s">
        <v>235</v>
      </c>
      <c r="D19" s="10" t="s">
        <v>236</v>
      </c>
      <c r="E19" s="5" t="s">
        <v>9</v>
      </c>
      <c r="F19" s="5" t="s">
        <v>9</v>
      </c>
      <c r="G19" s="5">
        <v>1244580</v>
      </c>
      <c r="H19" s="5">
        <f t="shared" ref="H19:H58" si="1">SUM(E19:G19)</f>
        <v>1244580</v>
      </c>
      <c r="I19" s="13" t="s">
        <v>1600</v>
      </c>
      <c r="J19" s="12" t="s">
        <v>1670</v>
      </c>
      <c r="K19" s="14"/>
      <c r="L19" s="14"/>
      <c r="M19" s="14"/>
      <c r="N19" s="14"/>
      <c r="O19" s="14"/>
      <c r="P19" s="14"/>
      <c r="Q19" s="14"/>
      <c r="R19" s="14"/>
      <c r="S19" s="14"/>
      <c r="T19" s="14"/>
      <c r="U19" s="14"/>
      <c r="V19" s="14"/>
      <c r="W19" s="14"/>
      <c r="X19" s="14"/>
      <c r="Y19" s="14"/>
    </row>
    <row r="20" spans="1:25">
      <c r="B20" s="655"/>
      <c r="C20" s="10" t="s">
        <v>237</v>
      </c>
      <c r="D20" s="10" t="s">
        <v>238</v>
      </c>
      <c r="E20" s="5" t="s">
        <v>9</v>
      </c>
      <c r="F20" s="5" t="s">
        <v>9</v>
      </c>
      <c r="G20" s="5">
        <v>325634</v>
      </c>
      <c r="H20" s="5">
        <f t="shared" si="1"/>
        <v>325634</v>
      </c>
      <c r="I20" s="13" t="s">
        <v>12</v>
      </c>
      <c r="J20" s="12" t="s">
        <v>1601</v>
      </c>
      <c r="K20" s="14"/>
      <c r="L20" s="14"/>
      <c r="M20" s="14"/>
      <c r="N20" s="14"/>
      <c r="O20" s="14"/>
      <c r="P20" s="14"/>
      <c r="Q20" s="14"/>
      <c r="R20" s="14"/>
      <c r="S20" s="14"/>
      <c r="T20" s="14"/>
      <c r="U20" s="14"/>
      <c r="V20" s="14"/>
      <c r="W20" s="14"/>
      <c r="X20" s="14"/>
      <c r="Y20" s="14"/>
    </row>
    <row r="21" spans="1:25">
      <c r="B21" s="655"/>
      <c r="C21" s="10" t="s">
        <v>239</v>
      </c>
      <c r="D21" s="10" t="s">
        <v>240</v>
      </c>
      <c r="E21" s="5">
        <f>129398+129452</f>
        <v>258850</v>
      </c>
      <c r="F21" s="5" t="s">
        <v>9</v>
      </c>
      <c r="G21" s="5">
        <v>888227</v>
      </c>
      <c r="H21" s="5">
        <f t="shared" si="1"/>
        <v>1147077</v>
      </c>
      <c r="I21" s="13" t="s">
        <v>1602</v>
      </c>
      <c r="J21" s="12" t="s">
        <v>14</v>
      </c>
      <c r="K21" s="14"/>
      <c r="L21" s="14"/>
      <c r="M21" s="14"/>
      <c r="N21" s="14"/>
      <c r="O21" s="14"/>
      <c r="P21" s="14"/>
      <c r="Q21" s="14"/>
      <c r="R21" s="14"/>
      <c r="S21" s="14"/>
      <c r="T21" s="14"/>
      <c r="U21" s="14"/>
      <c r="V21" s="14"/>
      <c r="W21" s="14"/>
      <c r="X21" s="14"/>
      <c r="Y21" s="14"/>
    </row>
    <row r="22" spans="1:25">
      <c r="B22" s="655"/>
      <c r="C22" s="10" t="s">
        <v>241</v>
      </c>
      <c r="D22" s="10" t="s">
        <v>242</v>
      </c>
      <c r="E22" s="5">
        <f>129761+129452</f>
        <v>259213</v>
      </c>
      <c r="F22" s="5" t="s">
        <v>9</v>
      </c>
      <c r="G22" s="5">
        <v>888227</v>
      </c>
      <c r="H22" s="5">
        <f t="shared" si="1"/>
        <v>1147440</v>
      </c>
      <c r="I22" s="13" t="s">
        <v>1603</v>
      </c>
      <c r="J22" s="12" t="s">
        <v>16</v>
      </c>
      <c r="K22" s="14"/>
      <c r="L22" s="14"/>
      <c r="M22" s="14"/>
      <c r="N22" s="14"/>
      <c r="O22" s="14"/>
      <c r="P22" s="14"/>
      <c r="Q22" s="14"/>
      <c r="R22" s="14"/>
      <c r="S22" s="14"/>
      <c r="T22" s="14"/>
      <c r="U22" s="14"/>
      <c r="V22" s="14"/>
      <c r="W22" s="14"/>
      <c r="X22" s="14"/>
      <c r="Y22" s="14"/>
    </row>
    <row r="23" spans="1:25">
      <c r="B23" s="656"/>
      <c r="C23" s="24" t="s">
        <v>243</v>
      </c>
      <c r="D23" s="24" t="s">
        <v>244</v>
      </c>
      <c r="E23" s="26">
        <f>129761+129398</f>
        <v>259159</v>
      </c>
      <c r="F23" s="26" t="s">
        <v>9</v>
      </c>
      <c r="G23" s="5">
        <v>888227</v>
      </c>
      <c r="H23" s="26">
        <f t="shared" si="1"/>
        <v>1147386</v>
      </c>
      <c r="I23" s="27" t="s">
        <v>1604</v>
      </c>
      <c r="J23" s="49" t="s">
        <v>18</v>
      </c>
      <c r="K23" s="14"/>
      <c r="L23" s="14"/>
      <c r="M23" s="14"/>
      <c r="N23" s="14"/>
      <c r="O23" s="14"/>
      <c r="P23" s="14"/>
      <c r="Q23" s="14"/>
      <c r="R23" s="14"/>
      <c r="S23" s="14"/>
      <c r="T23" s="14"/>
      <c r="U23" s="14"/>
      <c r="V23" s="14"/>
      <c r="W23" s="14"/>
      <c r="X23" s="14"/>
      <c r="Y23" s="14"/>
    </row>
    <row r="24" spans="1:25">
      <c r="B24" s="654" t="s">
        <v>245</v>
      </c>
      <c r="C24" s="39" t="s">
        <v>246</v>
      </c>
      <c r="D24" s="39" t="s">
        <v>236</v>
      </c>
      <c r="E24" s="36" t="s">
        <v>9</v>
      </c>
      <c r="F24" s="36" t="s">
        <v>9</v>
      </c>
      <c r="G24" s="36">
        <v>1231289</v>
      </c>
      <c r="H24" s="36">
        <f t="shared" si="1"/>
        <v>1231289</v>
      </c>
      <c r="I24" s="40" t="s">
        <v>1600</v>
      </c>
      <c r="J24" s="12" t="s">
        <v>1670</v>
      </c>
      <c r="K24" s="14"/>
      <c r="L24" s="14"/>
      <c r="M24" s="14"/>
      <c r="N24" s="14"/>
      <c r="O24" s="14"/>
      <c r="P24" s="14"/>
      <c r="Q24" s="14"/>
      <c r="R24" s="14"/>
      <c r="S24" s="14"/>
      <c r="T24" s="14"/>
      <c r="U24" s="14"/>
      <c r="V24" s="14"/>
      <c r="W24" s="14"/>
      <c r="X24" s="14"/>
      <c r="Y24" s="14"/>
    </row>
    <row r="25" spans="1:25">
      <c r="B25" s="655"/>
      <c r="C25" s="10" t="s">
        <v>247</v>
      </c>
      <c r="D25" s="10" t="s">
        <v>238</v>
      </c>
      <c r="E25" s="5" t="s">
        <v>9</v>
      </c>
      <c r="F25" s="5" t="s">
        <v>9</v>
      </c>
      <c r="G25" s="5">
        <v>355197</v>
      </c>
      <c r="H25" s="5">
        <f t="shared" si="1"/>
        <v>355197</v>
      </c>
      <c r="I25" s="13" t="s">
        <v>12</v>
      </c>
      <c r="J25" s="12" t="s">
        <v>1601</v>
      </c>
      <c r="K25" s="14"/>
      <c r="L25" s="14"/>
      <c r="M25" s="14"/>
      <c r="N25" s="14"/>
      <c r="O25" s="14"/>
      <c r="P25" s="14"/>
      <c r="Q25" s="14"/>
      <c r="R25" s="14"/>
      <c r="S25" s="14"/>
      <c r="T25" s="14"/>
      <c r="U25" s="14"/>
      <c r="V25" s="14"/>
      <c r="W25" s="14"/>
      <c r="X25" s="14"/>
      <c r="Y25" s="14"/>
    </row>
    <row r="26" spans="1:25">
      <c r="B26" s="655"/>
      <c r="C26" s="10" t="s">
        <v>248</v>
      </c>
      <c r="D26" s="10" t="s">
        <v>240</v>
      </c>
      <c r="E26" s="5">
        <f>140895+140841</f>
        <v>281736</v>
      </c>
      <c r="F26" s="5" t="s">
        <v>9</v>
      </c>
      <c r="G26" s="5">
        <v>842660</v>
      </c>
      <c r="H26" s="5">
        <f t="shared" si="1"/>
        <v>1124396</v>
      </c>
      <c r="I26" s="13" t="s">
        <v>1602</v>
      </c>
      <c r="J26" s="12" t="s">
        <v>14</v>
      </c>
      <c r="K26" s="14"/>
      <c r="L26" s="14"/>
      <c r="M26" s="14"/>
      <c r="N26" s="14"/>
      <c r="O26" s="14"/>
      <c r="P26" s="14"/>
      <c r="Q26" s="14"/>
      <c r="R26" s="14"/>
      <c r="S26" s="14"/>
      <c r="T26" s="14"/>
      <c r="U26" s="14"/>
      <c r="V26" s="14"/>
      <c r="W26" s="14"/>
      <c r="X26" s="14"/>
      <c r="Y26" s="14"/>
    </row>
    <row r="27" spans="1:25">
      <c r="B27" s="655"/>
      <c r="C27" s="10" t="s">
        <v>249</v>
      </c>
      <c r="D27" s="10" t="s">
        <v>242</v>
      </c>
      <c r="E27" s="5">
        <f>141191+140841</f>
        <v>282032</v>
      </c>
      <c r="F27" s="5" t="s">
        <v>9</v>
      </c>
      <c r="G27" s="5">
        <v>842660</v>
      </c>
      <c r="H27" s="5">
        <f t="shared" si="1"/>
        <v>1124692</v>
      </c>
      <c r="I27" s="13" t="s">
        <v>1603</v>
      </c>
      <c r="J27" s="12" t="s">
        <v>16</v>
      </c>
      <c r="K27" s="14"/>
      <c r="L27" s="14"/>
      <c r="M27" s="14"/>
      <c r="N27" s="14"/>
      <c r="O27" s="14"/>
      <c r="P27" s="14"/>
      <c r="Q27" s="14"/>
      <c r="R27" s="14"/>
      <c r="S27" s="14"/>
      <c r="T27" s="14"/>
      <c r="U27" s="14"/>
      <c r="V27" s="14"/>
      <c r="W27" s="14"/>
      <c r="X27" s="14"/>
      <c r="Y27" s="14"/>
    </row>
    <row r="28" spans="1:25">
      <c r="B28" s="656"/>
      <c r="C28" s="24" t="s">
        <v>250</v>
      </c>
      <c r="D28" s="24" t="s">
        <v>244</v>
      </c>
      <c r="E28" s="26">
        <f>141191+140895</f>
        <v>282086</v>
      </c>
      <c r="F28" s="26" t="s">
        <v>9</v>
      </c>
      <c r="G28" s="5">
        <v>842660</v>
      </c>
      <c r="H28" s="26">
        <f t="shared" si="1"/>
        <v>1124746</v>
      </c>
      <c r="I28" s="27" t="s">
        <v>1604</v>
      </c>
      <c r="J28" s="49" t="s">
        <v>18</v>
      </c>
      <c r="K28" s="14"/>
      <c r="L28" s="14"/>
      <c r="M28" s="14"/>
      <c r="N28" s="14"/>
      <c r="O28" s="14"/>
      <c r="P28" s="14"/>
      <c r="Q28" s="14"/>
      <c r="R28" s="14"/>
      <c r="S28" s="14"/>
      <c r="T28" s="14"/>
      <c r="U28" s="14"/>
      <c r="V28" s="14"/>
      <c r="W28" s="14"/>
      <c r="X28" s="14"/>
      <c r="Y28" s="14"/>
    </row>
    <row r="29" spans="1:25">
      <c r="B29" s="654" t="s">
        <v>251</v>
      </c>
      <c r="C29" s="39" t="s">
        <v>252</v>
      </c>
      <c r="D29" s="39" t="s">
        <v>236</v>
      </c>
      <c r="E29" s="36" t="s">
        <v>9</v>
      </c>
      <c r="F29" s="36" t="s">
        <v>9</v>
      </c>
      <c r="G29" s="36">
        <v>926571</v>
      </c>
      <c r="H29" s="36">
        <f t="shared" si="1"/>
        <v>926571</v>
      </c>
      <c r="I29" s="40" t="s">
        <v>1600</v>
      </c>
      <c r="J29" s="12" t="s">
        <v>1670</v>
      </c>
      <c r="K29" s="14"/>
      <c r="L29" s="14"/>
      <c r="M29" s="14"/>
      <c r="N29" s="14"/>
      <c r="O29" s="14"/>
      <c r="P29" s="14"/>
      <c r="Q29" s="14"/>
      <c r="R29" s="14"/>
      <c r="S29" s="14"/>
      <c r="T29" s="14"/>
      <c r="U29" s="14"/>
      <c r="V29" s="14"/>
      <c r="W29" s="14"/>
      <c r="X29" s="14"/>
      <c r="Y29" s="14"/>
    </row>
    <row r="30" spans="1:25">
      <c r="B30" s="655"/>
      <c r="C30" s="10" t="s">
        <v>253</v>
      </c>
      <c r="D30" s="10" t="s">
        <v>12</v>
      </c>
      <c r="E30" s="5">
        <f>129735+129376+129430</f>
        <v>388541</v>
      </c>
      <c r="F30" s="5" t="s">
        <v>9</v>
      </c>
      <c r="G30" s="5" t="s">
        <v>9</v>
      </c>
      <c r="H30" s="5">
        <f t="shared" si="1"/>
        <v>388541</v>
      </c>
      <c r="I30" s="13" t="s">
        <v>12</v>
      </c>
      <c r="J30" s="12" t="s">
        <v>1601</v>
      </c>
      <c r="K30" s="14"/>
      <c r="L30" s="14"/>
      <c r="M30" s="14"/>
      <c r="N30" s="14"/>
      <c r="O30" s="14"/>
      <c r="P30" s="14"/>
      <c r="Q30" s="14"/>
      <c r="R30" s="14"/>
      <c r="S30" s="14"/>
      <c r="T30" s="14"/>
      <c r="U30" s="14"/>
      <c r="V30" s="14"/>
      <c r="W30" s="14"/>
      <c r="X30" s="14"/>
      <c r="Y30" s="14"/>
    </row>
    <row r="31" spans="1:25">
      <c r="B31" s="655"/>
      <c r="C31" s="10" t="s">
        <v>254</v>
      </c>
      <c r="D31" s="10" t="s">
        <v>240</v>
      </c>
      <c r="E31" s="5">
        <f>129376+129430</f>
        <v>258806</v>
      </c>
      <c r="F31" s="5" t="s">
        <v>9</v>
      </c>
      <c r="G31" s="5">
        <v>570286</v>
      </c>
      <c r="H31" s="5">
        <f t="shared" si="1"/>
        <v>829092</v>
      </c>
      <c r="I31" s="13" t="s">
        <v>1602</v>
      </c>
      <c r="J31" s="12" t="s">
        <v>14</v>
      </c>
      <c r="K31" s="14"/>
      <c r="L31" s="14"/>
      <c r="M31" s="14"/>
      <c r="N31" s="14"/>
      <c r="O31" s="14"/>
      <c r="P31" s="14"/>
      <c r="Q31" s="14"/>
      <c r="R31" s="14"/>
      <c r="S31" s="14"/>
      <c r="T31" s="14"/>
      <c r="U31" s="14"/>
      <c r="V31" s="14"/>
      <c r="W31" s="14"/>
      <c r="X31" s="14"/>
      <c r="Y31" s="14"/>
    </row>
    <row r="32" spans="1:25">
      <c r="B32" s="655"/>
      <c r="C32" s="10" t="s">
        <v>255</v>
      </c>
      <c r="D32" s="10" t="s">
        <v>242</v>
      </c>
      <c r="E32" s="5">
        <f>129735+129430</f>
        <v>259165</v>
      </c>
      <c r="F32" s="5" t="s">
        <v>9</v>
      </c>
      <c r="G32" s="5">
        <v>570286</v>
      </c>
      <c r="H32" s="5">
        <f t="shared" si="1"/>
        <v>829451</v>
      </c>
      <c r="I32" s="13" t="s">
        <v>1603</v>
      </c>
      <c r="J32" s="12" t="s">
        <v>16</v>
      </c>
      <c r="K32" s="14"/>
      <c r="L32" s="14"/>
      <c r="M32" s="14"/>
      <c r="N32" s="14"/>
      <c r="O32" s="14"/>
      <c r="P32" s="14"/>
      <c r="Q32" s="14"/>
      <c r="R32" s="14"/>
      <c r="S32" s="14"/>
      <c r="T32" s="14"/>
      <c r="U32" s="14"/>
      <c r="V32" s="14"/>
      <c r="W32" s="14"/>
      <c r="X32" s="14"/>
      <c r="Y32" s="14"/>
    </row>
    <row r="33" spans="2:25">
      <c r="B33" s="656"/>
      <c r="C33" s="24" t="s">
        <v>256</v>
      </c>
      <c r="D33" s="24" t="s">
        <v>244</v>
      </c>
      <c r="E33" s="26">
        <f>129735+129376</f>
        <v>259111</v>
      </c>
      <c r="F33" s="26" t="s">
        <v>9</v>
      </c>
      <c r="G33" s="5">
        <v>570286</v>
      </c>
      <c r="H33" s="26">
        <f t="shared" si="1"/>
        <v>829397</v>
      </c>
      <c r="I33" s="27" t="s">
        <v>1604</v>
      </c>
      <c r="J33" s="49" t="s">
        <v>18</v>
      </c>
      <c r="K33" s="14"/>
      <c r="L33" s="14"/>
      <c r="M33" s="14"/>
      <c r="N33" s="14"/>
      <c r="O33" s="14"/>
      <c r="P33" s="14"/>
      <c r="Q33" s="14"/>
      <c r="R33" s="14"/>
      <c r="S33" s="14"/>
      <c r="T33" s="14"/>
      <c r="U33" s="14"/>
      <c r="V33" s="14"/>
      <c r="W33" s="14"/>
      <c r="X33" s="14"/>
      <c r="Y33" s="14"/>
    </row>
    <row r="34" spans="2:25">
      <c r="B34" s="654" t="s">
        <v>258</v>
      </c>
      <c r="C34" s="39" t="s">
        <v>257</v>
      </c>
      <c r="D34" s="39" t="s">
        <v>236</v>
      </c>
      <c r="E34" s="36" t="s">
        <v>9</v>
      </c>
      <c r="F34" s="36" t="s">
        <v>9</v>
      </c>
      <c r="G34" s="36">
        <v>1320016</v>
      </c>
      <c r="H34" s="36">
        <f t="shared" si="1"/>
        <v>1320016</v>
      </c>
      <c r="I34" s="40" t="s">
        <v>1600</v>
      </c>
      <c r="J34" s="12" t="s">
        <v>1670</v>
      </c>
      <c r="K34" s="14"/>
      <c r="L34" s="14"/>
      <c r="M34" s="14"/>
      <c r="N34" s="14"/>
      <c r="O34" s="14"/>
      <c r="P34" s="14"/>
      <c r="Q34" s="14"/>
      <c r="R34" s="14"/>
      <c r="S34" s="14"/>
      <c r="T34" s="14"/>
      <c r="U34" s="14"/>
      <c r="V34" s="14"/>
      <c r="W34" s="14"/>
      <c r="X34" s="14"/>
      <c r="Y34" s="14"/>
    </row>
    <row r="35" spans="2:25">
      <c r="B35" s="655"/>
      <c r="C35" s="10" t="s">
        <v>259</v>
      </c>
      <c r="D35" s="10" t="s">
        <v>238</v>
      </c>
      <c r="E35" s="5" t="s">
        <v>9</v>
      </c>
      <c r="F35" s="5" t="s">
        <v>9</v>
      </c>
      <c r="G35" s="5">
        <v>355858</v>
      </c>
      <c r="H35" s="5">
        <f t="shared" si="1"/>
        <v>355858</v>
      </c>
      <c r="I35" s="13" t="s">
        <v>12</v>
      </c>
      <c r="J35" s="12" t="s">
        <v>1601</v>
      </c>
      <c r="K35" s="14"/>
      <c r="L35" s="14"/>
      <c r="M35" s="14"/>
      <c r="N35" s="14"/>
      <c r="O35" s="14"/>
      <c r="P35" s="14"/>
      <c r="Q35" s="14"/>
      <c r="R35" s="14"/>
      <c r="S35" s="14"/>
      <c r="T35" s="14"/>
      <c r="U35" s="14"/>
      <c r="V35" s="14"/>
      <c r="W35" s="14"/>
      <c r="X35" s="14"/>
      <c r="Y35" s="14"/>
    </row>
    <row r="36" spans="2:25">
      <c r="B36" s="655"/>
      <c r="C36" s="10" t="s">
        <v>260</v>
      </c>
      <c r="D36" s="10" t="s">
        <v>240</v>
      </c>
      <c r="E36" s="5">
        <f>141148+141090</f>
        <v>282238</v>
      </c>
      <c r="F36" s="5" t="s">
        <v>9</v>
      </c>
      <c r="G36" s="5">
        <v>930672</v>
      </c>
      <c r="H36" s="5">
        <f t="shared" si="1"/>
        <v>1212910</v>
      </c>
      <c r="I36" s="13" t="s">
        <v>1602</v>
      </c>
      <c r="J36" s="12" t="s">
        <v>14</v>
      </c>
      <c r="K36" s="14"/>
      <c r="L36" s="14"/>
      <c r="M36" s="14"/>
      <c r="N36" s="14"/>
      <c r="O36" s="14"/>
      <c r="P36" s="14"/>
      <c r="Q36" s="14"/>
      <c r="R36" s="14"/>
      <c r="S36" s="14"/>
      <c r="T36" s="14"/>
      <c r="U36" s="14"/>
      <c r="V36" s="14"/>
      <c r="W36" s="14"/>
      <c r="X36" s="14"/>
      <c r="Y36" s="14"/>
    </row>
    <row r="37" spans="2:25">
      <c r="B37" s="655"/>
      <c r="C37" s="10" t="s">
        <v>261</v>
      </c>
      <c r="D37" s="10" t="s">
        <v>242</v>
      </c>
      <c r="E37" s="5">
        <f>141429+141090</f>
        <v>282519</v>
      </c>
      <c r="F37" s="5" t="s">
        <v>9</v>
      </c>
      <c r="G37" s="5">
        <v>930672</v>
      </c>
      <c r="H37" s="5">
        <f t="shared" si="1"/>
        <v>1213191</v>
      </c>
      <c r="I37" s="13" t="s">
        <v>1603</v>
      </c>
      <c r="J37" s="12" t="s">
        <v>16</v>
      </c>
      <c r="K37" s="14"/>
      <c r="L37" s="14"/>
      <c r="M37" s="14"/>
      <c r="N37" s="14"/>
      <c r="O37" s="14"/>
      <c r="P37" s="14"/>
      <c r="Q37" s="14"/>
      <c r="R37" s="14"/>
      <c r="S37" s="14"/>
      <c r="T37" s="14"/>
      <c r="U37" s="14"/>
      <c r="V37" s="14"/>
      <c r="W37" s="14"/>
      <c r="X37" s="14"/>
      <c r="Y37" s="14"/>
    </row>
    <row r="38" spans="2:25">
      <c r="B38" s="656"/>
      <c r="C38" s="24" t="s">
        <v>262</v>
      </c>
      <c r="D38" s="24" t="s">
        <v>244</v>
      </c>
      <c r="E38" s="26">
        <f>141429+141148</f>
        <v>282577</v>
      </c>
      <c r="F38" s="26" t="s">
        <v>9</v>
      </c>
      <c r="G38" s="5">
        <v>930672</v>
      </c>
      <c r="H38" s="26">
        <f t="shared" si="1"/>
        <v>1213249</v>
      </c>
      <c r="I38" s="27" t="s">
        <v>1604</v>
      </c>
      <c r="J38" s="49" t="s">
        <v>18</v>
      </c>
      <c r="K38" s="14"/>
      <c r="L38" s="14"/>
      <c r="M38" s="14"/>
      <c r="N38" s="14"/>
      <c r="O38" s="14"/>
      <c r="P38" s="14"/>
      <c r="Q38" s="14"/>
      <c r="R38" s="14"/>
      <c r="S38" s="14"/>
      <c r="T38" s="14"/>
      <c r="U38" s="14"/>
      <c r="V38" s="14"/>
      <c r="W38" s="14"/>
      <c r="X38" s="14"/>
      <c r="Y38" s="14"/>
    </row>
    <row r="39" spans="2:25">
      <c r="B39" s="654" t="s">
        <v>264</v>
      </c>
      <c r="C39" s="39" t="s">
        <v>263</v>
      </c>
      <c r="D39" s="39" t="s">
        <v>236</v>
      </c>
      <c r="E39" s="36" t="s">
        <v>9</v>
      </c>
      <c r="F39" s="36" t="s">
        <v>9</v>
      </c>
      <c r="G39" s="36">
        <v>1253277</v>
      </c>
      <c r="H39" s="36">
        <f t="shared" si="1"/>
        <v>1253277</v>
      </c>
      <c r="I39" s="40" t="s">
        <v>1600</v>
      </c>
      <c r="J39" s="12" t="s">
        <v>1670</v>
      </c>
      <c r="K39" s="14"/>
      <c r="L39" s="14"/>
      <c r="M39" s="14"/>
      <c r="N39" s="14"/>
      <c r="O39" s="14"/>
      <c r="P39" s="14"/>
      <c r="Q39" s="14"/>
      <c r="R39" s="14"/>
      <c r="S39" s="14"/>
      <c r="T39" s="14"/>
      <c r="U39" s="14"/>
      <c r="V39" s="14"/>
      <c r="W39" s="14"/>
      <c r="X39" s="14"/>
      <c r="Y39" s="14"/>
    </row>
    <row r="40" spans="2:25">
      <c r="B40" s="655"/>
      <c r="C40" s="10" t="s">
        <v>265</v>
      </c>
      <c r="D40" s="10" t="s">
        <v>238</v>
      </c>
      <c r="E40" s="5" t="s">
        <v>9</v>
      </c>
      <c r="F40" s="5" t="s">
        <v>9</v>
      </c>
      <c r="G40" s="5">
        <v>355577</v>
      </c>
      <c r="H40" s="5">
        <f t="shared" si="1"/>
        <v>355577</v>
      </c>
      <c r="I40" s="13" t="s">
        <v>12</v>
      </c>
      <c r="J40" s="12" t="s">
        <v>1601</v>
      </c>
      <c r="K40" s="14"/>
      <c r="L40" s="14"/>
      <c r="M40" s="14"/>
      <c r="N40" s="14"/>
      <c r="O40" s="14"/>
      <c r="P40" s="14"/>
      <c r="Q40" s="14"/>
      <c r="R40" s="14"/>
      <c r="S40" s="14"/>
      <c r="T40" s="14"/>
      <c r="U40" s="14"/>
      <c r="V40" s="14"/>
      <c r="W40" s="14"/>
      <c r="X40" s="14"/>
      <c r="Y40" s="14"/>
    </row>
    <row r="41" spans="2:25">
      <c r="B41" s="655"/>
      <c r="C41" s="10" t="s">
        <v>266</v>
      </c>
      <c r="D41" s="10" t="s">
        <v>240</v>
      </c>
      <c r="E41" s="5">
        <f>141035+140964</f>
        <v>281999</v>
      </c>
      <c r="F41" s="5" t="s">
        <v>9</v>
      </c>
      <c r="G41" s="5">
        <v>864240</v>
      </c>
      <c r="H41" s="5">
        <f t="shared" si="1"/>
        <v>1146239</v>
      </c>
      <c r="I41" s="13" t="s">
        <v>1602</v>
      </c>
      <c r="J41" s="12" t="s">
        <v>14</v>
      </c>
      <c r="K41" s="14"/>
      <c r="L41" s="14"/>
      <c r="M41" s="14"/>
      <c r="N41" s="14"/>
      <c r="O41" s="14"/>
      <c r="P41" s="14"/>
      <c r="Q41" s="14"/>
      <c r="R41" s="14"/>
      <c r="S41" s="14"/>
      <c r="T41" s="14"/>
      <c r="U41" s="14"/>
      <c r="V41" s="14"/>
      <c r="W41" s="14"/>
      <c r="X41" s="14"/>
      <c r="Y41" s="14"/>
    </row>
    <row r="42" spans="2:25">
      <c r="B42" s="655"/>
      <c r="C42" s="10" t="s">
        <v>267</v>
      </c>
      <c r="D42" s="10" t="s">
        <v>242</v>
      </c>
      <c r="E42" s="5">
        <f>141331+140964</f>
        <v>282295</v>
      </c>
      <c r="F42" s="5" t="s">
        <v>9</v>
      </c>
      <c r="G42" s="5">
        <v>864240</v>
      </c>
      <c r="H42" s="5">
        <f t="shared" si="1"/>
        <v>1146535</v>
      </c>
      <c r="I42" s="13" t="s">
        <v>1603</v>
      </c>
      <c r="J42" s="12" t="s">
        <v>16</v>
      </c>
      <c r="K42" s="14"/>
      <c r="L42" s="14"/>
      <c r="M42" s="14"/>
      <c r="N42" s="14"/>
      <c r="O42" s="14"/>
      <c r="P42" s="14"/>
      <c r="Q42" s="14"/>
      <c r="R42" s="14"/>
      <c r="S42" s="14"/>
      <c r="T42" s="14"/>
      <c r="U42" s="14"/>
      <c r="V42" s="14"/>
      <c r="W42" s="14"/>
      <c r="X42" s="14"/>
      <c r="Y42" s="14"/>
    </row>
    <row r="43" spans="2:25">
      <c r="B43" s="656"/>
      <c r="C43" s="24" t="s">
        <v>268</v>
      </c>
      <c r="D43" s="24" t="s">
        <v>244</v>
      </c>
      <c r="E43" s="26">
        <f>141331+141035</f>
        <v>282366</v>
      </c>
      <c r="F43" s="26" t="s">
        <v>9</v>
      </c>
      <c r="G43" s="5">
        <v>864240</v>
      </c>
      <c r="H43" s="26">
        <f t="shared" si="1"/>
        <v>1146606</v>
      </c>
      <c r="I43" s="27" t="s">
        <v>1604</v>
      </c>
      <c r="J43" s="49" t="s">
        <v>18</v>
      </c>
      <c r="K43" s="14"/>
      <c r="L43" s="14"/>
      <c r="M43" s="14"/>
      <c r="N43" s="14"/>
      <c r="O43" s="14"/>
      <c r="P43" s="14"/>
      <c r="Q43" s="14"/>
      <c r="R43" s="14"/>
      <c r="S43" s="14"/>
      <c r="T43" s="14"/>
      <c r="U43" s="14"/>
      <c r="V43" s="14"/>
      <c r="W43" s="14"/>
      <c r="X43" s="14"/>
      <c r="Y43" s="14"/>
    </row>
    <row r="44" spans="2:25" ht="20.399999999999999">
      <c r="B44" s="654" t="s">
        <v>269</v>
      </c>
      <c r="C44" s="39" t="s">
        <v>270</v>
      </c>
      <c r="D44" s="39" t="s">
        <v>271</v>
      </c>
      <c r="E44" s="36" t="s">
        <v>9</v>
      </c>
      <c r="F44" s="36" t="s">
        <v>9</v>
      </c>
      <c r="G44" s="36">
        <v>757601</v>
      </c>
      <c r="H44" s="36">
        <f t="shared" si="1"/>
        <v>757601</v>
      </c>
      <c r="I44" s="40" t="s">
        <v>1605</v>
      </c>
      <c r="J44" s="47" t="s">
        <v>1671</v>
      </c>
      <c r="K44" s="14"/>
      <c r="L44" s="14"/>
      <c r="M44" s="14"/>
      <c r="N44" s="14"/>
      <c r="O44" s="14"/>
      <c r="P44" s="14"/>
      <c r="Q44" s="14"/>
      <c r="R44" s="14"/>
      <c r="S44" s="14"/>
      <c r="T44" s="14"/>
      <c r="U44" s="14"/>
      <c r="V44" s="14"/>
      <c r="W44" s="14"/>
      <c r="X44" s="14"/>
      <c r="Y44" s="14"/>
    </row>
    <row r="45" spans="2:25">
      <c r="B45" s="655"/>
      <c r="C45" s="10" t="s">
        <v>272</v>
      </c>
      <c r="D45" s="10" t="s">
        <v>12</v>
      </c>
      <c r="E45" s="5">
        <f>147811+147629+147585</f>
        <v>443025</v>
      </c>
      <c r="F45" s="5" t="s">
        <v>9</v>
      </c>
      <c r="G45" s="5" t="s">
        <v>9</v>
      </c>
      <c r="H45" s="5">
        <f t="shared" si="1"/>
        <v>443025</v>
      </c>
      <c r="I45" s="13" t="s">
        <v>12</v>
      </c>
      <c r="J45" s="13" t="s">
        <v>1606</v>
      </c>
      <c r="K45" s="14"/>
      <c r="L45" s="14"/>
      <c r="M45" s="14"/>
      <c r="N45" s="14"/>
      <c r="O45" s="14"/>
      <c r="P45" s="14"/>
      <c r="Q45" s="14"/>
      <c r="R45" s="14"/>
      <c r="S45" s="14"/>
      <c r="T45" s="14"/>
      <c r="U45" s="14"/>
      <c r="V45" s="14"/>
      <c r="W45" s="14"/>
      <c r="X45" s="14"/>
      <c r="Y45" s="14"/>
    </row>
    <row r="46" spans="2:25">
      <c r="B46" s="655"/>
      <c r="C46" s="10" t="s">
        <v>273</v>
      </c>
      <c r="D46" s="10" t="s">
        <v>274</v>
      </c>
      <c r="E46" s="5">
        <f>147629+147585</f>
        <v>295214</v>
      </c>
      <c r="F46" s="5" t="s">
        <v>9</v>
      </c>
      <c r="G46" s="5">
        <v>299024</v>
      </c>
      <c r="H46" s="5">
        <f t="shared" si="1"/>
        <v>594238</v>
      </c>
      <c r="I46" s="13" t="s">
        <v>41</v>
      </c>
      <c r="J46" s="12" t="s">
        <v>14</v>
      </c>
      <c r="K46" s="14"/>
      <c r="L46" s="14"/>
      <c r="M46" s="14"/>
      <c r="N46" s="14"/>
      <c r="O46" s="14"/>
      <c r="P46" s="14"/>
      <c r="Q46" s="14"/>
      <c r="R46" s="14"/>
      <c r="S46" s="14"/>
      <c r="T46" s="14"/>
      <c r="U46" s="14"/>
      <c r="V46" s="14"/>
      <c r="W46" s="14"/>
      <c r="X46" s="14"/>
      <c r="Y46" s="14"/>
    </row>
    <row r="47" spans="2:25">
      <c r="B47" s="655"/>
      <c r="C47" s="10" t="s">
        <v>275</v>
      </c>
      <c r="D47" s="10" t="s">
        <v>276</v>
      </c>
      <c r="E47" s="5">
        <f>147811+147585</f>
        <v>295396</v>
      </c>
      <c r="F47" s="5" t="s">
        <v>9</v>
      </c>
      <c r="G47" s="5">
        <v>299024</v>
      </c>
      <c r="H47" s="5">
        <f t="shared" si="1"/>
        <v>594420</v>
      </c>
      <c r="I47" s="13" t="s">
        <v>43</v>
      </c>
      <c r="J47" s="12" t="s">
        <v>16</v>
      </c>
      <c r="K47" s="14"/>
      <c r="L47" s="14"/>
      <c r="M47" s="14"/>
      <c r="N47" s="14"/>
      <c r="O47" s="14"/>
      <c r="P47" s="14"/>
      <c r="Q47" s="14"/>
      <c r="R47" s="14"/>
      <c r="S47" s="14"/>
      <c r="T47" s="14"/>
      <c r="U47" s="14"/>
      <c r="V47" s="14"/>
      <c r="W47" s="14"/>
      <c r="X47" s="14"/>
      <c r="Y47" s="14"/>
    </row>
    <row r="48" spans="2:25">
      <c r="B48" s="656"/>
      <c r="C48" s="24" t="s">
        <v>277</v>
      </c>
      <c r="D48" s="24" t="s">
        <v>278</v>
      </c>
      <c r="E48" s="26">
        <f>147811+147629</f>
        <v>295440</v>
      </c>
      <c r="F48" s="26" t="s">
        <v>9</v>
      </c>
      <c r="G48" s="26">
        <v>299024</v>
      </c>
      <c r="H48" s="26">
        <f t="shared" si="1"/>
        <v>594464</v>
      </c>
      <c r="I48" s="27" t="s">
        <v>45</v>
      </c>
      <c r="J48" s="49" t="s">
        <v>18</v>
      </c>
      <c r="K48" s="14"/>
      <c r="L48" s="14"/>
      <c r="M48" s="14"/>
      <c r="N48" s="14"/>
      <c r="O48" s="14"/>
      <c r="P48" s="14"/>
      <c r="Q48" s="14"/>
      <c r="R48" s="14"/>
      <c r="S48" s="14"/>
      <c r="T48" s="14"/>
      <c r="U48" s="14"/>
      <c r="V48" s="14"/>
      <c r="W48" s="14"/>
      <c r="X48" s="14"/>
      <c r="Y48" s="14"/>
    </row>
    <row r="49" spans="1:25" ht="20.399999999999999">
      <c r="B49" s="654" t="s">
        <v>279</v>
      </c>
      <c r="C49" s="39" t="s">
        <v>280</v>
      </c>
      <c r="D49" s="39" t="s">
        <v>271</v>
      </c>
      <c r="E49" s="36" t="s">
        <v>9</v>
      </c>
      <c r="F49" s="36" t="s">
        <v>9</v>
      </c>
      <c r="G49" s="36">
        <v>745820</v>
      </c>
      <c r="H49" s="36">
        <f t="shared" si="1"/>
        <v>745820</v>
      </c>
      <c r="I49" s="40" t="s">
        <v>1605</v>
      </c>
      <c r="J49" s="47" t="s">
        <v>1671</v>
      </c>
      <c r="K49" s="14"/>
      <c r="L49" s="14"/>
      <c r="M49" s="14"/>
      <c r="N49" s="14"/>
      <c r="O49" s="14"/>
      <c r="P49" s="14"/>
      <c r="Q49" s="14"/>
      <c r="R49" s="14"/>
      <c r="S49" s="14"/>
      <c r="T49" s="14"/>
      <c r="U49" s="14"/>
      <c r="V49" s="14"/>
      <c r="W49" s="14"/>
      <c r="X49" s="14"/>
      <c r="Y49" s="14"/>
    </row>
    <row r="50" spans="1:25">
      <c r="B50" s="655"/>
      <c r="C50" s="10" t="s">
        <v>281</v>
      </c>
      <c r="D50" s="10" t="s">
        <v>12</v>
      </c>
      <c r="E50" s="5">
        <f>147810+147628+147585</f>
        <v>443023</v>
      </c>
      <c r="F50" s="5" t="s">
        <v>9</v>
      </c>
      <c r="G50" s="5" t="s">
        <v>9</v>
      </c>
      <c r="H50" s="5">
        <f t="shared" si="1"/>
        <v>443023</v>
      </c>
      <c r="I50" s="13" t="s">
        <v>12</v>
      </c>
      <c r="J50" s="13" t="s">
        <v>1606</v>
      </c>
      <c r="K50" s="14"/>
      <c r="L50" s="14"/>
      <c r="M50" s="14"/>
      <c r="N50" s="14"/>
      <c r="O50" s="14"/>
      <c r="P50" s="14"/>
      <c r="Q50" s="14"/>
      <c r="R50" s="14"/>
      <c r="S50" s="14"/>
      <c r="T50" s="14"/>
      <c r="U50" s="14"/>
      <c r="V50" s="14"/>
      <c r="W50" s="14"/>
      <c r="X50" s="14"/>
      <c r="Y50" s="14"/>
    </row>
    <row r="51" spans="1:25">
      <c r="B51" s="655"/>
      <c r="C51" s="10" t="s">
        <v>282</v>
      </c>
      <c r="D51" s="10" t="s">
        <v>274</v>
      </c>
      <c r="E51" s="5">
        <f>147628+147585</f>
        <v>295213</v>
      </c>
      <c r="F51" s="5" t="s">
        <v>9</v>
      </c>
      <c r="G51" s="5">
        <v>287245</v>
      </c>
      <c r="H51" s="5">
        <f t="shared" si="1"/>
        <v>582458</v>
      </c>
      <c r="I51" s="13" t="s">
        <v>41</v>
      </c>
      <c r="J51" s="12" t="s">
        <v>14</v>
      </c>
      <c r="K51" s="14"/>
      <c r="L51" s="14"/>
      <c r="M51" s="14"/>
      <c r="N51" s="14"/>
      <c r="O51" s="14"/>
      <c r="P51" s="14"/>
      <c r="Q51" s="14"/>
      <c r="R51" s="14"/>
      <c r="S51" s="14"/>
      <c r="T51" s="14"/>
      <c r="U51" s="14"/>
      <c r="V51" s="14"/>
      <c r="W51" s="14"/>
      <c r="X51" s="14"/>
      <c r="Y51" s="14"/>
    </row>
    <row r="52" spans="1:25">
      <c r="B52" s="655"/>
      <c r="C52" s="10" t="s">
        <v>283</v>
      </c>
      <c r="D52" s="10" t="s">
        <v>276</v>
      </c>
      <c r="E52" s="5">
        <f>147810+147585</f>
        <v>295395</v>
      </c>
      <c r="F52" s="5" t="s">
        <v>9</v>
      </c>
      <c r="G52" s="5">
        <v>287245</v>
      </c>
      <c r="H52" s="5">
        <f t="shared" si="1"/>
        <v>582640</v>
      </c>
      <c r="I52" s="13" t="s">
        <v>43</v>
      </c>
      <c r="J52" s="12" t="s">
        <v>16</v>
      </c>
      <c r="K52" s="14"/>
      <c r="L52" s="14"/>
      <c r="M52" s="14"/>
      <c r="N52" s="14"/>
      <c r="O52" s="14"/>
      <c r="P52" s="14"/>
      <c r="Q52" s="14"/>
      <c r="R52" s="14"/>
      <c r="S52" s="14"/>
      <c r="T52" s="14"/>
      <c r="U52" s="14"/>
      <c r="V52" s="14"/>
      <c r="W52" s="14"/>
      <c r="X52" s="14"/>
      <c r="Y52" s="14"/>
    </row>
    <row r="53" spans="1:25">
      <c r="B53" s="656"/>
      <c r="C53" s="24" t="s">
        <v>284</v>
      </c>
      <c r="D53" s="24" t="s">
        <v>278</v>
      </c>
      <c r="E53" s="26">
        <f>147810+147628</f>
        <v>295438</v>
      </c>
      <c r="F53" s="26" t="s">
        <v>9</v>
      </c>
      <c r="G53" s="26">
        <v>287245</v>
      </c>
      <c r="H53" s="26">
        <f t="shared" si="1"/>
        <v>582683</v>
      </c>
      <c r="I53" s="27" t="s">
        <v>45</v>
      </c>
      <c r="J53" s="49" t="s">
        <v>18</v>
      </c>
      <c r="K53" s="14"/>
      <c r="L53" s="14"/>
      <c r="M53" s="14"/>
      <c r="N53" s="14"/>
      <c r="O53" s="14"/>
      <c r="P53" s="14"/>
      <c r="Q53" s="14"/>
      <c r="R53" s="14"/>
      <c r="S53" s="14"/>
      <c r="T53" s="14"/>
      <c r="U53" s="14"/>
      <c r="V53" s="14"/>
      <c r="W53" s="14"/>
      <c r="X53" s="14"/>
      <c r="Y53" s="14"/>
    </row>
    <row r="54" spans="1:25" ht="20.399999999999999">
      <c r="B54" s="654" t="s">
        <v>285</v>
      </c>
      <c r="C54" s="39" t="s">
        <v>286</v>
      </c>
      <c r="D54" s="39" t="s">
        <v>271</v>
      </c>
      <c r="E54" s="36" t="s">
        <v>9</v>
      </c>
      <c r="F54" s="36" t="s">
        <v>9</v>
      </c>
      <c r="G54" s="36">
        <v>745820</v>
      </c>
      <c r="H54" s="36">
        <f t="shared" si="1"/>
        <v>745820</v>
      </c>
      <c r="I54" s="40" t="s">
        <v>1605</v>
      </c>
      <c r="J54" s="47" t="s">
        <v>1671</v>
      </c>
      <c r="K54" s="14"/>
      <c r="L54" s="14"/>
      <c r="M54" s="14"/>
      <c r="N54" s="14"/>
      <c r="O54" s="14"/>
      <c r="P54" s="14"/>
      <c r="Q54" s="14"/>
      <c r="R54" s="14"/>
      <c r="S54" s="14"/>
      <c r="T54" s="14"/>
      <c r="U54" s="14"/>
      <c r="V54" s="14"/>
      <c r="W54" s="14"/>
      <c r="X54" s="14"/>
      <c r="Y54" s="14"/>
    </row>
    <row r="55" spans="1:25">
      <c r="B55" s="655"/>
      <c r="C55" s="10" t="s">
        <v>287</v>
      </c>
      <c r="D55" s="10" t="s">
        <v>12</v>
      </c>
      <c r="E55" s="5">
        <f>147810+147628+147585</f>
        <v>443023</v>
      </c>
      <c r="F55" s="5" t="s">
        <v>9</v>
      </c>
      <c r="G55" s="5" t="s">
        <v>9</v>
      </c>
      <c r="H55" s="5">
        <f t="shared" si="1"/>
        <v>443023</v>
      </c>
      <c r="I55" s="13" t="s">
        <v>12</v>
      </c>
      <c r="J55" s="13" t="s">
        <v>1606</v>
      </c>
      <c r="K55" s="14"/>
      <c r="L55" s="14"/>
      <c r="M55" s="14"/>
      <c r="N55" s="14"/>
      <c r="O55" s="14"/>
      <c r="P55" s="14"/>
      <c r="Q55" s="14"/>
      <c r="R55" s="14"/>
      <c r="S55" s="14"/>
      <c r="T55" s="14"/>
      <c r="U55" s="14"/>
      <c r="V55" s="14"/>
      <c r="W55" s="14"/>
      <c r="X55" s="14"/>
      <c r="Y55" s="14"/>
    </row>
    <row r="56" spans="1:25">
      <c r="B56" s="655"/>
      <c r="C56" s="10" t="s">
        <v>288</v>
      </c>
      <c r="D56" s="10" t="s">
        <v>274</v>
      </c>
      <c r="E56" s="5">
        <f>147628+147585</f>
        <v>295213</v>
      </c>
      <c r="F56" s="5" t="s">
        <v>9</v>
      </c>
      <c r="G56" s="5">
        <v>287245</v>
      </c>
      <c r="H56" s="5">
        <f t="shared" si="1"/>
        <v>582458</v>
      </c>
      <c r="I56" s="13" t="s">
        <v>41</v>
      </c>
      <c r="J56" s="12" t="s">
        <v>14</v>
      </c>
      <c r="K56" s="14"/>
      <c r="L56" s="14"/>
      <c r="M56" s="14"/>
      <c r="N56" s="14"/>
      <c r="O56" s="14"/>
      <c r="P56" s="14"/>
      <c r="Q56" s="14"/>
      <c r="R56" s="14"/>
      <c r="S56" s="14"/>
      <c r="T56" s="14"/>
      <c r="U56" s="14"/>
      <c r="V56" s="14"/>
      <c r="W56" s="14"/>
      <c r="X56" s="14"/>
      <c r="Y56" s="14"/>
    </row>
    <row r="57" spans="1:25">
      <c r="B57" s="655"/>
      <c r="C57" s="10" t="s">
        <v>289</v>
      </c>
      <c r="D57" s="10" t="s">
        <v>276</v>
      </c>
      <c r="E57" s="5">
        <f>147810+147585</f>
        <v>295395</v>
      </c>
      <c r="F57" s="5" t="s">
        <v>9</v>
      </c>
      <c r="G57" s="5">
        <v>287245</v>
      </c>
      <c r="H57" s="5">
        <f t="shared" si="1"/>
        <v>582640</v>
      </c>
      <c r="I57" s="13" t="s">
        <v>43</v>
      </c>
      <c r="J57" s="12" t="s">
        <v>16</v>
      </c>
      <c r="K57" s="14"/>
      <c r="L57" s="14"/>
      <c r="M57" s="14"/>
      <c r="N57" s="14"/>
      <c r="O57" s="14"/>
      <c r="P57" s="14"/>
      <c r="Q57" s="14"/>
      <c r="R57" s="14"/>
      <c r="S57" s="14"/>
      <c r="T57" s="14"/>
      <c r="U57" s="14"/>
      <c r="V57" s="14"/>
      <c r="W57" s="14"/>
      <c r="X57" s="14"/>
      <c r="Y57" s="14"/>
    </row>
    <row r="58" spans="1:25">
      <c r="B58" s="656"/>
      <c r="C58" s="24" t="s">
        <v>290</v>
      </c>
      <c r="D58" s="24" t="s">
        <v>278</v>
      </c>
      <c r="E58" s="26">
        <f>147810+147628</f>
        <v>295438</v>
      </c>
      <c r="F58" s="26" t="s">
        <v>9</v>
      </c>
      <c r="G58" s="26">
        <v>287245</v>
      </c>
      <c r="H58" s="26">
        <f t="shared" si="1"/>
        <v>582683</v>
      </c>
      <c r="I58" s="27" t="s">
        <v>45</v>
      </c>
      <c r="J58" s="49" t="s">
        <v>18</v>
      </c>
      <c r="K58" s="14"/>
      <c r="L58" s="14"/>
      <c r="M58" s="14"/>
      <c r="N58" s="14"/>
      <c r="O58" s="14"/>
      <c r="P58" s="14"/>
      <c r="Q58" s="14"/>
      <c r="R58" s="14"/>
      <c r="S58" s="14"/>
      <c r="T58" s="14"/>
      <c r="U58" s="14"/>
      <c r="V58" s="14"/>
      <c r="W58" s="14"/>
      <c r="X58" s="14"/>
      <c r="Y58" s="14"/>
    </row>
    <row r="59" spans="1:25">
      <c r="B59" s="10"/>
      <c r="C59" s="10"/>
      <c r="D59" s="10"/>
      <c r="E59" s="5"/>
      <c r="F59" s="5"/>
      <c r="G59" s="5"/>
      <c r="H59" s="5"/>
      <c r="I59" s="13"/>
      <c r="K59" s="14"/>
      <c r="L59" s="14"/>
      <c r="M59" s="14"/>
      <c r="N59" s="14"/>
      <c r="O59" s="14"/>
      <c r="P59" s="14"/>
      <c r="Q59" s="14"/>
      <c r="R59" s="14"/>
      <c r="S59" s="14"/>
      <c r="T59" s="14"/>
      <c r="U59" s="14"/>
      <c r="V59" s="14"/>
      <c r="W59" s="14"/>
      <c r="X59" s="14"/>
      <c r="Y59" s="14"/>
    </row>
    <row r="60" spans="1:25">
      <c r="A60" s="51" t="s">
        <v>32</v>
      </c>
      <c r="B60" s="52"/>
      <c r="C60" s="52"/>
      <c r="D60" s="52"/>
      <c r="E60" s="53"/>
      <c r="F60" s="53"/>
      <c r="G60" s="53"/>
      <c r="H60" s="53"/>
      <c r="I60" s="54"/>
      <c r="J60" s="55"/>
      <c r="K60" s="14"/>
      <c r="L60" s="14"/>
      <c r="M60" s="14"/>
      <c r="N60" s="14"/>
      <c r="O60" s="14"/>
      <c r="P60" s="14"/>
      <c r="Q60" s="14"/>
      <c r="R60" s="14"/>
      <c r="S60" s="14"/>
      <c r="T60" s="14"/>
      <c r="U60" s="14"/>
      <c r="V60" s="14"/>
      <c r="W60" s="14"/>
      <c r="X60" s="14"/>
      <c r="Y60" s="14"/>
    </row>
    <row r="61" spans="1:25" ht="20.399999999999999">
      <c r="A61" s="661"/>
      <c r="B61" s="614" t="s">
        <v>33</v>
      </c>
      <c r="C61" s="15" t="s">
        <v>34</v>
      </c>
      <c r="D61" s="10" t="s">
        <v>1177</v>
      </c>
      <c r="E61" s="5" t="s">
        <v>9</v>
      </c>
      <c r="F61" s="11">
        <v>363646</v>
      </c>
      <c r="G61" s="5" t="s">
        <v>1522</v>
      </c>
      <c r="H61" s="5" t="s">
        <v>1481</v>
      </c>
      <c r="I61" s="13" t="s">
        <v>1607</v>
      </c>
      <c r="J61" s="12" t="s">
        <v>1646</v>
      </c>
      <c r="K61" s="14"/>
      <c r="L61" s="14"/>
      <c r="M61" s="14"/>
      <c r="N61" s="14"/>
      <c r="O61" s="14"/>
      <c r="P61" s="14"/>
      <c r="Q61" s="14"/>
      <c r="R61" s="14"/>
      <c r="S61" s="14"/>
      <c r="T61" s="14"/>
      <c r="U61" s="14"/>
      <c r="V61" s="14"/>
      <c r="W61" s="14"/>
      <c r="X61" s="14"/>
      <c r="Y61" s="14"/>
    </row>
    <row r="62" spans="1:25">
      <c r="A62" s="661"/>
      <c r="B62" s="614"/>
      <c r="C62" s="15" t="s">
        <v>35</v>
      </c>
      <c r="D62" s="10" t="s">
        <v>1224</v>
      </c>
      <c r="E62" s="5" t="s">
        <v>9</v>
      </c>
      <c r="F62" s="5" t="s">
        <v>9</v>
      </c>
      <c r="G62" s="11">
        <v>762917</v>
      </c>
      <c r="H62" s="5">
        <f>SUM(E62:G62)</f>
        <v>762917</v>
      </c>
      <c r="I62" s="13" t="s">
        <v>36</v>
      </c>
      <c r="J62" s="9" t="s">
        <v>1608</v>
      </c>
      <c r="K62" s="14"/>
      <c r="L62" s="14"/>
      <c r="M62" s="14"/>
      <c r="N62" s="14"/>
      <c r="O62" s="14"/>
      <c r="P62" s="14"/>
      <c r="Q62" s="14"/>
      <c r="R62" s="14"/>
      <c r="S62" s="14"/>
      <c r="T62" s="14"/>
      <c r="U62" s="14"/>
      <c r="V62" s="14"/>
      <c r="W62" s="14"/>
      <c r="X62" s="14"/>
      <c r="Y62" s="14"/>
    </row>
    <row r="63" spans="1:25">
      <c r="A63" s="661"/>
      <c r="B63" s="614"/>
      <c r="C63" s="15" t="s">
        <v>37</v>
      </c>
      <c r="D63" s="10" t="s">
        <v>1178</v>
      </c>
      <c r="E63" s="5" t="s">
        <v>9</v>
      </c>
      <c r="F63" s="11">
        <v>363646</v>
      </c>
      <c r="G63" s="5" t="s">
        <v>1480</v>
      </c>
      <c r="H63" s="5" t="s">
        <v>1482</v>
      </c>
      <c r="I63" s="13" t="s">
        <v>1609</v>
      </c>
      <c r="J63" s="9" t="s">
        <v>38</v>
      </c>
      <c r="K63" s="14"/>
      <c r="L63" s="14"/>
      <c r="M63" s="14"/>
      <c r="N63" s="14"/>
      <c r="O63" s="14"/>
      <c r="P63" s="14"/>
      <c r="Q63" s="14"/>
      <c r="R63" s="14"/>
      <c r="S63" s="14"/>
      <c r="T63" s="14"/>
      <c r="U63" s="14"/>
      <c r="V63" s="14"/>
      <c r="W63" s="14"/>
      <c r="X63" s="14"/>
      <c r="Y63" s="14"/>
    </row>
    <row r="64" spans="1:25">
      <c r="A64" s="661"/>
      <c r="B64" s="614"/>
      <c r="C64" s="15" t="s">
        <v>39</v>
      </c>
      <c r="D64" s="10" t="s">
        <v>1176</v>
      </c>
      <c r="E64" s="5" t="s">
        <v>9</v>
      </c>
      <c r="F64" s="11">
        <v>363646</v>
      </c>
      <c r="G64" s="5">
        <v>63836</v>
      </c>
      <c r="H64" s="5">
        <f>SUM(E64:G64)</f>
        <v>427482</v>
      </c>
      <c r="I64" s="10" t="s">
        <v>49</v>
      </c>
      <c r="J64" s="9" t="s">
        <v>12</v>
      </c>
      <c r="K64" s="14"/>
      <c r="L64" s="14"/>
      <c r="M64" s="14"/>
      <c r="N64" s="14"/>
      <c r="O64" s="14"/>
      <c r="P64" s="14"/>
      <c r="Q64" s="14"/>
      <c r="R64" s="14"/>
      <c r="S64" s="14"/>
      <c r="T64" s="14"/>
      <c r="U64" s="14"/>
      <c r="V64" s="14"/>
      <c r="W64" s="14"/>
      <c r="X64" s="14"/>
      <c r="Y64" s="14"/>
    </row>
    <row r="65" spans="2:25" ht="20.399999999999999">
      <c r="B65" s="42" t="s">
        <v>46</v>
      </c>
      <c r="C65" s="42" t="s">
        <v>47</v>
      </c>
      <c r="D65" s="42" t="s">
        <v>48</v>
      </c>
      <c r="E65" s="43" t="s">
        <v>9</v>
      </c>
      <c r="F65" s="43">
        <v>172503</v>
      </c>
      <c r="G65" s="43" t="s">
        <v>9</v>
      </c>
      <c r="H65" s="43">
        <f t="shared" ref="H65:H85" si="2">SUM(E65:G65)</f>
        <v>172503</v>
      </c>
      <c r="I65" s="44" t="s">
        <v>49</v>
      </c>
      <c r="J65" s="45" t="s">
        <v>1647</v>
      </c>
      <c r="K65" s="14"/>
      <c r="L65" s="14"/>
      <c r="M65" s="14"/>
      <c r="N65" s="14"/>
      <c r="O65" s="14"/>
      <c r="P65" s="14"/>
      <c r="Q65" s="14"/>
      <c r="R65" s="14"/>
      <c r="S65" s="14"/>
      <c r="T65" s="14"/>
      <c r="U65" s="14"/>
      <c r="V65" s="14"/>
      <c r="W65" s="14"/>
      <c r="X65" s="14"/>
      <c r="Y65" s="14"/>
    </row>
    <row r="66" spans="2:25" ht="22" customHeight="1">
      <c r="B66" s="652" t="s">
        <v>50</v>
      </c>
      <c r="C66" s="39" t="s">
        <v>51</v>
      </c>
      <c r="D66" s="39" t="s">
        <v>52</v>
      </c>
      <c r="E66" s="46">
        <v>225056</v>
      </c>
      <c r="F66" s="36" t="s">
        <v>9</v>
      </c>
      <c r="G66" s="36">
        <v>35298</v>
      </c>
      <c r="H66" s="36">
        <f t="shared" si="2"/>
        <v>260354</v>
      </c>
      <c r="I66" s="40" t="s">
        <v>53</v>
      </c>
      <c r="J66" s="47" t="s">
        <v>1648</v>
      </c>
      <c r="K66" s="14"/>
      <c r="L66" s="14"/>
      <c r="M66" s="14"/>
      <c r="N66" s="14"/>
      <c r="O66" s="14"/>
      <c r="P66" s="14"/>
      <c r="Q66" s="14"/>
      <c r="R66" s="14"/>
      <c r="S66" s="14"/>
      <c r="T66" s="14"/>
      <c r="U66" s="14"/>
      <c r="V66" s="14"/>
      <c r="W66" s="14"/>
      <c r="X66" s="14"/>
      <c r="Y66" s="14"/>
    </row>
    <row r="67" spans="2:25">
      <c r="B67" s="645"/>
      <c r="C67" s="10" t="s">
        <v>54</v>
      </c>
      <c r="D67" s="10" t="s">
        <v>12</v>
      </c>
      <c r="E67" s="11">
        <v>225056</v>
      </c>
      <c r="F67" s="5" t="s">
        <v>9</v>
      </c>
      <c r="G67" s="5" t="s">
        <v>9</v>
      </c>
      <c r="H67" s="5">
        <f t="shared" si="2"/>
        <v>225056</v>
      </c>
      <c r="I67" s="13" t="s">
        <v>12</v>
      </c>
      <c r="J67" s="9" t="s">
        <v>55</v>
      </c>
      <c r="K67" s="14"/>
      <c r="L67" s="14"/>
      <c r="M67" s="14"/>
      <c r="N67" s="14"/>
      <c r="O67" s="14"/>
      <c r="P67" s="14"/>
      <c r="Q67" s="14"/>
      <c r="R67" s="14"/>
      <c r="S67" s="14"/>
      <c r="T67" s="14"/>
      <c r="U67" s="14"/>
      <c r="V67" s="14"/>
      <c r="W67" s="14"/>
      <c r="X67" s="14"/>
      <c r="Y67" s="14"/>
    </row>
    <row r="68" spans="2:25">
      <c r="B68" s="645"/>
      <c r="C68" s="10" t="s">
        <v>56</v>
      </c>
      <c r="D68" s="10" t="s">
        <v>57</v>
      </c>
      <c r="E68" s="11">
        <v>144445</v>
      </c>
      <c r="F68" s="5" t="s">
        <v>9</v>
      </c>
      <c r="G68" s="5">
        <v>35298</v>
      </c>
      <c r="H68" s="5">
        <f t="shared" si="2"/>
        <v>179743</v>
      </c>
      <c r="I68" s="13" t="s">
        <v>58</v>
      </c>
      <c r="J68" s="9" t="s">
        <v>14</v>
      </c>
      <c r="K68" s="14"/>
      <c r="L68" s="14"/>
      <c r="M68" s="14"/>
      <c r="N68" s="14"/>
      <c r="O68" s="14"/>
      <c r="P68" s="14"/>
      <c r="Q68" s="14"/>
      <c r="R68" s="14"/>
      <c r="S68" s="14"/>
      <c r="T68" s="14"/>
      <c r="U68" s="14"/>
      <c r="V68" s="14"/>
      <c r="W68" s="14"/>
      <c r="X68" s="14"/>
      <c r="Y68" s="14"/>
    </row>
    <row r="69" spans="2:25">
      <c r="B69" s="645"/>
      <c r="C69" s="10" t="s">
        <v>59</v>
      </c>
      <c r="D69" s="10" t="s">
        <v>60</v>
      </c>
      <c r="E69" s="11">
        <v>153452</v>
      </c>
      <c r="F69" s="5" t="s">
        <v>9</v>
      </c>
      <c r="G69" s="5">
        <v>35298</v>
      </c>
      <c r="H69" s="5">
        <f t="shared" si="2"/>
        <v>188750</v>
      </c>
      <c r="I69" s="13" t="s">
        <v>61</v>
      </c>
      <c r="J69" s="9" t="s">
        <v>16</v>
      </c>
      <c r="K69" s="14"/>
      <c r="L69" s="14"/>
      <c r="M69" s="14"/>
      <c r="N69" s="14"/>
      <c r="O69" s="14"/>
      <c r="P69" s="14"/>
      <c r="Q69" s="14"/>
      <c r="R69" s="14"/>
      <c r="S69" s="14"/>
      <c r="T69" s="14"/>
      <c r="U69" s="14"/>
      <c r="V69" s="14"/>
      <c r="W69" s="14"/>
      <c r="X69" s="14"/>
      <c r="Y69" s="14"/>
    </row>
    <row r="70" spans="2:25">
      <c r="B70" s="653"/>
      <c r="C70" s="24" t="s">
        <v>62</v>
      </c>
      <c r="D70" s="24" t="s">
        <v>63</v>
      </c>
      <c r="E70" s="25">
        <v>152215</v>
      </c>
      <c r="F70" s="26" t="s">
        <v>9</v>
      </c>
      <c r="G70" s="26">
        <v>35298</v>
      </c>
      <c r="H70" s="26">
        <f t="shared" si="2"/>
        <v>187513</v>
      </c>
      <c r="I70" s="27" t="s">
        <v>64</v>
      </c>
      <c r="J70" s="28" t="s">
        <v>18</v>
      </c>
      <c r="K70" s="14"/>
      <c r="L70" s="14"/>
      <c r="M70" s="14"/>
      <c r="N70" s="14"/>
      <c r="O70" s="14"/>
      <c r="P70" s="14"/>
      <c r="Q70" s="14"/>
      <c r="R70" s="14"/>
      <c r="S70" s="14"/>
      <c r="T70" s="14"/>
      <c r="U70" s="14"/>
      <c r="V70" s="14"/>
      <c r="W70" s="14"/>
      <c r="X70" s="14"/>
      <c r="Y70" s="14"/>
    </row>
    <row r="71" spans="2:25" ht="20.399999999999999">
      <c r="B71" s="652" t="s">
        <v>65</v>
      </c>
      <c r="C71" s="39" t="s">
        <v>66</v>
      </c>
      <c r="D71" s="39" t="s">
        <v>67</v>
      </c>
      <c r="E71" s="46" t="s">
        <v>9</v>
      </c>
      <c r="F71" s="36">
        <v>2272216</v>
      </c>
      <c r="G71" s="36">
        <v>765283.06</v>
      </c>
      <c r="H71" s="36">
        <f t="shared" si="2"/>
        <v>3037499.06</v>
      </c>
      <c r="I71" s="47" t="s">
        <v>1610</v>
      </c>
      <c r="J71" s="38" t="s">
        <v>1672</v>
      </c>
      <c r="K71" s="14"/>
      <c r="L71" s="14"/>
      <c r="M71" s="14"/>
      <c r="N71" s="14"/>
      <c r="O71" s="14"/>
      <c r="P71" s="14"/>
      <c r="Q71" s="14"/>
      <c r="R71" s="14"/>
      <c r="S71" s="14"/>
      <c r="T71" s="14"/>
      <c r="U71" s="14"/>
      <c r="V71" s="14"/>
      <c r="W71" s="14"/>
      <c r="X71" s="14"/>
      <c r="Y71" s="14"/>
    </row>
    <row r="72" spans="2:25" ht="20.399999999999999">
      <c r="B72" s="645"/>
      <c r="C72" s="10" t="s">
        <v>68</v>
      </c>
      <c r="D72" s="10" t="s">
        <v>69</v>
      </c>
      <c r="E72" s="11" t="s">
        <v>9</v>
      </c>
      <c r="F72" s="5">
        <v>2272216</v>
      </c>
      <c r="G72" s="11">
        <v>759593.06</v>
      </c>
      <c r="H72" s="5">
        <f t="shared" si="2"/>
        <v>3031809.06</v>
      </c>
      <c r="I72" s="12" t="s">
        <v>1611</v>
      </c>
      <c r="J72" s="12" t="s">
        <v>70</v>
      </c>
      <c r="K72" s="16"/>
      <c r="L72" s="14"/>
      <c r="M72" s="14"/>
      <c r="N72" s="14"/>
    </row>
    <row r="73" spans="2:25" ht="20.399999999999999">
      <c r="B73" s="645"/>
      <c r="C73" s="10" t="s">
        <v>71</v>
      </c>
      <c r="D73" s="10" t="s">
        <v>72</v>
      </c>
      <c r="E73" s="11" t="s">
        <v>9</v>
      </c>
      <c r="F73" s="5">
        <v>2272216</v>
      </c>
      <c r="G73" s="11">
        <v>762406.06</v>
      </c>
      <c r="H73" s="5">
        <f t="shared" si="2"/>
        <v>3034622.06</v>
      </c>
      <c r="I73" s="12" t="s">
        <v>1612</v>
      </c>
      <c r="J73" s="12" t="s">
        <v>73</v>
      </c>
      <c r="K73" s="16"/>
      <c r="L73" s="14"/>
      <c r="M73" s="14"/>
      <c r="N73" s="14"/>
    </row>
    <row r="74" spans="2:25" ht="20.399999999999999">
      <c r="B74" s="645"/>
      <c r="C74" s="10" t="s">
        <v>74</v>
      </c>
      <c r="D74" s="10" t="s">
        <v>75</v>
      </c>
      <c r="E74" s="11" t="s">
        <v>9</v>
      </c>
      <c r="F74" s="5">
        <v>2272216</v>
      </c>
      <c r="G74" s="11">
        <v>728652.06</v>
      </c>
      <c r="H74" s="5">
        <f t="shared" si="2"/>
        <v>3000868.06</v>
      </c>
      <c r="I74" s="12" t="s">
        <v>1613</v>
      </c>
      <c r="J74" s="12" t="s">
        <v>76</v>
      </c>
      <c r="K74" s="16"/>
      <c r="L74" s="14"/>
      <c r="M74" s="14"/>
      <c r="N74" s="14"/>
    </row>
    <row r="75" spans="2:25" ht="20.399999999999999">
      <c r="B75" s="645"/>
      <c r="C75" s="10" t="s">
        <v>77</v>
      </c>
      <c r="D75" s="10" t="s">
        <v>78</v>
      </c>
      <c r="E75" s="11" t="s">
        <v>9</v>
      </c>
      <c r="F75" s="5">
        <v>2272216</v>
      </c>
      <c r="G75" s="11">
        <v>759218.06</v>
      </c>
      <c r="H75" s="5">
        <f t="shared" si="2"/>
        <v>3031434.06</v>
      </c>
      <c r="I75" s="12" t="s">
        <v>1614</v>
      </c>
      <c r="J75" s="12" t="s">
        <v>79</v>
      </c>
      <c r="K75" s="16"/>
      <c r="L75" s="14"/>
      <c r="M75" s="14"/>
      <c r="N75" s="14"/>
    </row>
    <row r="76" spans="2:25" ht="20.399999999999999">
      <c r="B76" s="645"/>
      <c r="C76" s="10" t="s">
        <v>80</v>
      </c>
      <c r="D76" s="10" t="s">
        <v>81</v>
      </c>
      <c r="E76" s="11" t="s">
        <v>9</v>
      </c>
      <c r="F76" s="5">
        <v>2272216</v>
      </c>
      <c r="G76" s="11">
        <v>750621.06</v>
      </c>
      <c r="H76" s="5">
        <f t="shared" si="2"/>
        <v>3022837.06</v>
      </c>
      <c r="I76" s="12" t="s">
        <v>1615</v>
      </c>
      <c r="J76" s="12" t="s">
        <v>82</v>
      </c>
      <c r="K76" s="16"/>
      <c r="L76" s="14"/>
      <c r="M76" s="14"/>
      <c r="N76" s="14"/>
    </row>
    <row r="77" spans="2:25" ht="20.399999999999999">
      <c r="B77" s="645"/>
      <c r="C77" s="10" t="s">
        <v>83</v>
      </c>
      <c r="D77" s="10" t="s">
        <v>84</v>
      </c>
      <c r="E77" s="11" t="s">
        <v>9</v>
      </c>
      <c r="F77" s="5">
        <v>2272216</v>
      </c>
      <c r="G77" s="11">
        <v>755320.06</v>
      </c>
      <c r="H77" s="5">
        <f t="shared" si="2"/>
        <v>3027536.06</v>
      </c>
      <c r="I77" s="12" t="s">
        <v>1616</v>
      </c>
      <c r="J77" s="12" t="s">
        <v>85</v>
      </c>
      <c r="K77" s="16"/>
      <c r="L77" s="14"/>
      <c r="M77" s="14"/>
      <c r="N77" s="14"/>
    </row>
    <row r="78" spans="2:25" ht="20.399999999999999">
      <c r="B78" s="645"/>
      <c r="C78" s="10" t="s">
        <v>86</v>
      </c>
      <c r="D78" s="10" t="s">
        <v>1617</v>
      </c>
      <c r="E78" s="11" t="s">
        <v>9</v>
      </c>
      <c r="F78" s="5">
        <v>2272216</v>
      </c>
      <c r="G78" s="11">
        <v>762479.06</v>
      </c>
      <c r="H78" s="5">
        <f t="shared" si="2"/>
        <v>3034695.06</v>
      </c>
      <c r="I78" s="12" t="s">
        <v>87</v>
      </c>
      <c r="J78" s="12" t="s">
        <v>1608</v>
      </c>
      <c r="K78" s="16"/>
      <c r="L78" s="14"/>
      <c r="M78" s="14"/>
      <c r="N78" s="14"/>
    </row>
    <row r="79" spans="2:25" ht="20.399999999999999">
      <c r="B79" s="645"/>
      <c r="C79" s="10" t="s">
        <v>88</v>
      </c>
      <c r="D79" s="10" t="s">
        <v>89</v>
      </c>
      <c r="E79" s="11" t="s">
        <v>9</v>
      </c>
      <c r="F79" s="5">
        <v>2272216</v>
      </c>
      <c r="G79" s="11">
        <v>750897.06</v>
      </c>
      <c r="H79" s="5">
        <f t="shared" si="2"/>
        <v>3023113.06</v>
      </c>
      <c r="I79" s="12" t="s">
        <v>1618</v>
      </c>
      <c r="J79" s="12" t="s">
        <v>90</v>
      </c>
      <c r="K79" s="16"/>
      <c r="L79" s="14"/>
      <c r="M79" s="14"/>
      <c r="N79" s="14"/>
    </row>
    <row r="80" spans="2:25" ht="20.399999999999999">
      <c r="B80" s="645"/>
      <c r="C80" s="10" t="s">
        <v>91</v>
      </c>
      <c r="D80" s="10" t="s">
        <v>92</v>
      </c>
      <c r="E80" s="11" t="s">
        <v>9</v>
      </c>
      <c r="F80" s="5">
        <v>2272216</v>
      </c>
      <c r="G80" s="11">
        <v>757494.06</v>
      </c>
      <c r="H80" s="5">
        <f t="shared" si="2"/>
        <v>3029710.06</v>
      </c>
      <c r="I80" s="12" t="s">
        <v>1619</v>
      </c>
      <c r="J80" s="12" t="s">
        <v>93</v>
      </c>
      <c r="K80" s="16"/>
      <c r="L80" s="14"/>
      <c r="M80" s="14"/>
      <c r="N80" s="14"/>
    </row>
    <row r="81" spans="1:25">
      <c r="B81" s="645"/>
      <c r="C81" s="10" t="s">
        <v>94</v>
      </c>
      <c r="D81" s="10" t="s">
        <v>95</v>
      </c>
      <c r="E81" s="11">
        <f>146983+146982</f>
        <v>293965</v>
      </c>
      <c r="F81" s="5">
        <v>2272216</v>
      </c>
      <c r="G81" s="11">
        <v>324162.06</v>
      </c>
      <c r="H81" s="5">
        <f t="shared" si="2"/>
        <v>2890343.06</v>
      </c>
      <c r="I81" s="13" t="s">
        <v>41</v>
      </c>
      <c r="J81" s="9" t="s">
        <v>14</v>
      </c>
      <c r="K81" s="16"/>
      <c r="L81" s="14"/>
      <c r="M81" s="14"/>
      <c r="N81" s="14"/>
    </row>
    <row r="82" spans="1:25">
      <c r="B82" s="645"/>
      <c r="C82" s="10" t="s">
        <v>96</v>
      </c>
      <c r="D82" s="10" t="s">
        <v>97</v>
      </c>
      <c r="E82" s="11">
        <f>147220+146983</f>
        <v>294203</v>
      </c>
      <c r="F82" s="5">
        <v>2272216</v>
      </c>
      <c r="G82" s="11">
        <v>324162.06</v>
      </c>
      <c r="H82" s="5">
        <f t="shared" si="2"/>
        <v>2890581.06</v>
      </c>
      <c r="I82" s="13" t="s">
        <v>43</v>
      </c>
      <c r="J82" s="9" t="s">
        <v>16</v>
      </c>
      <c r="K82" s="16"/>
      <c r="L82" s="14"/>
      <c r="M82" s="14"/>
      <c r="N82" s="14"/>
    </row>
    <row r="83" spans="1:25">
      <c r="B83" s="645"/>
      <c r="C83" s="10" t="s">
        <v>98</v>
      </c>
      <c r="D83" s="10" t="s">
        <v>99</v>
      </c>
      <c r="E83" s="11">
        <f>147220+146982</f>
        <v>294202</v>
      </c>
      <c r="F83" s="5">
        <v>2272216</v>
      </c>
      <c r="G83" s="11">
        <v>324162.06</v>
      </c>
      <c r="H83" s="5">
        <f t="shared" si="2"/>
        <v>2890580.06</v>
      </c>
      <c r="I83" s="13" t="s">
        <v>100</v>
      </c>
      <c r="J83" s="9" t="s">
        <v>18</v>
      </c>
      <c r="K83" s="16"/>
      <c r="L83" s="14"/>
      <c r="M83" s="14"/>
      <c r="N83" s="14"/>
    </row>
    <row r="84" spans="1:25" ht="20.399999999999999">
      <c r="B84" s="645"/>
      <c r="C84" s="10" t="s">
        <v>101</v>
      </c>
      <c r="D84" s="10" t="s">
        <v>102</v>
      </c>
      <c r="E84" s="11" t="s">
        <v>9</v>
      </c>
      <c r="F84" s="5">
        <v>2272216</v>
      </c>
      <c r="G84" s="11">
        <v>761464.06</v>
      </c>
      <c r="H84" s="5">
        <f t="shared" si="2"/>
        <v>3033680.06</v>
      </c>
      <c r="I84" s="12" t="s">
        <v>1620</v>
      </c>
      <c r="J84" s="9" t="s">
        <v>103</v>
      </c>
      <c r="K84" s="16"/>
      <c r="L84" s="14"/>
      <c r="M84" s="14"/>
      <c r="N84" s="14"/>
    </row>
    <row r="85" spans="1:25" ht="20.399999999999999">
      <c r="B85" s="653"/>
      <c r="C85" s="24" t="s">
        <v>104</v>
      </c>
      <c r="D85" s="24" t="s">
        <v>105</v>
      </c>
      <c r="E85" s="25" t="s">
        <v>9</v>
      </c>
      <c r="F85" s="26">
        <v>2272216</v>
      </c>
      <c r="G85" s="25">
        <v>749342.06</v>
      </c>
      <c r="H85" s="26">
        <f t="shared" si="2"/>
        <v>3021558.06</v>
      </c>
      <c r="I85" s="49" t="s">
        <v>1621</v>
      </c>
      <c r="J85" s="28" t="s">
        <v>106</v>
      </c>
      <c r="K85" s="16"/>
      <c r="L85" s="14"/>
      <c r="M85" s="14"/>
      <c r="N85" s="14"/>
    </row>
    <row r="86" spans="1:25" ht="20.399999999999999">
      <c r="B86" s="50" t="s">
        <v>107</v>
      </c>
      <c r="C86" s="42" t="s">
        <v>108</v>
      </c>
      <c r="D86" s="42" t="s">
        <v>48</v>
      </c>
      <c r="E86" s="43" t="s">
        <v>9</v>
      </c>
      <c r="F86" s="43">
        <v>430439</v>
      </c>
      <c r="G86" s="43" t="s">
        <v>9</v>
      </c>
      <c r="H86" s="43">
        <f>SUM(E86:G86)</f>
        <v>430439</v>
      </c>
      <c r="I86" s="44" t="s">
        <v>49</v>
      </c>
      <c r="J86" s="45" t="s">
        <v>1647</v>
      </c>
      <c r="K86" s="16"/>
      <c r="L86" s="14"/>
      <c r="M86" s="14"/>
      <c r="N86" s="14"/>
    </row>
    <row r="87" spans="1:25" ht="20.399999999999999">
      <c r="A87" s="3"/>
      <c r="B87" s="48" t="s">
        <v>109</v>
      </c>
      <c r="C87" s="24" t="s">
        <v>110</v>
      </c>
      <c r="D87" s="24" t="s">
        <v>48</v>
      </c>
      <c r="E87" s="26" t="s">
        <v>9</v>
      </c>
      <c r="F87" s="26">
        <v>564692</v>
      </c>
      <c r="G87" s="26" t="s">
        <v>9</v>
      </c>
      <c r="H87" s="26">
        <f>SUM(E87:G87)</f>
        <v>564692</v>
      </c>
      <c r="I87" s="27" t="s">
        <v>49</v>
      </c>
      <c r="J87" s="49" t="s">
        <v>1647</v>
      </c>
      <c r="K87" s="16"/>
      <c r="L87" s="14"/>
      <c r="M87" s="14"/>
      <c r="N87" s="14"/>
    </row>
    <row r="88" spans="1:25">
      <c r="B88" s="16"/>
      <c r="C88" s="10"/>
      <c r="D88" s="10"/>
      <c r="E88" s="5"/>
      <c r="F88" s="5"/>
      <c r="G88" s="5"/>
      <c r="H88" s="5"/>
      <c r="I88" s="13"/>
      <c r="J88" s="12"/>
      <c r="K88" s="16"/>
      <c r="L88" s="14"/>
      <c r="M88" s="14"/>
      <c r="N88" s="14"/>
    </row>
    <row r="89" spans="1:25">
      <c r="A89" s="61" t="s">
        <v>111</v>
      </c>
      <c r="B89" s="62"/>
      <c r="C89" s="52"/>
      <c r="D89" s="52"/>
      <c r="E89" s="53"/>
      <c r="F89" s="53"/>
      <c r="G89" s="53"/>
      <c r="H89" s="53"/>
      <c r="I89" s="54"/>
      <c r="J89" s="63"/>
      <c r="K89" s="16"/>
      <c r="L89" s="14"/>
      <c r="M89" s="14"/>
      <c r="N89" s="14"/>
    </row>
    <row r="90" spans="1:25">
      <c r="B90" s="652" t="s">
        <v>112</v>
      </c>
      <c r="C90" s="39" t="s">
        <v>113</v>
      </c>
      <c r="D90" s="39" t="s">
        <v>114</v>
      </c>
      <c r="E90" s="46" t="s">
        <v>9</v>
      </c>
      <c r="F90" s="36">
        <v>9370</v>
      </c>
      <c r="G90" s="36">
        <v>542901</v>
      </c>
      <c r="H90" s="36">
        <f>SUM(E90:G90)</f>
        <v>552271</v>
      </c>
      <c r="I90" s="38" t="s">
        <v>1622</v>
      </c>
      <c r="J90" s="47" t="s">
        <v>1649</v>
      </c>
      <c r="K90" s="17"/>
      <c r="L90" s="14"/>
      <c r="M90" s="14"/>
      <c r="N90" s="14"/>
      <c r="O90" s="14"/>
      <c r="P90" s="14"/>
      <c r="Q90" s="14"/>
      <c r="R90" s="14"/>
      <c r="S90" s="14"/>
      <c r="T90" s="14"/>
      <c r="U90" s="14"/>
      <c r="V90" s="14"/>
      <c r="W90" s="14"/>
      <c r="X90" s="14"/>
      <c r="Y90" s="14"/>
    </row>
    <row r="91" spans="1:25">
      <c r="B91" s="645"/>
      <c r="C91" s="10" t="s">
        <v>115</v>
      </c>
      <c r="D91" s="10" t="s">
        <v>116</v>
      </c>
      <c r="E91" s="11">
        <v>196815</v>
      </c>
      <c r="F91" s="5">
        <v>9370</v>
      </c>
      <c r="G91" s="5">
        <v>241781</v>
      </c>
      <c r="H91" s="5" t="s">
        <v>1521</v>
      </c>
      <c r="I91" s="9" t="s">
        <v>1623</v>
      </c>
      <c r="J91" s="12" t="s">
        <v>117</v>
      </c>
      <c r="K91" s="17"/>
      <c r="L91" s="14"/>
      <c r="M91" s="14"/>
      <c r="N91" s="14"/>
    </row>
    <row r="92" spans="1:25">
      <c r="B92" s="645"/>
      <c r="C92" s="10" t="s">
        <v>118</v>
      </c>
      <c r="D92" s="10" t="s">
        <v>119</v>
      </c>
      <c r="E92" s="11">
        <v>196815</v>
      </c>
      <c r="F92" s="5">
        <v>9370</v>
      </c>
      <c r="G92" s="5" t="s">
        <v>9</v>
      </c>
      <c r="H92" s="5">
        <f t="shared" ref="H92:H105" si="3">SUM(E92:G92)</f>
        <v>206185</v>
      </c>
      <c r="I92" s="9" t="s">
        <v>12</v>
      </c>
      <c r="J92" s="9" t="s">
        <v>1624</v>
      </c>
      <c r="K92" s="17"/>
      <c r="L92" s="14"/>
      <c r="M92" s="14"/>
      <c r="N92" s="14"/>
      <c r="O92" s="14"/>
      <c r="P92" s="14"/>
      <c r="Q92" s="14"/>
      <c r="R92" s="14"/>
      <c r="S92" s="14"/>
      <c r="T92" s="14"/>
      <c r="U92" s="14"/>
      <c r="V92" s="14"/>
      <c r="W92" s="14"/>
      <c r="X92" s="14"/>
      <c r="Y92" s="14"/>
    </row>
    <row r="93" spans="1:25">
      <c r="B93" s="645"/>
      <c r="C93" s="10" t="s">
        <v>120</v>
      </c>
      <c r="D93" s="10" t="s">
        <v>40</v>
      </c>
      <c r="E93" s="11">
        <v>129414</v>
      </c>
      <c r="F93" s="5">
        <v>9370</v>
      </c>
      <c r="G93" s="5" t="s">
        <v>9</v>
      </c>
      <c r="H93" s="5">
        <f t="shared" si="3"/>
        <v>138784</v>
      </c>
      <c r="I93" s="9" t="s">
        <v>41</v>
      </c>
      <c r="J93" s="12" t="s">
        <v>14</v>
      </c>
      <c r="K93" s="17"/>
      <c r="L93" s="14"/>
      <c r="M93" s="14"/>
      <c r="N93" s="14"/>
      <c r="O93" s="14"/>
      <c r="P93" s="14"/>
      <c r="Q93" s="14"/>
      <c r="R93" s="14"/>
      <c r="S93" s="14"/>
      <c r="T93" s="14"/>
      <c r="U93" s="14"/>
      <c r="V93" s="14"/>
      <c r="W93" s="14"/>
      <c r="X93" s="14"/>
      <c r="Y93" s="14"/>
    </row>
    <row r="94" spans="1:25">
      <c r="B94" s="645"/>
      <c r="C94" s="10" t="s">
        <v>121</v>
      </c>
      <c r="D94" s="10" t="s">
        <v>42</v>
      </c>
      <c r="E94" s="11">
        <v>132059</v>
      </c>
      <c r="F94" s="5">
        <v>9370</v>
      </c>
      <c r="G94" s="5" t="s">
        <v>9</v>
      </c>
      <c r="H94" s="5">
        <f t="shared" si="3"/>
        <v>141429</v>
      </c>
      <c r="I94" s="9" t="s">
        <v>43</v>
      </c>
      <c r="J94" s="12" t="s">
        <v>16</v>
      </c>
      <c r="K94" s="17"/>
      <c r="L94" s="14"/>
      <c r="M94" s="14"/>
      <c r="N94" s="14"/>
      <c r="O94" s="14"/>
      <c r="P94" s="14"/>
      <c r="Q94" s="14"/>
      <c r="R94" s="14"/>
      <c r="S94" s="14"/>
      <c r="T94" s="14"/>
      <c r="U94" s="14"/>
      <c r="V94" s="14"/>
      <c r="W94" s="14"/>
      <c r="X94" s="14"/>
      <c r="Y94" s="14"/>
    </row>
    <row r="95" spans="1:25">
      <c r="B95" s="653"/>
      <c r="C95" s="24" t="s">
        <v>122</v>
      </c>
      <c r="D95" s="24" t="s">
        <v>44</v>
      </c>
      <c r="E95" s="25">
        <v>132157</v>
      </c>
      <c r="F95" s="26">
        <v>9370</v>
      </c>
      <c r="G95" s="26" t="s">
        <v>9</v>
      </c>
      <c r="H95" s="26">
        <f t="shared" si="3"/>
        <v>141527</v>
      </c>
      <c r="I95" s="28" t="s">
        <v>45</v>
      </c>
      <c r="J95" s="49" t="s">
        <v>18</v>
      </c>
      <c r="K95" s="17"/>
      <c r="L95" s="14"/>
      <c r="M95" s="14"/>
      <c r="N95" s="14"/>
      <c r="O95" s="14"/>
      <c r="P95" s="14"/>
      <c r="Q95" s="14"/>
      <c r="R95" s="14"/>
      <c r="S95" s="14"/>
      <c r="T95" s="14"/>
      <c r="U95" s="14"/>
      <c r="V95" s="14"/>
      <c r="W95" s="14"/>
      <c r="X95" s="14"/>
      <c r="Y95" s="14"/>
    </row>
    <row r="96" spans="1:25" ht="20.399999999999999">
      <c r="B96" s="652" t="s">
        <v>123</v>
      </c>
      <c r="C96" s="39" t="s">
        <v>124</v>
      </c>
      <c r="D96" s="39" t="s">
        <v>125</v>
      </c>
      <c r="E96" s="36" t="s">
        <v>9</v>
      </c>
      <c r="F96" s="36">
        <v>76831</v>
      </c>
      <c r="G96" s="36">
        <v>252514</v>
      </c>
      <c r="H96" s="36">
        <f t="shared" si="3"/>
        <v>329345</v>
      </c>
      <c r="I96" s="38" t="s">
        <v>126</v>
      </c>
      <c r="J96" s="47" t="s">
        <v>1675</v>
      </c>
      <c r="K96" s="17"/>
      <c r="L96" s="14"/>
      <c r="M96" s="14"/>
      <c r="N96" s="14"/>
      <c r="O96" s="14"/>
      <c r="P96" s="14"/>
      <c r="Q96" s="14"/>
      <c r="R96" s="14"/>
      <c r="S96" s="14"/>
      <c r="T96" s="14"/>
      <c r="U96" s="14"/>
      <c r="V96" s="14"/>
      <c r="W96" s="14"/>
      <c r="X96" s="14"/>
      <c r="Y96" s="14"/>
    </row>
    <row r="97" spans="1:25">
      <c r="B97" s="645"/>
      <c r="C97" s="10" t="s">
        <v>127</v>
      </c>
      <c r="D97" s="10" t="s">
        <v>11</v>
      </c>
      <c r="E97" s="5">
        <v>235646</v>
      </c>
      <c r="F97" s="5">
        <v>76831</v>
      </c>
      <c r="G97" s="5" t="s">
        <v>9</v>
      </c>
      <c r="H97" s="5">
        <f t="shared" si="3"/>
        <v>312477</v>
      </c>
      <c r="I97" s="9" t="s">
        <v>12</v>
      </c>
      <c r="J97" s="9" t="s">
        <v>128</v>
      </c>
      <c r="K97" s="17"/>
      <c r="L97" s="14"/>
      <c r="M97" s="14"/>
      <c r="N97" s="14"/>
      <c r="O97" s="14"/>
      <c r="P97" s="14"/>
      <c r="Q97" s="14"/>
      <c r="R97" s="14"/>
      <c r="S97" s="14"/>
      <c r="T97" s="14"/>
      <c r="U97" s="14"/>
      <c r="V97" s="14"/>
      <c r="W97" s="14"/>
      <c r="X97" s="14"/>
      <c r="Y97" s="14"/>
    </row>
    <row r="98" spans="1:25">
      <c r="B98" s="645"/>
      <c r="C98" s="10" t="s">
        <v>129</v>
      </c>
      <c r="D98" s="10" t="s">
        <v>130</v>
      </c>
      <c r="E98" s="5">
        <v>155520</v>
      </c>
      <c r="F98" s="5">
        <v>76831</v>
      </c>
      <c r="G98" s="5">
        <v>132989</v>
      </c>
      <c r="H98" s="5">
        <f t="shared" si="3"/>
        <v>365340</v>
      </c>
      <c r="I98" s="9" t="s">
        <v>1625</v>
      </c>
      <c r="J98" s="9" t="s">
        <v>14</v>
      </c>
      <c r="K98" s="17"/>
      <c r="L98" s="14"/>
      <c r="M98" s="14"/>
      <c r="N98" s="14"/>
      <c r="O98" s="14"/>
      <c r="P98" s="14"/>
      <c r="Q98" s="14"/>
      <c r="R98" s="14"/>
      <c r="S98" s="14"/>
      <c r="T98" s="14"/>
      <c r="U98" s="14"/>
      <c r="V98" s="14"/>
      <c r="W98" s="14"/>
      <c r="X98" s="14"/>
      <c r="Y98" s="14"/>
    </row>
    <row r="99" spans="1:25">
      <c r="B99" s="645"/>
      <c r="C99" s="10" t="s">
        <v>131</v>
      </c>
      <c r="D99" s="10" t="s">
        <v>132</v>
      </c>
      <c r="E99" s="5">
        <v>157884</v>
      </c>
      <c r="F99" s="5">
        <v>76831</v>
      </c>
      <c r="G99" s="5">
        <v>132989</v>
      </c>
      <c r="H99" s="5">
        <f t="shared" si="3"/>
        <v>367704</v>
      </c>
      <c r="I99" s="9" t="s">
        <v>1626</v>
      </c>
      <c r="J99" s="9" t="s">
        <v>16</v>
      </c>
      <c r="K99" s="17"/>
      <c r="L99" s="14"/>
      <c r="M99" s="14"/>
      <c r="N99" s="14"/>
      <c r="O99" s="14"/>
      <c r="P99" s="14"/>
      <c r="Q99" s="14"/>
      <c r="R99" s="14"/>
      <c r="S99" s="14"/>
      <c r="T99" s="14"/>
      <c r="U99" s="14"/>
      <c r="V99" s="14"/>
      <c r="W99" s="14"/>
      <c r="X99" s="14"/>
      <c r="Y99" s="14"/>
    </row>
    <row r="100" spans="1:25">
      <c r="B100" s="645"/>
      <c r="C100" s="10" t="s">
        <v>133</v>
      </c>
      <c r="D100" s="10" t="s">
        <v>134</v>
      </c>
      <c r="E100" s="5">
        <v>157888</v>
      </c>
      <c r="F100" s="5">
        <v>76831</v>
      </c>
      <c r="G100" s="5">
        <v>132989</v>
      </c>
      <c r="H100" s="5">
        <f t="shared" si="3"/>
        <v>367708</v>
      </c>
      <c r="I100" s="9" t="s">
        <v>1627</v>
      </c>
      <c r="J100" s="9" t="s">
        <v>18</v>
      </c>
      <c r="K100" s="17"/>
      <c r="L100" s="14"/>
      <c r="M100" s="14"/>
      <c r="N100" s="14"/>
      <c r="O100" s="14"/>
      <c r="P100" s="14"/>
      <c r="Q100" s="14"/>
      <c r="R100" s="14"/>
      <c r="S100" s="14"/>
      <c r="T100" s="14"/>
      <c r="U100" s="14"/>
      <c r="V100" s="14"/>
      <c r="W100" s="14"/>
      <c r="X100" s="14"/>
      <c r="Y100" s="14"/>
    </row>
    <row r="101" spans="1:25">
      <c r="B101" s="653"/>
      <c r="C101" s="24" t="s">
        <v>135</v>
      </c>
      <c r="D101" s="24" t="s">
        <v>136</v>
      </c>
      <c r="E101" s="26">
        <v>235646</v>
      </c>
      <c r="F101" s="26">
        <v>76831</v>
      </c>
      <c r="G101" s="26">
        <v>132989</v>
      </c>
      <c r="H101" s="26">
        <f t="shared" si="3"/>
        <v>445466</v>
      </c>
      <c r="I101" s="28" t="s">
        <v>1628</v>
      </c>
      <c r="J101" s="28" t="s">
        <v>106</v>
      </c>
      <c r="K101" s="17"/>
      <c r="L101" s="14"/>
      <c r="M101" s="14"/>
      <c r="N101" s="14"/>
      <c r="O101" s="14"/>
      <c r="P101" s="14"/>
      <c r="Q101" s="14"/>
      <c r="R101" s="14"/>
      <c r="S101" s="14"/>
      <c r="T101" s="14"/>
      <c r="U101" s="14"/>
      <c r="V101" s="14"/>
      <c r="W101" s="14"/>
      <c r="X101" s="14"/>
      <c r="Y101" s="14"/>
    </row>
    <row r="102" spans="1:25" ht="20.399999999999999">
      <c r="B102" s="652" t="s">
        <v>137</v>
      </c>
      <c r="C102" s="39" t="s">
        <v>138</v>
      </c>
      <c r="D102" s="39" t="s">
        <v>139</v>
      </c>
      <c r="E102" s="36" t="s">
        <v>9</v>
      </c>
      <c r="F102" s="36" t="s">
        <v>9</v>
      </c>
      <c r="G102" s="36">
        <v>397338</v>
      </c>
      <c r="H102" s="36">
        <f t="shared" si="3"/>
        <v>397338</v>
      </c>
      <c r="I102" s="38" t="s">
        <v>12</v>
      </c>
      <c r="J102" s="47" t="s">
        <v>1650</v>
      </c>
      <c r="K102" s="17"/>
      <c r="L102" s="14"/>
      <c r="M102" s="14"/>
      <c r="N102" s="14"/>
      <c r="O102" s="14"/>
      <c r="P102" s="14"/>
      <c r="Q102" s="14"/>
      <c r="R102" s="14"/>
      <c r="S102" s="14"/>
      <c r="T102" s="14"/>
      <c r="U102" s="14"/>
      <c r="V102" s="14"/>
      <c r="W102" s="14"/>
      <c r="X102" s="14"/>
      <c r="Y102" s="14"/>
    </row>
    <row r="103" spans="1:25">
      <c r="B103" s="645"/>
      <c r="C103" s="10" t="s">
        <v>140</v>
      </c>
      <c r="D103" s="10" t="s">
        <v>41</v>
      </c>
      <c r="E103" s="5">
        <f>130255+129868</f>
        <v>260123</v>
      </c>
      <c r="F103" s="5" t="s">
        <v>9</v>
      </c>
      <c r="G103" s="5" t="s">
        <v>9</v>
      </c>
      <c r="H103" s="5">
        <f t="shared" si="3"/>
        <v>260123</v>
      </c>
      <c r="I103" s="12" t="s">
        <v>41</v>
      </c>
      <c r="J103" s="12" t="s">
        <v>14</v>
      </c>
      <c r="K103" s="17"/>
      <c r="L103" s="14"/>
      <c r="M103" s="14"/>
      <c r="N103" s="14"/>
      <c r="O103" s="14"/>
      <c r="P103" s="14"/>
      <c r="Q103" s="14"/>
      <c r="R103" s="14"/>
      <c r="S103" s="14"/>
      <c r="T103" s="14"/>
      <c r="U103" s="14"/>
      <c r="V103" s="14"/>
      <c r="W103" s="14"/>
      <c r="X103" s="14"/>
      <c r="Y103" s="14"/>
    </row>
    <row r="104" spans="1:25">
      <c r="B104" s="645"/>
      <c r="C104" s="10" t="s">
        <v>141</v>
      </c>
      <c r="D104" s="10" t="s">
        <v>43</v>
      </c>
      <c r="E104" s="5">
        <f>132308+130255</f>
        <v>262563</v>
      </c>
      <c r="F104" s="5" t="s">
        <v>9</v>
      </c>
      <c r="G104" s="5" t="s">
        <v>9</v>
      </c>
      <c r="H104" s="5">
        <f t="shared" si="3"/>
        <v>262563</v>
      </c>
      <c r="I104" s="12" t="s">
        <v>43</v>
      </c>
      <c r="J104" s="12" t="s">
        <v>16</v>
      </c>
      <c r="K104" s="17"/>
      <c r="L104" s="14"/>
      <c r="M104" s="14"/>
      <c r="N104" s="14"/>
      <c r="O104" s="14"/>
      <c r="P104" s="14"/>
      <c r="Q104" s="14"/>
      <c r="R104" s="14"/>
      <c r="S104" s="14"/>
      <c r="T104" s="14"/>
      <c r="U104" s="14"/>
      <c r="V104" s="14"/>
      <c r="W104" s="14"/>
      <c r="X104" s="14"/>
      <c r="Y104" s="14"/>
    </row>
    <row r="105" spans="1:25">
      <c r="B105" s="653"/>
      <c r="C105" s="24" t="s">
        <v>142</v>
      </c>
      <c r="D105" s="24" t="s">
        <v>45</v>
      </c>
      <c r="E105" s="26">
        <f>132308+129868</f>
        <v>262176</v>
      </c>
      <c r="F105" s="26" t="s">
        <v>9</v>
      </c>
      <c r="G105" s="26" t="s">
        <v>9</v>
      </c>
      <c r="H105" s="26">
        <f t="shared" si="3"/>
        <v>262176</v>
      </c>
      <c r="I105" s="49" t="s">
        <v>45</v>
      </c>
      <c r="J105" s="49" t="s">
        <v>18</v>
      </c>
      <c r="K105" s="17"/>
      <c r="L105" s="14"/>
      <c r="M105" s="14"/>
      <c r="N105" s="14"/>
      <c r="O105" s="14"/>
      <c r="P105" s="14"/>
      <c r="Q105" s="14"/>
      <c r="R105" s="14"/>
      <c r="S105" s="14"/>
      <c r="T105" s="14"/>
      <c r="U105" s="14"/>
      <c r="V105" s="14"/>
      <c r="W105" s="14"/>
      <c r="X105" s="14"/>
      <c r="Y105" s="14"/>
    </row>
    <row r="106" spans="1:25">
      <c r="B106" s="652" t="s">
        <v>151</v>
      </c>
      <c r="C106" s="39" t="s">
        <v>152</v>
      </c>
      <c r="D106" s="39" t="s">
        <v>150</v>
      </c>
      <c r="E106" s="36">
        <f>76188+72953+72782</f>
        <v>221923</v>
      </c>
      <c r="F106" s="36" t="s">
        <v>9</v>
      </c>
      <c r="G106" s="36">
        <v>211595</v>
      </c>
      <c r="H106" s="36" t="s">
        <v>1484</v>
      </c>
      <c r="I106" s="38" t="s">
        <v>1629</v>
      </c>
      <c r="J106" s="47" t="s">
        <v>1651</v>
      </c>
      <c r="K106" s="14"/>
      <c r="L106" s="14"/>
      <c r="M106" s="14"/>
      <c r="N106" s="14"/>
      <c r="O106" s="14"/>
      <c r="P106" s="14"/>
      <c r="Q106" s="14"/>
      <c r="R106" s="14"/>
      <c r="S106" s="14"/>
      <c r="T106" s="14"/>
      <c r="U106" s="14"/>
      <c r="V106" s="14"/>
      <c r="W106" s="14"/>
      <c r="X106" s="14"/>
      <c r="Y106" s="14"/>
    </row>
    <row r="107" spans="1:25">
      <c r="B107" s="645"/>
      <c r="C107" s="10" t="s">
        <v>153</v>
      </c>
      <c r="D107" s="10" t="s">
        <v>12</v>
      </c>
      <c r="E107" s="5">
        <f>76188+72953+72782</f>
        <v>221923</v>
      </c>
      <c r="F107" s="5" t="s">
        <v>9</v>
      </c>
      <c r="G107" s="5" t="s">
        <v>9</v>
      </c>
      <c r="H107" s="5">
        <f>SUM(E107:G107)</f>
        <v>221923</v>
      </c>
      <c r="I107" s="12" t="s">
        <v>12</v>
      </c>
      <c r="J107" s="12" t="s">
        <v>1630</v>
      </c>
      <c r="K107" s="14"/>
      <c r="L107" s="14"/>
      <c r="M107" s="14"/>
      <c r="N107" s="14"/>
      <c r="O107" s="14"/>
      <c r="P107" s="14"/>
      <c r="Q107" s="14"/>
      <c r="R107" s="14"/>
      <c r="S107" s="14"/>
      <c r="T107" s="14"/>
      <c r="U107" s="14"/>
      <c r="V107" s="14"/>
      <c r="W107" s="14"/>
      <c r="X107" s="14"/>
      <c r="Y107" s="14"/>
    </row>
    <row r="108" spans="1:25">
      <c r="B108" s="645"/>
      <c r="C108" s="10" t="s">
        <v>154</v>
      </c>
      <c r="D108" s="10" t="s">
        <v>41</v>
      </c>
      <c r="E108" s="5">
        <f>72953+72782</f>
        <v>145735</v>
      </c>
      <c r="F108" s="5" t="s">
        <v>9</v>
      </c>
      <c r="G108" s="5" t="s">
        <v>9</v>
      </c>
      <c r="H108" s="5">
        <f>SUM(E108:G108)</f>
        <v>145735</v>
      </c>
      <c r="I108" s="12" t="s">
        <v>41</v>
      </c>
      <c r="J108" s="12" t="s">
        <v>14</v>
      </c>
      <c r="K108" s="14"/>
      <c r="L108" s="14"/>
      <c r="M108" s="14"/>
      <c r="N108" s="14"/>
      <c r="O108" s="14"/>
      <c r="P108" s="14"/>
      <c r="Q108" s="14"/>
      <c r="R108" s="14"/>
      <c r="S108" s="14"/>
      <c r="T108" s="14"/>
      <c r="U108" s="14"/>
      <c r="V108" s="14"/>
      <c r="W108" s="14"/>
      <c r="X108" s="14"/>
      <c r="Y108" s="14"/>
    </row>
    <row r="109" spans="1:25">
      <c r="B109" s="645"/>
      <c r="C109" s="10" t="s">
        <v>155</v>
      </c>
      <c r="D109" s="10" t="s">
        <v>43</v>
      </c>
      <c r="E109" s="5">
        <f>76188+72782</f>
        <v>148970</v>
      </c>
      <c r="F109" s="5" t="s">
        <v>9</v>
      </c>
      <c r="G109" s="5" t="s">
        <v>9</v>
      </c>
      <c r="H109" s="5">
        <f>SUM(E109:G109)</f>
        <v>148970</v>
      </c>
      <c r="I109" s="12" t="s">
        <v>43</v>
      </c>
      <c r="J109" s="12" t="s">
        <v>16</v>
      </c>
      <c r="K109" s="14"/>
      <c r="L109" s="14"/>
      <c r="M109" s="14"/>
      <c r="N109" s="14"/>
      <c r="O109" s="14"/>
      <c r="P109" s="14"/>
      <c r="Q109" s="14"/>
      <c r="R109" s="14"/>
      <c r="S109" s="14"/>
      <c r="T109" s="14"/>
      <c r="U109" s="14"/>
      <c r="V109" s="14"/>
      <c r="W109" s="14"/>
      <c r="X109" s="14"/>
      <c r="Y109" s="14"/>
    </row>
    <row r="110" spans="1:25">
      <c r="B110" s="653"/>
      <c r="C110" s="24" t="s">
        <v>156</v>
      </c>
      <c r="D110" s="24" t="s">
        <v>157</v>
      </c>
      <c r="E110" s="26">
        <f>76188+72953</f>
        <v>149141</v>
      </c>
      <c r="F110" s="26" t="s">
        <v>9</v>
      </c>
      <c r="G110" s="26" t="s">
        <v>9</v>
      </c>
      <c r="H110" s="26">
        <f>SUM(E110:G110)</f>
        <v>149141</v>
      </c>
      <c r="I110" s="49" t="s">
        <v>45</v>
      </c>
      <c r="J110" s="49" t="s">
        <v>18</v>
      </c>
      <c r="K110" s="14"/>
      <c r="L110" s="14"/>
      <c r="M110" s="14"/>
      <c r="N110" s="14"/>
      <c r="O110" s="14"/>
      <c r="P110" s="14"/>
      <c r="Q110" s="14"/>
      <c r="R110" s="14"/>
      <c r="S110" s="14"/>
      <c r="T110" s="14"/>
      <c r="U110" s="14"/>
      <c r="V110" s="14"/>
      <c r="W110" s="14"/>
      <c r="X110" s="14"/>
      <c r="Y110" s="14"/>
    </row>
    <row r="111" spans="1:25">
      <c r="B111" s="16"/>
      <c r="C111" s="10"/>
      <c r="D111" s="10"/>
      <c r="E111" s="5"/>
      <c r="F111" s="5"/>
      <c r="G111" s="5"/>
      <c r="H111" s="5"/>
      <c r="I111" s="12"/>
      <c r="J111" s="12"/>
      <c r="K111" s="14"/>
      <c r="L111" s="14"/>
      <c r="M111" s="14"/>
      <c r="N111" s="14"/>
      <c r="O111" s="14"/>
      <c r="P111" s="14"/>
      <c r="Q111" s="14"/>
      <c r="R111" s="14"/>
      <c r="S111" s="14"/>
      <c r="T111" s="14"/>
      <c r="U111" s="14"/>
      <c r="V111" s="14"/>
      <c r="W111" s="14"/>
      <c r="X111" s="14"/>
      <c r="Y111" s="14"/>
    </row>
    <row r="112" spans="1:25">
      <c r="A112" s="61" t="s">
        <v>574</v>
      </c>
      <c r="B112" s="62"/>
      <c r="C112" s="52"/>
      <c r="D112" s="52"/>
      <c r="E112" s="53"/>
      <c r="F112" s="53"/>
      <c r="G112" s="53"/>
      <c r="H112" s="53"/>
      <c r="I112" s="63"/>
      <c r="J112" s="63"/>
      <c r="K112" s="14"/>
      <c r="L112" s="14"/>
      <c r="M112" s="14"/>
      <c r="N112" s="14"/>
      <c r="O112" s="14"/>
      <c r="P112" s="14"/>
      <c r="Q112" s="14"/>
      <c r="R112" s="14"/>
      <c r="S112" s="14"/>
      <c r="T112" s="14"/>
      <c r="U112" s="14"/>
      <c r="V112" s="14"/>
      <c r="W112" s="14"/>
      <c r="X112" s="14"/>
      <c r="Y112" s="14"/>
    </row>
    <row r="113" spans="2:25" ht="24" customHeight="1">
      <c r="B113" s="652" t="s">
        <v>188</v>
      </c>
      <c r="C113" s="39" t="s">
        <v>189</v>
      </c>
      <c r="D113" s="39" t="s">
        <v>11</v>
      </c>
      <c r="E113" s="36">
        <f>148063+148045+148047</f>
        <v>444155</v>
      </c>
      <c r="F113" s="46">
        <v>46646</v>
      </c>
      <c r="G113" s="36" t="s">
        <v>9</v>
      </c>
      <c r="H113" s="36">
        <f t="shared" ref="H113:H121" si="4">SUM(E113:G113)</f>
        <v>490801</v>
      </c>
      <c r="I113" s="47" t="s">
        <v>12</v>
      </c>
      <c r="J113" s="47" t="s">
        <v>1650</v>
      </c>
    </row>
    <row r="114" spans="2:25">
      <c r="B114" s="645"/>
      <c r="C114" s="10" t="s">
        <v>190</v>
      </c>
      <c r="D114" s="10" t="s">
        <v>40</v>
      </c>
      <c r="E114" s="5">
        <f>148045+148047</f>
        <v>296092</v>
      </c>
      <c r="F114" s="11">
        <v>46646</v>
      </c>
      <c r="G114" s="5" t="s">
        <v>9</v>
      </c>
      <c r="H114" s="5">
        <f t="shared" si="4"/>
        <v>342738</v>
      </c>
      <c r="I114" s="13" t="s">
        <v>41</v>
      </c>
      <c r="J114" s="12" t="s">
        <v>14</v>
      </c>
    </row>
    <row r="115" spans="2:25">
      <c r="B115" s="645"/>
      <c r="C115" s="10" t="s">
        <v>191</v>
      </c>
      <c r="D115" s="10" t="s">
        <v>42</v>
      </c>
      <c r="E115" s="5">
        <f>148063+148047</f>
        <v>296110</v>
      </c>
      <c r="F115" s="11">
        <v>46646</v>
      </c>
      <c r="G115" s="5" t="s">
        <v>9</v>
      </c>
      <c r="H115" s="5">
        <f t="shared" si="4"/>
        <v>342756</v>
      </c>
      <c r="I115" s="13" t="s">
        <v>43</v>
      </c>
      <c r="J115" s="12" t="s">
        <v>16</v>
      </c>
    </row>
    <row r="116" spans="2:25">
      <c r="B116" s="653"/>
      <c r="C116" s="24" t="s">
        <v>192</v>
      </c>
      <c r="D116" s="24" t="s">
        <v>167</v>
      </c>
      <c r="E116" s="26">
        <f>148063+148045</f>
        <v>296108</v>
      </c>
      <c r="F116" s="25">
        <v>46646</v>
      </c>
      <c r="G116" s="26" t="s">
        <v>9</v>
      </c>
      <c r="H116" s="26">
        <f t="shared" si="4"/>
        <v>342754</v>
      </c>
      <c r="I116" s="27" t="s">
        <v>45</v>
      </c>
      <c r="J116" s="49" t="s">
        <v>18</v>
      </c>
    </row>
    <row r="117" spans="2:25" ht="14.5" customHeight="1">
      <c r="B117" s="647" t="s">
        <v>198</v>
      </c>
      <c r="C117" s="39" t="s">
        <v>199</v>
      </c>
      <c r="D117" s="39" t="s">
        <v>1225</v>
      </c>
      <c r="E117" s="46">
        <f>148641+148630+148638</f>
        <v>445909</v>
      </c>
      <c r="F117" s="36">
        <v>15072</v>
      </c>
      <c r="G117" s="36">
        <v>1369372</v>
      </c>
      <c r="H117" s="36">
        <f t="shared" si="4"/>
        <v>1830353</v>
      </c>
      <c r="I117" s="40" t="s">
        <v>201</v>
      </c>
      <c r="J117" s="47" t="s">
        <v>1673</v>
      </c>
    </row>
    <row r="118" spans="2:25">
      <c r="B118" s="614"/>
      <c r="C118" s="10" t="s">
        <v>202</v>
      </c>
      <c r="D118" s="10" t="s">
        <v>11</v>
      </c>
      <c r="E118" s="11">
        <f>148641+148630+148638</f>
        <v>445909</v>
      </c>
      <c r="F118" s="5">
        <v>15072</v>
      </c>
      <c r="G118" s="5" t="s">
        <v>9</v>
      </c>
      <c r="H118" s="5">
        <f t="shared" si="4"/>
        <v>460981</v>
      </c>
      <c r="I118" s="13" t="s">
        <v>12</v>
      </c>
      <c r="J118" s="12" t="s">
        <v>203</v>
      </c>
    </row>
    <row r="119" spans="2:25">
      <c r="B119" s="614"/>
      <c r="C119" s="10" t="s">
        <v>204</v>
      </c>
      <c r="D119" s="10" t="s">
        <v>1228</v>
      </c>
      <c r="E119" s="11">
        <f>148630+148638</f>
        <v>297268</v>
      </c>
      <c r="F119" s="5">
        <v>15072</v>
      </c>
      <c r="G119" s="5">
        <v>1369372</v>
      </c>
      <c r="H119" s="5">
        <f t="shared" si="4"/>
        <v>1681712</v>
      </c>
      <c r="I119" s="10" t="s">
        <v>205</v>
      </c>
      <c r="J119" s="12" t="s">
        <v>14</v>
      </c>
    </row>
    <row r="120" spans="2:25">
      <c r="B120" s="614"/>
      <c r="C120" s="10" t="s">
        <v>206</v>
      </c>
      <c r="D120" s="10" t="s">
        <v>1226</v>
      </c>
      <c r="E120" s="11">
        <f>148641+148638</f>
        <v>297279</v>
      </c>
      <c r="F120" s="5">
        <v>15072</v>
      </c>
      <c r="G120" s="5">
        <v>1369372</v>
      </c>
      <c r="H120" s="5">
        <f t="shared" si="4"/>
        <v>1681723</v>
      </c>
      <c r="I120" s="10" t="s">
        <v>207</v>
      </c>
      <c r="J120" s="12" t="s">
        <v>16</v>
      </c>
    </row>
    <row r="121" spans="2:25">
      <c r="B121" s="615"/>
      <c r="C121" s="10" t="s">
        <v>208</v>
      </c>
      <c r="D121" s="10" t="s">
        <v>1227</v>
      </c>
      <c r="E121" s="11">
        <f>148641+148630</f>
        <v>297271</v>
      </c>
      <c r="F121" s="5">
        <v>15072</v>
      </c>
      <c r="G121" s="5">
        <v>1369372</v>
      </c>
      <c r="H121" s="5">
        <f t="shared" si="4"/>
        <v>1681715</v>
      </c>
      <c r="I121" s="10" t="s">
        <v>209</v>
      </c>
      <c r="J121" s="12" t="s">
        <v>18</v>
      </c>
    </row>
    <row r="122" spans="2:25" ht="20.399999999999999">
      <c r="B122" s="647" t="s">
        <v>210</v>
      </c>
      <c r="C122" s="39" t="s">
        <v>211</v>
      </c>
      <c r="D122" s="39" t="s">
        <v>212</v>
      </c>
      <c r="E122" s="46">
        <f>142239+142562+142597</f>
        <v>427398</v>
      </c>
      <c r="F122" s="46">
        <v>135538</v>
      </c>
      <c r="G122" s="36">
        <v>242569</v>
      </c>
      <c r="H122" s="36" t="s">
        <v>1483</v>
      </c>
      <c r="I122" s="37" t="s">
        <v>213</v>
      </c>
      <c r="J122" s="47" t="s">
        <v>1652</v>
      </c>
    </row>
    <row r="123" spans="2:25">
      <c r="B123" s="614"/>
      <c r="C123" s="10" t="s">
        <v>214</v>
      </c>
      <c r="D123" s="10" t="s">
        <v>11</v>
      </c>
      <c r="E123" s="11">
        <f>142239+142562+142597</f>
        <v>427398</v>
      </c>
      <c r="F123" s="11">
        <v>135538</v>
      </c>
      <c r="G123" s="5" t="s">
        <v>9</v>
      </c>
      <c r="H123" s="5">
        <f t="shared" ref="H123:H131" si="5">SUM(E123:G123)</f>
        <v>562936</v>
      </c>
      <c r="I123" s="13" t="s">
        <v>12</v>
      </c>
      <c r="J123" s="12" t="s">
        <v>90</v>
      </c>
    </row>
    <row r="124" spans="2:25">
      <c r="B124" s="614"/>
      <c r="C124" s="10" t="s">
        <v>215</v>
      </c>
      <c r="D124" s="10" t="s">
        <v>40</v>
      </c>
      <c r="E124" s="11">
        <f>142562+142597</f>
        <v>285159</v>
      </c>
      <c r="F124" s="11">
        <v>135538</v>
      </c>
      <c r="G124" s="5" t="s">
        <v>9</v>
      </c>
      <c r="H124" s="5">
        <f t="shared" si="5"/>
        <v>420697</v>
      </c>
      <c r="I124" s="13" t="s">
        <v>41</v>
      </c>
      <c r="J124" s="12" t="s">
        <v>14</v>
      </c>
    </row>
    <row r="125" spans="2:25">
      <c r="B125" s="614"/>
      <c r="C125" s="10" t="s">
        <v>216</v>
      </c>
      <c r="D125" s="10" t="s">
        <v>42</v>
      </c>
      <c r="E125" s="11">
        <f>142239+142597</f>
        <v>284836</v>
      </c>
      <c r="F125" s="11">
        <v>135538</v>
      </c>
      <c r="G125" s="5" t="s">
        <v>9</v>
      </c>
      <c r="H125" s="5">
        <f t="shared" si="5"/>
        <v>420374</v>
      </c>
      <c r="I125" s="13" t="s">
        <v>43</v>
      </c>
      <c r="J125" s="12" t="s">
        <v>16</v>
      </c>
    </row>
    <row r="126" spans="2:25">
      <c r="B126" s="615"/>
      <c r="C126" s="24" t="s">
        <v>217</v>
      </c>
      <c r="D126" s="24" t="s">
        <v>44</v>
      </c>
      <c r="E126" s="25">
        <f>142239+142562</f>
        <v>284801</v>
      </c>
      <c r="F126" s="25">
        <v>135538</v>
      </c>
      <c r="G126" s="26" t="s">
        <v>9</v>
      </c>
      <c r="H126" s="26">
        <f t="shared" si="5"/>
        <v>420339</v>
      </c>
      <c r="I126" s="27" t="s">
        <v>45</v>
      </c>
      <c r="J126" s="49" t="s">
        <v>18</v>
      </c>
    </row>
    <row r="127" spans="2:25" ht="20.399999999999999">
      <c r="B127" s="654" t="s">
        <v>291</v>
      </c>
      <c r="C127" s="39" t="s">
        <v>292</v>
      </c>
      <c r="D127" s="39" t="s">
        <v>293</v>
      </c>
      <c r="E127" s="36">
        <f>81905+80031+80007</f>
        <v>241943</v>
      </c>
      <c r="F127" s="36" t="s">
        <v>9</v>
      </c>
      <c r="G127" s="36">
        <f>247173</f>
        <v>247173</v>
      </c>
      <c r="H127" s="36">
        <f t="shared" si="5"/>
        <v>489116</v>
      </c>
      <c r="I127" s="40" t="s">
        <v>294</v>
      </c>
      <c r="J127" s="47" t="s">
        <v>1653</v>
      </c>
      <c r="K127" s="14"/>
      <c r="L127" s="14"/>
      <c r="M127" s="14"/>
      <c r="N127" s="14"/>
      <c r="O127" s="14"/>
      <c r="P127" s="14"/>
      <c r="Q127" s="14"/>
      <c r="R127" s="14"/>
      <c r="S127" s="14"/>
      <c r="T127" s="14"/>
      <c r="U127" s="14"/>
      <c r="V127" s="14"/>
      <c r="W127" s="14"/>
      <c r="X127" s="14"/>
      <c r="Y127" s="14"/>
    </row>
    <row r="128" spans="2:25">
      <c r="B128" s="655"/>
      <c r="C128" s="10" t="s">
        <v>295</v>
      </c>
      <c r="D128" s="10" t="s">
        <v>12</v>
      </c>
      <c r="E128" s="5">
        <f>81905+80031+80007</f>
        <v>241943</v>
      </c>
      <c r="F128" s="5" t="s">
        <v>9</v>
      </c>
      <c r="G128" s="5" t="s">
        <v>9</v>
      </c>
      <c r="H128" s="5">
        <f t="shared" si="5"/>
        <v>241943</v>
      </c>
      <c r="I128" s="13" t="s">
        <v>296</v>
      </c>
      <c r="J128" s="12" t="s">
        <v>82</v>
      </c>
      <c r="K128" s="14"/>
      <c r="L128" s="14"/>
      <c r="M128" s="14"/>
      <c r="N128" s="14"/>
      <c r="O128" s="14"/>
      <c r="P128" s="14"/>
      <c r="Q128" s="14"/>
      <c r="R128" s="14"/>
      <c r="S128" s="14"/>
      <c r="T128" s="14"/>
      <c r="U128" s="14"/>
      <c r="V128" s="14"/>
      <c r="W128" s="14"/>
      <c r="X128" s="14"/>
      <c r="Y128" s="14"/>
    </row>
    <row r="129" spans="1:25">
      <c r="B129" s="655"/>
      <c r="C129" s="10" t="s">
        <v>297</v>
      </c>
      <c r="D129" s="10" t="s">
        <v>298</v>
      </c>
      <c r="E129" s="5">
        <f>80031+80007</f>
        <v>160038</v>
      </c>
      <c r="F129" s="5" t="s">
        <v>9</v>
      </c>
      <c r="G129" s="5">
        <f>247173</f>
        <v>247173</v>
      </c>
      <c r="H129" s="5">
        <f t="shared" si="5"/>
        <v>407211</v>
      </c>
      <c r="I129" s="13" t="s">
        <v>41</v>
      </c>
      <c r="J129" s="12" t="s">
        <v>14</v>
      </c>
      <c r="K129" s="14"/>
      <c r="L129" s="14"/>
      <c r="M129" s="14"/>
      <c r="N129" s="14"/>
      <c r="O129" s="14"/>
      <c r="P129" s="14"/>
      <c r="Q129" s="14"/>
      <c r="R129" s="14"/>
      <c r="S129" s="14"/>
      <c r="T129" s="14"/>
      <c r="U129" s="14"/>
      <c r="V129" s="14"/>
      <c r="W129" s="14"/>
      <c r="X129" s="14"/>
      <c r="Y129" s="14"/>
    </row>
    <row r="130" spans="1:25">
      <c r="B130" s="655"/>
      <c r="C130" s="10" t="s">
        <v>299</v>
      </c>
      <c r="D130" s="10" t="s">
        <v>300</v>
      </c>
      <c r="E130" s="5">
        <f>81905+80007</f>
        <v>161912</v>
      </c>
      <c r="F130" s="5" t="s">
        <v>9</v>
      </c>
      <c r="G130" s="5">
        <f>247173</f>
        <v>247173</v>
      </c>
      <c r="H130" s="5">
        <f t="shared" si="5"/>
        <v>409085</v>
      </c>
      <c r="I130" s="13" t="s">
        <v>43</v>
      </c>
      <c r="J130" s="12" t="s">
        <v>16</v>
      </c>
      <c r="K130" s="14"/>
      <c r="L130" s="14"/>
      <c r="M130" s="14"/>
      <c r="N130" s="14"/>
      <c r="O130" s="14"/>
      <c r="P130" s="14"/>
      <c r="Q130" s="14"/>
      <c r="R130" s="14"/>
      <c r="S130" s="14"/>
      <c r="T130" s="14"/>
      <c r="U130" s="14"/>
      <c r="V130" s="14"/>
      <c r="W130" s="14"/>
      <c r="X130" s="14"/>
      <c r="Y130" s="14"/>
    </row>
    <row r="131" spans="1:25">
      <c r="B131" s="656"/>
      <c r="C131" s="24" t="s">
        <v>301</v>
      </c>
      <c r="D131" s="24" t="s">
        <v>302</v>
      </c>
      <c r="E131" s="26">
        <f>81905+80031</f>
        <v>161936</v>
      </c>
      <c r="F131" s="26" t="s">
        <v>9</v>
      </c>
      <c r="G131" s="26">
        <f>247173</f>
        <v>247173</v>
      </c>
      <c r="H131" s="26">
        <f t="shared" si="5"/>
        <v>409109</v>
      </c>
      <c r="I131" s="27" t="s">
        <v>45</v>
      </c>
      <c r="J131" s="49" t="s">
        <v>18</v>
      </c>
      <c r="K131" s="14"/>
      <c r="L131" s="14"/>
      <c r="M131" s="14"/>
      <c r="N131" s="14"/>
      <c r="O131" s="14"/>
      <c r="P131" s="14"/>
      <c r="Q131" s="14"/>
      <c r="R131" s="14"/>
      <c r="S131" s="14"/>
      <c r="T131" s="14"/>
      <c r="U131" s="14"/>
      <c r="V131" s="14"/>
      <c r="W131" s="14"/>
      <c r="X131" s="14"/>
      <c r="Y131" s="14"/>
    </row>
    <row r="132" spans="1:25" ht="20.399999999999999">
      <c r="B132" s="647" t="s">
        <v>332</v>
      </c>
      <c r="C132" s="39" t="s">
        <v>333</v>
      </c>
      <c r="D132" s="39" t="s">
        <v>1229</v>
      </c>
      <c r="E132" s="46">
        <v>445965</v>
      </c>
      <c r="F132" s="36" t="s">
        <v>9</v>
      </c>
      <c r="G132" s="36">
        <v>992289</v>
      </c>
      <c r="H132" s="36">
        <f t="shared" ref="H132:H183" si="6">SUM(E132:G132)</f>
        <v>1438254</v>
      </c>
      <c r="I132" s="40" t="s">
        <v>201</v>
      </c>
      <c r="J132" s="47" t="s">
        <v>1673</v>
      </c>
    </row>
    <row r="133" spans="1:25">
      <c r="B133" s="614"/>
      <c r="C133" s="10" t="s">
        <v>335</v>
      </c>
      <c r="D133" s="10" t="s">
        <v>12</v>
      </c>
      <c r="E133" s="11">
        <v>445965</v>
      </c>
      <c r="F133" s="5" t="s">
        <v>9</v>
      </c>
      <c r="G133" s="5" t="s">
        <v>9</v>
      </c>
      <c r="H133" s="5">
        <f t="shared" si="6"/>
        <v>445965</v>
      </c>
      <c r="I133" s="13" t="s">
        <v>12</v>
      </c>
      <c r="J133" s="12" t="s">
        <v>203</v>
      </c>
    </row>
    <row r="134" spans="1:25">
      <c r="B134" s="614"/>
      <c r="C134" s="10" t="s">
        <v>336</v>
      </c>
      <c r="D134" s="10" t="s">
        <v>1230</v>
      </c>
      <c r="E134" s="11">
        <v>297311</v>
      </c>
      <c r="F134" s="5" t="s">
        <v>9</v>
      </c>
      <c r="G134" s="5">
        <v>992289</v>
      </c>
      <c r="H134" s="5">
        <f t="shared" si="6"/>
        <v>1289600</v>
      </c>
      <c r="I134" s="10" t="s">
        <v>205</v>
      </c>
      <c r="J134" s="12" t="s">
        <v>14</v>
      </c>
    </row>
    <row r="135" spans="1:25">
      <c r="B135" s="614"/>
      <c r="C135" s="10" t="s">
        <v>337</v>
      </c>
      <c r="D135" s="10" t="s">
        <v>1231</v>
      </c>
      <c r="E135" s="11">
        <v>297313</v>
      </c>
      <c r="F135" s="5" t="s">
        <v>9</v>
      </c>
      <c r="G135" s="5">
        <v>992289</v>
      </c>
      <c r="H135" s="5">
        <f t="shared" si="6"/>
        <v>1289602</v>
      </c>
      <c r="I135" s="10" t="s">
        <v>207</v>
      </c>
      <c r="J135" s="12" t="s">
        <v>16</v>
      </c>
    </row>
    <row r="136" spans="1:25">
      <c r="B136" s="615"/>
      <c r="C136" s="10" t="s">
        <v>338</v>
      </c>
      <c r="D136" s="10" t="s">
        <v>1232</v>
      </c>
      <c r="E136" s="11">
        <v>297306</v>
      </c>
      <c r="F136" s="5" t="s">
        <v>9</v>
      </c>
      <c r="G136" s="5">
        <v>992289</v>
      </c>
      <c r="H136" s="5">
        <f t="shared" si="6"/>
        <v>1289595</v>
      </c>
      <c r="I136" s="10" t="s">
        <v>209</v>
      </c>
      <c r="J136" s="12" t="s">
        <v>18</v>
      </c>
    </row>
    <row r="137" spans="1:25" ht="20.399999999999999">
      <c r="A137" s="74"/>
      <c r="B137" s="647" t="s">
        <v>563</v>
      </c>
      <c r="C137" s="70" t="s">
        <v>343</v>
      </c>
      <c r="D137" s="70" t="s">
        <v>1233</v>
      </c>
      <c r="E137" s="71" t="s">
        <v>9</v>
      </c>
      <c r="F137" s="71" t="s">
        <v>9</v>
      </c>
      <c r="G137" s="71" t="s">
        <v>1523</v>
      </c>
      <c r="H137" s="71" t="s">
        <v>1523</v>
      </c>
      <c r="I137" s="72" t="s">
        <v>1594</v>
      </c>
      <c r="J137" s="73" t="s">
        <v>1645</v>
      </c>
    </row>
    <row r="138" spans="1:25">
      <c r="B138" s="614"/>
      <c r="C138" s="10" t="s">
        <v>344</v>
      </c>
      <c r="D138" s="10" t="s">
        <v>1234</v>
      </c>
      <c r="E138" s="5" t="s">
        <v>9</v>
      </c>
      <c r="F138" s="5" t="s">
        <v>9</v>
      </c>
      <c r="G138" s="5">
        <v>613027</v>
      </c>
      <c r="H138" s="5">
        <f>SUM(E138:G138)</f>
        <v>613027</v>
      </c>
      <c r="I138" s="13" t="s">
        <v>12</v>
      </c>
      <c r="J138" s="12" t="s">
        <v>1595</v>
      </c>
    </row>
    <row r="139" spans="1:25" s="74" customFormat="1">
      <c r="A139" s="1"/>
      <c r="B139" s="614"/>
      <c r="C139" s="10" t="s">
        <v>345</v>
      </c>
      <c r="D139" s="10" t="s">
        <v>340</v>
      </c>
      <c r="E139" s="11">
        <f>148438+148469</f>
        <v>296907</v>
      </c>
      <c r="F139" s="5" t="s">
        <v>9</v>
      </c>
      <c r="G139" s="5">
        <v>184305</v>
      </c>
      <c r="H139" s="5">
        <f t="shared" si="6"/>
        <v>481212</v>
      </c>
      <c r="I139" s="13" t="s">
        <v>1596</v>
      </c>
      <c r="J139" s="12" t="s">
        <v>14</v>
      </c>
    </row>
    <row r="140" spans="1:25">
      <c r="B140" s="614"/>
      <c r="C140" s="10" t="s">
        <v>346</v>
      </c>
      <c r="D140" s="10" t="s">
        <v>341</v>
      </c>
      <c r="E140" s="11">
        <f>148461+148469</f>
        <v>296930</v>
      </c>
      <c r="F140" s="5" t="s">
        <v>9</v>
      </c>
      <c r="G140" s="5">
        <v>184305</v>
      </c>
      <c r="H140" s="5">
        <f t="shared" si="6"/>
        <v>481235</v>
      </c>
      <c r="I140" s="13" t="s">
        <v>1597</v>
      </c>
      <c r="J140" s="12" t="s">
        <v>16</v>
      </c>
    </row>
    <row r="141" spans="1:25">
      <c r="B141" s="615"/>
      <c r="C141" s="24" t="s">
        <v>347</v>
      </c>
      <c r="D141" s="24" t="s">
        <v>342</v>
      </c>
      <c r="E141" s="25">
        <f>148461+148438</f>
        <v>296899</v>
      </c>
      <c r="F141" s="26" t="s">
        <v>9</v>
      </c>
      <c r="G141" s="26">
        <v>184305</v>
      </c>
      <c r="H141" s="26">
        <f t="shared" si="6"/>
        <v>481204</v>
      </c>
      <c r="I141" s="27" t="s">
        <v>1598</v>
      </c>
      <c r="J141" s="49" t="s">
        <v>18</v>
      </c>
    </row>
    <row r="142" spans="1:25" ht="20.399999999999999">
      <c r="B142" s="647" t="s">
        <v>379</v>
      </c>
      <c r="C142" s="39" t="s">
        <v>380</v>
      </c>
      <c r="D142" s="39" t="s">
        <v>11</v>
      </c>
      <c r="E142" s="46">
        <f>129696+128878+128749</f>
        <v>387323</v>
      </c>
      <c r="F142" s="5">
        <v>15072</v>
      </c>
      <c r="G142" s="36" t="s">
        <v>9</v>
      </c>
      <c r="H142" s="36">
        <f t="shared" si="6"/>
        <v>402395</v>
      </c>
      <c r="I142" s="40" t="s">
        <v>12</v>
      </c>
      <c r="J142" s="47" t="s">
        <v>1650</v>
      </c>
      <c r="K142" s="14"/>
      <c r="L142" s="12"/>
      <c r="M142" s="14"/>
      <c r="N142" s="14"/>
      <c r="O142" s="14"/>
      <c r="P142" s="14"/>
      <c r="Q142" s="14"/>
      <c r="R142" s="14"/>
      <c r="S142" s="14"/>
      <c r="T142" s="14"/>
      <c r="U142" s="14"/>
      <c r="V142" s="14"/>
      <c r="W142" s="14"/>
      <c r="X142" s="14"/>
      <c r="Y142" s="14"/>
    </row>
    <row r="143" spans="1:25">
      <c r="B143" s="614"/>
      <c r="C143" s="10" t="s">
        <v>381</v>
      </c>
      <c r="D143" s="10" t="s">
        <v>40</v>
      </c>
      <c r="E143" s="11">
        <f>128878+128749</f>
        <v>257627</v>
      </c>
      <c r="F143" s="5">
        <v>15072</v>
      </c>
      <c r="G143" s="5" t="s">
        <v>9</v>
      </c>
      <c r="H143" s="5">
        <f t="shared" si="6"/>
        <v>272699</v>
      </c>
      <c r="I143" s="8" t="s">
        <v>41</v>
      </c>
      <c r="J143" s="12" t="s">
        <v>14</v>
      </c>
      <c r="K143" s="14"/>
      <c r="L143" s="12"/>
      <c r="M143" s="14"/>
      <c r="N143" s="14"/>
      <c r="O143" s="14"/>
      <c r="P143" s="14"/>
      <c r="Q143" s="14"/>
      <c r="R143" s="14"/>
      <c r="S143" s="14"/>
      <c r="T143" s="14"/>
      <c r="U143" s="14"/>
      <c r="V143" s="14"/>
      <c r="W143" s="14"/>
      <c r="X143" s="14"/>
      <c r="Y143" s="14"/>
    </row>
    <row r="144" spans="1:25">
      <c r="B144" s="614"/>
      <c r="C144" s="10" t="s">
        <v>382</v>
      </c>
      <c r="D144" s="10" t="s">
        <v>42</v>
      </c>
      <c r="E144" s="11">
        <f>129696+128749</f>
        <v>258445</v>
      </c>
      <c r="F144" s="5">
        <v>15072</v>
      </c>
      <c r="G144" s="5" t="s">
        <v>9</v>
      </c>
      <c r="H144" s="5">
        <f t="shared" si="6"/>
        <v>273517</v>
      </c>
      <c r="I144" s="8" t="s">
        <v>43</v>
      </c>
      <c r="J144" s="12" t="s">
        <v>16</v>
      </c>
    </row>
    <row r="145" spans="1:15">
      <c r="B145" s="615"/>
      <c r="C145" s="24" t="s">
        <v>383</v>
      </c>
      <c r="D145" s="24" t="s">
        <v>44</v>
      </c>
      <c r="E145" s="25">
        <f>129696+128878</f>
        <v>258574</v>
      </c>
      <c r="F145" s="26">
        <v>15072</v>
      </c>
      <c r="G145" s="26" t="s">
        <v>9</v>
      </c>
      <c r="H145" s="26">
        <f t="shared" si="6"/>
        <v>273646</v>
      </c>
      <c r="I145" s="69" t="s">
        <v>45</v>
      </c>
      <c r="J145" s="49" t="s">
        <v>18</v>
      </c>
    </row>
    <row r="146" spans="1:15" ht="20.399999999999999">
      <c r="B146" s="647" t="s">
        <v>384</v>
      </c>
      <c r="C146" s="39" t="s">
        <v>385</v>
      </c>
      <c r="D146" s="39" t="s">
        <v>386</v>
      </c>
      <c r="E146" s="46">
        <f>140201+140286+140239</f>
        <v>420726</v>
      </c>
      <c r="F146" s="36" t="s">
        <v>9</v>
      </c>
      <c r="G146" s="36">
        <v>34652</v>
      </c>
      <c r="H146" s="36">
        <v>455378</v>
      </c>
      <c r="I146" s="37" t="s">
        <v>1608</v>
      </c>
      <c r="J146" s="47" t="s">
        <v>1654</v>
      </c>
    </row>
    <row r="147" spans="1:15">
      <c r="B147" s="614"/>
      <c r="C147" s="10" t="s">
        <v>387</v>
      </c>
      <c r="D147" s="10" t="s">
        <v>12</v>
      </c>
      <c r="E147" s="11">
        <f>140201+140286+140239</f>
        <v>420726</v>
      </c>
      <c r="F147" s="5" t="s">
        <v>9</v>
      </c>
      <c r="G147" s="5" t="s">
        <v>9</v>
      </c>
      <c r="H147" s="5">
        <f t="shared" si="6"/>
        <v>420726</v>
      </c>
      <c r="I147" s="13" t="s">
        <v>12</v>
      </c>
      <c r="J147" s="12" t="s">
        <v>1608</v>
      </c>
    </row>
    <row r="148" spans="1:15">
      <c r="B148" s="614"/>
      <c r="C148" s="10" t="s">
        <v>388</v>
      </c>
      <c r="D148" s="10" t="s">
        <v>41</v>
      </c>
      <c r="E148" s="11">
        <f>140286+140239</f>
        <v>280525</v>
      </c>
      <c r="F148" s="5" t="s">
        <v>9</v>
      </c>
      <c r="G148" s="5" t="s">
        <v>9</v>
      </c>
      <c r="H148" s="5">
        <f t="shared" si="6"/>
        <v>280525</v>
      </c>
      <c r="I148" s="8" t="s">
        <v>41</v>
      </c>
      <c r="J148" s="12" t="s">
        <v>14</v>
      </c>
    </row>
    <row r="149" spans="1:15">
      <c r="B149" s="614"/>
      <c r="C149" s="10" t="s">
        <v>389</v>
      </c>
      <c r="D149" s="10" t="s">
        <v>43</v>
      </c>
      <c r="E149" s="11">
        <f>140201+140239</f>
        <v>280440</v>
      </c>
      <c r="F149" s="5" t="s">
        <v>9</v>
      </c>
      <c r="G149" s="5" t="s">
        <v>9</v>
      </c>
      <c r="H149" s="5">
        <f t="shared" si="6"/>
        <v>280440</v>
      </c>
      <c r="I149" s="8" t="s">
        <v>43</v>
      </c>
      <c r="J149" s="12" t="s">
        <v>16</v>
      </c>
    </row>
    <row r="150" spans="1:15">
      <c r="B150" s="615"/>
      <c r="C150" s="24" t="s">
        <v>390</v>
      </c>
      <c r="D150" s="24" t="s">
        <v>45</v>
      </c>
      <c r="E150" s="25">
        <f>140201+140286</f>
        <v>280487</v>
      </c>
      <c r="F150" s="26" t="s">
        <v>9</v>
      </c>
      <c r="G150" s="26" t="s">
        <v>9</v>
      </c>
      <c r="H150" s="26">
        <f t="shared" si="6"/>
        <v>280487</v>
      </c>
      <c r="I150" s="69" t="s">
        <v>45</v>
      </c>
      <c r="J150" s="49" t="s">
        <v>18</v>
      </c>
    </row>
    <row r="151" spans="1:15">
      <c r="B151" s="647" t="s">
        <v>397</v>
      </c>
      <c r="C151" s="39" t="s">
        <v>398</v>
      </c>
      <c r="D151" s="39" t="s">
        <v>399</v>
      </c>
      <c r="E151" s="46">
        <f>141942+141873+141839</f>
        <v>425654</v>
      </c>
      <c r="F151" s="46">
        <v>283985</v>
      </c>
      <c r="G151" s="36">
        <v>588413</v>
      </c>
      <c r="H151" s="36" t="s">
        <v>1485</v>
      </c>
      <c r="I151" s="37" t="s">
        <v>1628</v>
      </c>
      <c r="J151" s="47" t="s">
        <v>1655</v>
      </c>
    </row>
    <row r="152" spans="1:15">
      <c r="B152" s="614"/>
      <c r="C152" s="10" t="s">
        <v>400</v>
      </c>
      <c r="D152" s="10" t="s">
        <v>11</v>
      </c>
      <c r="E152" s="11">
        <f>141942+141873+141839</f>
        <v>425654</v>
      </c>
      <c r="F152" s="11">
        <v>283985</v>
      </c>
      <c r="G152" s="5" t="s">
        <v>9</v>
      </c>
      <c r="H152" s="5">
        <f t="shared" si="6"/>
        <v>709639</v>
      </c>
      <c r="I152" s="13" t="s">
        <v>12</v>
      </c>
      <c r="J152" s="12" t="s">
        <v>1631</v>
      </c>
    </row>
    <row r="153" spans="1:15">
      <c r="B153" s="614"/>
      <c r="C153" s="10" t="s">
        <v>401</v>
      </c>
      <c r="D153" s="10" t="s">
        <v>402</v>
      </c>
      <c r="E153" s="11">
        <f>141873+141839</f>
        <v>283712</v>
      </c>
      <c r="F153" s="11">
        <v>283985</v>
      </c>
      <c r="G153" s="5">
        <v>201198</v>
      </c>
      <c r="H153" s="5">
        <f t="shared" si="6"/>
        <v>768895</v>
      </c>
      <c r="I153" s="8" t="s">
        <v>1625</v>
      </c>
      <c r="J153" s="12" t="s">
        <v>14</v>
      </c>
    </row>
    <row r="154" spans="1:15">
      <c r="B154" s="614"/>
      <c r="C154" s="10" t="s">
        <v>403</v>
      </c>
      <c r="D154" s="10" t="s">
        <v>404</v>
      </c>
      <c r="E154" s="11">
        <f>141942+141839</f>
        <v>283781</v>
      </c>
      <c r="F154" s="11">
        <v>283985</v>
      </c>
      <c r="G154" s="5">
        <v>201198</v>
      </c>
      <c r="H154" s="5">
        <f t="shared" si="6"/>
        <v>768964</v>
      </c>
      <c r="I154" s="8" t="s">
        <v>1626</v>
      </c>
      <c r="J154" s="12" t="s">
        <v>16</v>
      </c>
    </row>
    <row r="155" spans="1:15">
      <c r="B155" s="615"/>
      <c r="C155" s="24" t="s">
        <v>405</v>
      </c>
      <c r="D155" s="24" t="s">
        <v>406</v>
      </c>
      <c r="E155" s="25">
        <f>141942+141873</f>
        <v>283815</v>
      </c>
      <c r="F155" s="25">
        <v>283985</v>
      </c>
      <c r="G155" s="26">
        <v>201198</v>
      </c>
      <c r="H155" s="26">
        <f t="shared" si="6"/>
        <v>768998</v>
      </c>
      <c r="I155" s="69" t="s">
        <v>1627</v>
      </c>
      <c r="J155" s="49" t="s">
        <v>18</v>
      </c>
      <c r="M155" s="133"/>
      <c r="N155" s="133"/>
      <c r="O155" s="133"/>
    </row>
    <row r="156" spans="1:15" ht="20.399999999999999">
      <c r="A156" s="18"/>
      <c r="B156" s="647" t="s">
        <v>407</v>
      </c>
      <c r="C156" s="39" t="s">
        <v>408</v>
      </c>
      <c r="D156" s="39" t="s">
        <v>409</v>
      </c>
      <c r="E156" s="46" t="s">
        <v>9</v>
      </c>
      <c r="F156" s="46">
        <v>191843</v>
      </c>
      <c r="G156" s="36">
        <f>260974.1</f>
        <v>260974.1</v>
      </c>
      <c r="H156" s="36">
        <f t="shared" si="6"/>
        <v>452817.1</v>
      </c>
      <c r="I156" s="37" t="s">
        <v>410</v>
      </c>
      <c r="J156" s="47" t="s">
        <v>1656</v>
      </c>
    </row>
    <row r="157" spans="1:15">
      <c r="B157" s="614"/>
      <c r="C157" s="10" t="s">
        <v>411</v>
      </c>
      <c r="D157" s="10" t="s">
        <v>11</v>
      </c>
      <c r="E157" s="11">
        <f>73639+54128+54646</f>
        <v>182413</v>
      </c>
      <c r="F157" s="11">
        <v>191843</v>
      </c>
      <c r="G157" s="5" t="s">
        <v>9</v>
      </c>
      <c r="H157" s="5">
        <f t="shared" si="6"/>
        <v>374256</v>
      </c>
      <c r="I157" s="13" t="s">
        <v>12</v>
      </c>
      <c r="J157" s="12" t="s">
        <v>412</v>
      </c>
    </row>
    <row r="158" spans="1:15" s="18" customFormat="1">
      <c r="A158" s="1"/>
      <c r="B158" s="614"/>
      <c r="C158" s="10" t="s">
        <v>413</v>
      </c>
      <c r="D158" s="10" t="s">
        <v>40</v>
      </c>
      <c r="E158" s="11">
        <f>54128+54646</f>
        <v>108774</v>
      </c>
      <c r="F158" s="11">
        <v>191843</v>
      </c>
      <c r="G158" s="5" t="s">
        <v>9</v>
      </c>
      <c r="H158" s="5">
        <f t="shared" si="6"/>
        <v>300617</v>
      </c>
      <c r="I158" s="8" t="s">
        <v>41</v>
      </c>
      <c r="J158" s="12" t="s">
        <v>14</v>
      </c>
    </row>
    <row r="159" spans="1:15">
      <c r="B159" s="614"/>
      <c r="C159" s="10" t="s">
        <v>414</v>
      </c>
      <c r="D159" s="10" t="s">
        <v>42</v>
      </c>
      <c r="E159" s="11">
        <f>73639+54646</f>
        <v>128285</v>
      </c>
      <c r="F159" s="11">
        <v>191843</v>
      </c>
      <c r="G159" s="5" t="s">
        <v>9</v>
      </c>
      <c r="H159" s="5">
        <f t="shared" si="6"/>
        <v>320128</v>
      </c>
      <c r="I159" s="8" t="s">
        <v>43</v>
      </c>
      <c r="J159" s="12" t="s">
        <v>16</v>
      </c>
    </row>
    <row r="160" spans="1:15">
      <c r="A160" s="18"/>
      <c r="B160" s="615"/>
      <c r="C160" s="24" t="s">
        <v>415</v>
      </c>
      <c r="D160" s="24" t="s">
        <v>44</v>
      </c>
      <c r="E160" s="11">
        <f>73639+54128</f>
        <v>127767</v>
      </c>
      <c r="F160" s="25">
        <v>191843</v>
      </c>
      <c r="G160" s="26" t="s">
        <v>9</v>
      </c>
      <c r="H160" s="26">
        <f t="shared" si="6"/>
        <v>319610</v>
      </c>
      <c r="I160" s="69" t="s">
        <v>45</v>
      </c>
      <c r="J160" s="49" t="s">
        <v>18</v>
      </c>
    </row>
    <row r="161" spans="1:11" ht="20.399999999999999">
      <c r="B161" s="647" t="s">
        <v>422</v>
      </c>
      <c r="C161" s="39" t="s">
        <v>423</v>
      </c>
      <c r="D161" s="39" t="s">
        <v>424</v>
      </c>
      <c r="E161" s="36">
        <f>66736+68599</f>
        <v>135335</v>
      </c>
      <c r="F161" s="46" t="s">
        <v>9</v>
      </c>
      <c r="G161" s="36">
        <f>140306</f>
        <v>140306</v>
      </c>
      <c r="H161" s="36">
        <f t="shared" si="6"/>
        <v>275641</v>
      </c>
      <c r="I161" s="40" t="s">
        <v>12</v>
      </c>
      <c r="J161" s="47" t="s">
        <v>1650</v>
      </c>
    </row>
    <row r="162" spans="1:11" s="18" customFormat="1">
      <c r="A162" s="1"/>
      <c r="B162" s="614"/>
      <c r="C162" s="10" t="s">
        <v>425</v>
      </c>
      <c r="D162" s="10" t="s">
        <v>426</v>
      </c>
      <c r="E162" s="5">
        <f>68599+68631</f>
        <v>137230</v>
      </c>
      <c r="F162" s="11" t="s">
        <v>9</v>
      </c>
      <c r="G162" s="5">
        <f>140306</f>
        <v>140306</v>
      </c>
      <c r="H162" s="5">
        <f t="shared" si="6"/>
        <v>277536</v>
      </c>
      <c r="I162" s="8" t="s">
        <v>41</v>
      </c>
      <c r="J162" s="12" t="s">
        <v>14</v>
      </c>
    </row>
    <row r="163" spans="1:11">
      <c r="B163" s="614"/>
      <c r="C163" s="10" t="s">
        <v>427</v>
      </c>
      <c r="D163" s="10" t="s">
        <v>428</v>
      </c>
      <c r="E163" s="5">
        <f>66736+68631</f>
        <v>135367</v>
      </c>
      <c r="F163" s="11" t="s">
        <v>9</v>
      </c>
      <c r="G163" s="5">
        <f>140306</f>
        <v>140306</v>
      </c>
      <c r="H163" s="5">
        <f t="shared" si="6"/>
        <v>275673</v>
      </c>
      <c r="I163" s="8" t="s">
        <v>43</v>
      </c>
      <c r="J163" s="12" t="s">
        <v>16</v>
      </c>
    </row>
    <row r="164" spans="1:11">
      <c r="B164" s="615"/>
      <c r="C164" s="24" t="s">
        <v>429</v>
      </c>
      <c r="D164" s="24" t="s">
        <v>430</v>
      </c>
      <c r="E164" s="26">
        <f>66736+68599</f>
        <v>135335</v>
      </c>
      <c r="F164" s="25" t="s">
        <v>9</v>
      </c>
      <c r="G164" s="26">
        <f>140306</f>
        <v>140306</v>
      </c>
      <c r="H164" s="26">
        <f t="shared" si="6"/>
        <v>275641</v>
      </c>
      <c r="I164" s="69" t="s">
        <v>45</v>
      </c>
      <c r="J164" s="49" t="s">
        <v>18</v>
      </c>
    </row>
    <row r="165" spans="1:11" ht="20.399999999999999">
      <c r="B165" s="652" t="s">
        <v>449</v>
      </c>
      <c r="C165" s="39" t="s">
        <v>450</v>
      </c>
      <c r="D165" s="39" t="s">
        <v>11</v>
      </c>
      <c r="E165" s="46">
        <v>444386</v>
      </c>
      <c r="F165" s="46">
        <v>758713</v>
      </c>
      <c r="G165" s="36" t="s">
        <v>9</v>
      </c>
      <c r="H165" s="36">
        <f t="shared" si="6"/>
        <v>1203099</v>
      </c>
      <c r="I165" s="40" t="s">
        <v>12</v>
      </c>
      <c r="J165" s="47" t="s">
        <v>1650</v>
      </c>
    </row>
    <row r="166" spans="1:11">
      <c r="B166" s="645"/>
      <c r="C166" s="10" t="s">
        <v>451</v>
      </c>
      <c r="D166" s="10" t="s">
        <v>40</v>
      </c>
      <c r="E166" s="11">
        <v>296191</v>
      </c>
      <c r="F166" s="11">
        <v>758713</v>
      </c>
      <c r="G166" s="5" t="s">
        <v>9</v>
      </c>
      <c r="H166" s="5">
        <f t="shared" si="6"/>
        <v>1054904</v>
      </c>
      <c r="I166" s="8" t="s">
        <v>41</v>
      </c>
      <c r="J166" s="12" t="s">
        <v>14</v>
      </c>
    </row>
    <row r="167" spans="1:11">
      <c r="B167" s="645"/>
      <c r="C167" s="10" t="s">
        <v>452</v>
      </c>
      <c r="D167" s="10" t="s">
        <v>42</v>
      </c>
      <c r="E167" s="11">
        <v>296278</v>
      </c>
      <c r="F167" s="11">
        <v>758713</v>
      </c>
      <c r="G167" s="5" t="s">
        <v>9</v>
      </c>
      <c r="H167" s="5">
        <f t="shared" si="6"/>
        <v>1054991</v>
      </c>
      <c r="I167" s="8" t="s">
        <v>43</v>
      </c>
      <c r="J167" s="12" t="s">
        <v>16</v>
      </c>
      <c r="K167" s="12"/>
    </row>
    <row r="168" spans="1:11">
      <c r="B168" s="653"/>
      <c r="C168" s="24" t="s">
        <v>453</v>
      </c>
      <c r="D168" s="24" t="s">
        <v>44</v>
      </c>
      <c r="E168" s="25">
        <v>296303</v>
      </c>
      <c r="F168" s="25">
        <v>758713</v>
      </c>
      <c r="G168" s="26" t="s">
        <v>9</v>
      </c>
      <c r="H168" s="26">
        <f t="shared" si="6"/>
        <v>1055016</v>
      </c>
      <c r="I168" s="69" t="s">
        <v>45</v>
      </c>
      <c r="J168" s="49" t="s">
        <v>18</v>
      </c>
    </row>
    <row r="169" spans="1:11" ht="20.399999999999999">
      <c r="B169" s="645" t="s">
        <v>454</v>
      </c>
      <c r="C169" s="10" t="s">
        <v>455</v>
      </c>
      <c r="D169" s="10" t="s">
        <v>1235</v>
      </c>
      <c r="E169" s="11" t="s">
        <v>9</v>
      </c>
      <c r="F169" s="11" t="s">
        <v>9</v>
      </c>
      <c r="G169" s="5">
        <f>933970</f>
        <v>933970</v>
      </c>
      <c r="H169" s="36">
        <f t="shared" si="6"/>
        <v>933970</v>
      </c>
      <c r="I169" s="8" t="s">
        <v>1632</v>
      </c>
      <c r="J169" s="12" t="s">
        <v>1657</v>
      </c>
    </row>
    <row r="170" spans="1:11">
      <c r="B170" s="645"/>
      <c r="C170" s="10" t="s">
        <v>457</v>
      </c>
      <c r="D170" s="10" t="s">
        <v>458</v>
      </c>
      <c r="E170" s="11">
        <f>148354+148280+148312</f>
        <v>444946</v>
      </c>
      <c r="F170" s="11" t="s">
        <v>9</v>
      </c>
      <c r="G170" s="5">
        <f>158186</f>
        <v>158186</v>
      </c>
      <c r="H170" s="5">
        <f t="shared" si="6"/>
        <v>603132</v>
      </c>
      <c r="I170" s="8" t="s">
        <v>1633</v>
      </c>
      <c r="J170" s="12" t="s">
        <v>82</v>
      </c>
    </row>
    <row r="171" spans="1:11">
      <c r="B171" s="645"/>
      <c r="C171" s="10" t="s">
        <v>459</v>
      </c>
      <c r="D171" s="10" t="s">
        <v>12</v>
      </c>
      <c r="E171" s="11">
        <f>148354+148280+148312</f>
        <v>444946</v>
      </c>
      <c r="F171" s="11" t="s">
        <v>9</v>
      </c>
      <c r="G171" s="5" t="s">
        <v>9</v>
      </c>
      <c r="H171" s="5">
        <f t="shared" si="6"/>
        <v>444946</v>
      </c>
      <c r="I171" s="8" t="s">
        <v>12</v>
      </c>
      <c r="J171" s="12" t="s">
        <v>1634</v>
      </c>
    </row>
    <row r="172" spans="1:11">
      <c r="B172" s="645"/>
      <c r="C172" s="10" t="s">
        <v>460</v>
      </c>
      <c r="D172" s="10" t="s">
        <v>461</v>
      </c>
      <c r="E172" s="11">
        <f>148280+148312</f>
        <v>296592</v>
      </c>
      <c r="F172" s="11" t="s">
        <v>9</v>
      </c>
      <c r="G172" s="5">
        <f>158186</f>
        <v>158186</v>
      </c>
      <c r="H172" s="5">
        <f t="shared" si="6"/>
        <v>454778</v>
      </c>
      <c r="I172" s="8" t="s">
        <v>1635</v>
      </c>
      <c r="J172" s="12" t="s">
        <v>14</v>
      </c>
    </row>
    <row r="173" spans="1:11">
      <c r="B173" s="645"/>
      <c r="C173" s="10" t="s">
        <v>462</v>
      </c>
      <c r="D173" s="10" t="s">
        <v>463</v>
      </c>
      <c r="E173" s="11">
        <f>148354+148312</f>
        <v>296666</v>
      </c>
      <c r="F173" s="11" t="s">
        <v>9</v>
      </c>
      <c r="G173" s="5">
        <f>158186</f>
        <v>158186</v>
      </c>
      <c r="H173" s="5">
        <f t="shared" si="6"/>
        <v>454852</v>
      </c>
      <c r="I173" s="8" t="s">
        <v>1636</v>
      </c>
      <c r="J173" s="12" t="s">
        <v>16</v>
      </c>
    </row>
    <row r="174" spans="1:11">
      <c r="A174" s="3"/>
      <c r="B174" s="653"/>
      <c r="C174" s="24" t="s">
        <v>464</v>
      </c>
      <c r="D174" s="24" t="s">
        <v>465</v>
      </c>
      <c r="E174" s="26">
        <f>148354+148280</f>
        <v>296634</v>
      </c>
      <c r="F174" s="25" t="s">
        <v>9</v>
      </c>
      <c r="G174" s="26">
        <f>158186</f>
        <v>158186</v>
      </c>
      <c r="H174" s="26">
        <f t="shared" si="6"/>
        <v>454820</v>
      </c>
      <c r="I174" s="69" t="s">
        <v>1637</v>
      </c>
      <c r="J174" s="49" t="s">
        <v>18</v>
      </c>
    </row>
    <row r="175" spans="1:11">
      <c r="B175" s="16"/>
      <c r="C175" s="10"/>
      <c r="D175" s="10"/>
      <c r="E175" s="5"/>
      <c r="F175" s="11"/>
      <c r="G175" s="5"/>
      <c r="H175" s="5"/>
      <c r="I175" s="8"/>
      <c r="J175" s="12"/>
    </row>
    <row r="176" spans="1:11">
      <c r="A176" s="76" t="s">
        <v>466</v>
      </c>
      <c r="B176" s="77"/>
      <c r="C176" s="78"/>
      <c r="D176" s="78"/>
      <c r="E176" s="79"/>
      <c r="F176" s="79"/>
      <c r="G176" s="79"/>
      <c r="H176" s="79"/>
      <c r="I176" s="80"/>
      <c r="J176" s="81"/>
    </row>
    <row r="177" spans="2:10" ht="20.399999999999999">
      <c r="B177" s="42" t="s">
        <v>467</v>
      </c>
      <c r="C177" s="42" t="s">
        <v>468</v>
      </c>
      <c r="D177" s="42" t="s">
        <v>144</v>
      </c>
      <c r="E177" s="43" t="s">
        <v>9</v>
      </c>
      <c r="F177" s="65">
        <v>557923</v>
      </c>
      <c r="G177" s="43" t="s">
        <v>9</v>
      </c>
      <c r="H177" s="43">
        <f t="shared" si="6"/>
        <v>557923</v>
      </c>
      <c r="I177" s="45" t="s">
        <v>49</v>
      </c>
      <c r="J177" s="45" t="s">
        <v>1647</v>
      </c>
    </row>
    <row r="178" spans="2:10" ht="20.399999999999999">
      <c r="B178" s="647" t="s">
        <v>473</v>
      </c>
      <c r="C178" s="39" t="s">
        <v>474</v>
      </c>
      <c r="D178" s="39" t="s">
        <v>475</v>
      </c>
      <c r="E178" s="36" t="s">
        <v>9</v>
      </c>
      <c r="F178" s="46">
        <v>59225</v>
      </c>
      <c r="G178" s="46">
        <v>63030</v>
      </c>
      <c r="H178" s="36">
        <f t="shared" si="6"/>
        <v>122255</v>
      </c>
      <c r="I178" s="47" t="s">
        <v>476</v>
      </c>
      <c r="J178" s="47" t="s">
        <v>1658</v>
      </c>
    </row>
    <row r="179" spans="2:10">
      <c r="B179" s="615"/>
      <c r="C179" s="24" t="s">
        <v>477</v>
      </c>
      <c r="D179" s="24" t="s">
        <v>144</v>
      </c>
      <c r="E179" s="26" t="s">
        <v>9</v>
      </c>
      <c r="F179" s="25">
        <v>59225</v>
      </c>
      <c r="G179" s="26" t="s">
        <v>9</v>
      </c>
      <c r="H179" s="26">
        <f t="shared" si="6"/>
        <v>59225</v>
      </c>
      <c r="I179" s="49" t="s">
        <v>49</v>
      </c>
      <c r="J179" s="49" t="s">
        <v>476</v>
      </c>
    </row>
    <row r="180" spans="2:10" ht="20.399999999999999">
      <c r="B180" s="42" t="s">
        <v>478</v>
      </c>
      <c r="C180" s="42" t="s">
        <v>479</v>
      </c>
      <c r="D180" s="42" t="s">
        <v>144</v>
      </c>
      <c r="E180" s="43" t="s">
        <v>9</v>
      </c>
      <c r="F180" s="65">
        <v>507804</v>
      </c>
      <c r="G180" s="43" t="s">
        <v>9</v>
      </c>
      <c r="H180" s="43">
        <f t="shared" si="6"/>
        <v>507804</v>
      </c>
      <c r="I180" s="44" t="s">
        <v>49</v>
      </c>
      <c r="J180" s="45" t="s">
        <v>1647</v>
      </c>
    </row>
    <row r="181" spans="2:10" ht="20.399999999999999">
      <c r="B181" s="652" t="s">
        <v>480</v>
      </c>
      <c r="C181" s="39" t="s">
        <v>481</v>
      </c>
      <c r="D181" s="39" t="s">
        <v>12</v>
      </c>
      <c r="E181" s="46">
        <v>168313</v>
      </c>
      <c r="F181" s="36" t="s">
        <v>9</v>
      </c>
      <c r="G181" s="36" t="s">
        <v>9</v>
      </c>
      <c r="H181" s="36">
        <f t="shared" si="6"/>
        <v>168313</v>
      </c>
      <c r="I181" s="40" t="s">
        <v>12</v>
      </c>
      <c r="J181" s="47" t="s">
        <v>1659</v>
      </c>
    </row>
    <row r="182" spans="2:10">
      <c r="B182" s="645"/>
      <c r="C182" s="10" t="s">
        <v>482</v>
      </c>
      <c r="D182" s="10" t="s">
        <v>41</v>
      </c>
      <c r="E182" s="11">
        <v>106557</v>
      </c>
      <c r="F182" s="5" t="s">
        <v>9</v>
      </c>
      <c r="G182" s="5" t="s">
        <v>9</v>
      </c>
      <c r="H182" s="5">
        <f t="shared" si="6"/>
        <v>106557</v>
      </c>
      <c r="I182" s="8" t="s">
        <v>41</v>
      </c>
      <c r="J182" s="12" t="s">
        <v>14</v>
      </c>
    </row>
    <row r="183" spans="2:10">
      <c r="B183" s="645"/>
      <c r="C183" s="10" t="s">
        <v>483</v>
      </c>
      <c r="D183" s="10" t="s">
        <v>43</v>
      </c>
      <c r="E183" s="11">
        <v>115346</v>
      </c>
      <c r="F183" s="5" t="s">
        <v>9</v>
      </c>
      <c r="G183" s="5" t="s">
        <v>9</v>
      </c>
      <c r="H183" s="5">
        <f t="shared" si="6"/>
        <v>115346</v>
      </c>
      <c r="I183" s="8" t="s">
        <v>43</v>
      </c>
      <c r="J183" s="12" t="s">
        <v>16</v>
      </c>
    </row>
    <row r="184" spans="2:10">
      <c r="B184" s="653"/>
      <c r="C184" s="24" t="s">
        <v>484</v>
      </c>
      <c r="D184" s="24" t="s">
        <v>45</v>
      </c>
      <c r="E184" s="25">
        <v>114723</v>
      </c>
      <c r="F184" s="26" t="s">
        <v>9</v>
      </c>
      <c r="G184" s="26" t="s">
        <v>9</v>
      </c>
      <c r="H184" s="26">
        <f t="shared" ref="H184:H222" si="7">SUM(E184:G184)</f>
        <v>114723</v>
      </c>
      <c r="I184" s="69" t="s">
        <v>45</v>
      </c>
      <c r="J184" s="49" t="s">
        <v>18</v>
      </c>
    </row>
    <row r="185" spans="2:10" ht="20.399999999999999">
      <c r="B185" s="652" t="s">
        <v>486</v>
      </c>
      <c r="C185" s="39" t="s">
        <v>487</v>
      </c>
      <c r="D185" s="39" t="s">
        <v>12</v>
      </c>
      <c r="E185" s="46">
        <v>168001</v>
      </c>
      <c r="F185" s="36" t="s">
        <v>9</v>
      </c>
      <c r="G185" s="36" t="s">
        <v>9</v>
      </c>
      <c r="H185" s="36">
        <f t="shared" si="7"/>
        <v>168001</v>
      </c>
      <c r="I185" s="40" t="s">
        <v>12</v>
      </c>
      <c r="J185" s="47" t="s">
        <v>1659</v>
      </c>
    </row>
    <row r="186" spans="2:10">
      <c r="B186" s="645"/>
      <c r="C186" s="10" t="s">
        <v>488</v>
      </c>
      <c r="D186" s="10" t="s">
        <v>41</v>
      </c>
      <c r="E186" s="11">
        <v>106487</v>
      </c>
      <c r="F186" s="5" t="s">
        <v>9</v>
      </c>
      <c r="G186" s="5" t="s">
        <v>9</v>
      </c>
      <c r="H186" s="5">
        <f t="shared" si="7"/>
        <v>106487</v>
      </c>
      <c r="I186" s="8" t="s">
        <v>41</v>
      </c>
      <c r="J186" s="12" t="s">
        <v>14</v>
      </c>
    </row>
    <row r="187" spans="2:10">
      <c r="B187" s="645"/>
      <c r="C187" s="10" t="s">
        <v>489</v>
      </c>
      <c r="D187" s="10" t="s">
        <v>43</v>
      </c>
      <c r="E187" s="11">
        <v>115055</v>
      </c>
      <c r="F187" s="5" t="s">
        <v>9</v>
      </c>
      <c r="G187" s="5" t="s">
        <v>9</v>
      </c>
      <c r="H187" s="5">
        <f t="shared" si="7"/>
        <v>115055</v>
      </c>
      <c r="I187" s="8" t="s">
        <v>43</v>
      </c>
      <c r="J187" s="12" t="s">
        <v>16</v>
      </c>
    </row>
    <row r="188" spans="2:10">
      <c r="B188" s="653"/>
      <c r="C188" s="24" t="s">
        <v>490</v>
      </c>
      <c r="D188" s="24" t="s">
        <v>45</v>
      </c>
      <c r="E188" s="25">
        <v>114460</v>
      </c>
      <c r="F188" s="26" t="s">
        <v>9</v>
      </c>
      <c r="G188" s="26" t="s">
        <v>9</v>
      </c>
      <c r="H188" s="26">
        <f t="shared" si="7"/>
        <v>114460</v>
      </c>
      <c r="I188" s="69" t="s">
        <v>45</v>
      </c>
      <c r="J188" s="49" t="s">
        <v>18</v>
      </c>
    </row>
    <row r="189" spans="2:10" ht="20.399999999999999">
      <c r="B189" s="647" t="s">
        <v>493</v>
      </c>
      <c r="C189" s="39" t="s">
        <v>494</v>
      </c>
      <c r="D189" s="39" t="s">
        <v>11</v>
      </c>
      <c r="E189" s="46">
        <v>401076</v>
      </c>
      <c r="F189" s="46">
        <v>91967</v>
      </c>
      <c r="G189" s="36" t="s">
        <v>9</v>
      </c>
      <c r="H189" s="36">
        <f t="shared" si="7"/>
        <v>493043</v>
      </c>
      <c r="I189" s="40" t="s">
        <v>12</v>
      </c>
      <c r="J189" s="47" t="s">
        <v>1659</v>
      </c>
    </row>
    <row r="190" spans="2:10">
      <c r="B190" s="614"/>
      <c r="C190" s="10" t="s">
        <v>495</v>
      </c>
      <c r="D190" s="10" t="s">
        <v>40</v>
      </c>
      <c r="E190" s="11">
        <v>266703</v>
      </c>
      <c r="F190" s="11">
        <v>91967</v>
      </c>
      <c r="G190" s="5" t="s">
        <v>9</v>
      </c>
      <c r="H190" s="5">
        <f t="shared" si="7"/>
        <v>358670</v>
      </c>
      <c r="I190" s="8" t="s">
        <v>41</v>
      </c>
      <c r="J190" s="12" t="s">
        <v>14</v>
      </c>
    </row>
    <row r="191" spans="2:10">
      <c r="B191" s="614"/>
      <c r="C191" s="10" t="s">
        <v>496</v>
      </c>
      <c r="D191" s="10" t="s">
        <v>42</v>
      </c>
      <c r="E191" s="11">
        <v>267765</v>
      </c>
      <c r="F191" s="11">
        <v>91967</v>
      </c>
      <c r="G191" s="5" t="s">
        <v>9</v>
      </c>
      <c r="H191" s="5">
        <f t="shared" si="7"/>
        <v>359732</v>
      </c>
      <c r="I191" s="8" t="s">
        <v>43</v>
      </c>
      <c r="J191" s="12" t="s">
        <v>16</v>
      </c>
    </row>
    <row r="192" spans="2:10">
      <c r="B192" s="615"/>
      <c r="C192" s="24" t="s">
        <v>497</v>
      </c>
      <c r="D192" s="24" t="s">
        <v>44</v>
      </c>
      <c r="E192" s="25">
        <v>267684</v>
      </c>
      <c r="F192" s="25">
        <v>91967</v>
      </c>
      <c r="G192" s="26" t="s">
        <v>9</v>
      </c>
      <c r="H192" s="26">
        <f t="shared" si="7"/>
        <v>359651</v>
      </c>
      <c r="I192" s="69" t="s">
        <v>45</v>
      </c>
      <c r="J192" s="49" t="s">
        <v>18</v>
      </c>
    </row>
    <row r="193" spans="1:10" ht="20.399999999999999">
      <c r="B193" s="42" t="s">
        <v>498</v>
      </c>
      <c r="C193" s="42" t="s">
        <v>499</v>
      </c>
      <c r="D193" s="42" t="s">
        <v>144</v>
      </c>
      <c r="E193" s="65" t="s">
        <v>9</v>
      </c>
      <c r="F193" s="65">
        <v>606824</v>
      </c>
      <c r="G193" s="43" t="s">
        <v>9</v>
      </c>
      <c r="H193" s="36">
        <f t="shared" si="7"/>
        <v>606824</v>
      </c>
      <c r="I193" s="75"/>
      <c r="J193" s="45" t="s">
        <v>1647</v>
      </c>
    </row>
    <row r="194" spans="1:10" ht="20.399999999999999">
      <c r="B194" s="42" t="s">
        <v>500</v>
      </c>
      <c r="C194" s="42" t="s">
        <v>501</v>
      </c>
      <c r="D194" s="42" t="s">
        <v>144</v>
      </c>
      <c r="E194" s="43" t="s">
        <v>9</v>
      </c>
      <c r="F194" s="65">
        <v>452535</v>
      </c>
      <c r="G194" s="43" t="s">
        <v>9</v>
      </c>
      <c r="H194" s="43">
        <f t="shared" si="7"/>
        <v>452535</v>
      </c>
      <c r="I194" s="44" t="s">
        <v>49</v>
      </c>
      <c r="J194" s="45" t="s">
        <v>1647</v>
      </c>
    </row>
    <row r="195" spans="1:10" ht="20.399999999999999">
      <c r="B195" s="647" t="s">
        <v>502</v>
      </c>
      <c r="C195" s="39" t="s">
        <v>503</v>
      </c>
      <c r="D195" s="39" t="s">
        <v>504</v>
      </c>
      <c r="E195" s="46">
        <v>361688</v>
      </c>
      <c r="F195" s="46">
        <v>59206</v>
      </c>
      <c r="G195" s="46">
        <v>63666</v>
      </c>
      <c r="H195" s="36">
        <f>SUM(E195:G195)</f>
        <v>484560</v>
      </c>
      <c r="I195" s="47" t="s">
        <v>505</v>
      </c>
      <c r="J195" s="47" t="s">
        <v>1660</v>
      </c>
    </row>
    <row r="196" spans="1:10">
      <c r="B196" s="614"/>
      <c r="C196" s="10" t="s">
        <v>506</v>
      </c>
      <c r="D196" s="10" t="s">
        <v>11</v>
      </c>
      <c r="E196" s="11">
        <v>361688</v>
      </c>
      <c r="F196" s="11">
        <v>59206</v>
      </c>
      <c r="G196" s="5" t="s">
        <v>9</v>
      </c>
      <c r="H196" s="5">
        <f t="shared" si="7"/>
        <v>420894</v>
      </c>
      <c r="I196" s="12" t="s">
        <v>12</v>
      </c>
      <c r="J196" s="12" t="s">
        <v>476</v>
      </c>
    </row>
    <row r="197" spans="1:10">
      <c r="B197" s="614"/>
      <c r="C197" s="10" t="s">
        <v>507</v>
      </c>
      <c r="D197" s="10" t="s">
        <v>508</v>
      </c>
      <c r="E197" s="11">
        <v>240416</v>
      </c>
      <c r="F197" s="11">
        <v>59206</v>
      </c>
      <c r="G197" s="11">
        <v>63666</v>
      </c>
      <c r="H197" s="5">
        <f t="shared" si="7"/>
        <v>363288</v>
      </c>
      <c r="I197" s="12" t="s">
        <v>509</v>
      </c>
      <c r="J197" s="12" t="s">
        <v>14</v>
      </c>
    </row>
    <row r="198" spans="1:10">
      <c r="B198" s="614"/>
      <c r="C198" s="10" t="s">
        <v>510</v>
      </c>
      <c r="D198" s="10" t="s">
        <v>511</v>
      </c>
      <c r="E198" s="11">
        <v>241334</v>
      </c>
      <c r="F198" s="11">
        <v>59206</v>
      </c>
      <c r="G198" s="11">
        <v>63666</v>
      </c>
      <c r="H198" s="5">
        <f t="shared" si="7"/>
        <v>364206</v>
      </c>
      <c r="I198" s="12" t="s">
        <v>512</v>
      </c>
      <c r="J198" s="12" t="s">
        <v>16</v>
      </c>
    </row>
    <row r="199" spans="1:10">
      <c r="B199" s="615"/>
      <c r="C199" s="24" t="s">
        <v>513</v>
      </c>
      <c r="D199" s="24" t="s">
        <v>514</v>
      </c>
      <c r="E199" s="25">
        <v>241626</v>
      </c>
      <c r="F199" s="25">
        <v>59206</v>
      </c>
      <c r="G199" s="25">
        <v>63666</v>
      </c>
      <c r="H199" s="26">
        <f t="shared" si="7"/>
        <v>364498</v>
      </c>
      <c r="I199" s="49" t="s">
        <v>515</v>
      </c>
      <c r="J199" s="49" t="s">
        <v>18</v>
      </c>
    </row>
    <row r="200" spans="1:10" ht="20.399999999999999">
      <c r="B200" s="647" t="s">
        <v>516</v>
      </c>
      <c r="C200" s="39" t="s">
        <v>517</v>
      </c>
      <c r="D200" s="39" t="s">
        <v>518</v>
      </c>
      <c r="E200" s="36" t="s">
        <v>9</v>
      </c>
      <c r="F200" s="46">
        <v>59176</v>
      </c>
      <c r="G200" s="46">
        <v>17375</v>
      </c>
      <c r="H200" s="36">
        <f t="shared" si="7"/>
        <v>76551</v>
      </c>
      <c r="I200" s="47" t="s">
        <v>412</v>
      </c>
      <c r="J200" s="47" t="s">
        <v>1661</v>
      </c>
    </row>
    <row r="201" spans="1:10">
      <c r="B201" s="615"/>
      <c r="C201" s="24" t="s">
        <v>519</v>
      </c>
      <c r="D201" s="24" t="s">
        <v>144</v>
      </c>
      <c r="E201" s="26" t="s">
        <v>9</v>
      </c>
      <c r="F201" s="25">
        <v>59176</v>
      </c>
      <c r="G201" s="26" t="s">
        <v>9</v>
      </c>
      <c r="H201" s="26">
        <f t="shared" si="7"/>
        <v>59176</v>
      </c>
      <c r="I201" s="49" t="s">
        <v>49</v>
      </c>
      <c r="J201" s="49" t="s">
        <v>412</v>
      </c>
    </row>
    <row r="202" spans="1:10">
      <c r="A202" s="18"/>
      <c r="B202" s="647" t="s">
        <v>418</v>
      </c>
      <c r="C202" s="39" t="s">
        <v>416</v>
      </c>
      <c r="D202" s="39" t="s">
        <v>1236</v>
      </c>
      <c r="E202" s="46" t="s">
        <v>9</v>
      </c>
      <c r="F202" s="46">
        <v>265934</v>
      </c>
      <c r="G202" s="36">
        <v>608595</v>
      </c>
      <c r="H202" s="36">
        <f t="shared" ref="H202:H208" si="8">SUM(E202:G202)</f>
        <v>874529</v>
      </c>
      <c r="I202" s="37" t="s">
        <v>1638</v>
      </c>
      <c r="J202" s="47" t="s">
        <v>1662</v>
      </c>
    </row>
    <row r="203" spans="1:10">
      <c r="A203" s="18"/>
      <c r="B203" s="614"/>
      <c r="C203" s="10" t="s">
        <v>419</v>
      </c>
      <c r="D203" s="10" t="s">
        <v>420</v>
      </c>
      <c r="E203" s="5" t="s">
        <v>9</v>
      </c>
      <c r="F203" s="11">
        <v>265934</v>
      </c>
      <c r="G203" s="5">
        <v>91105</v>
      </c>
      <c r="H203" s="5">
        <f t="shared" si="8"/>
        <v>357039</v>
      </c>
      <c r="I203" s="8" t="s">
        <v>12</v>
      </c>
      <c r="J203" s="8" t="s">
        <v>1679</v>
      </c>
    </row>
    <row r="204" spans="1:10" s="18" customFormat="1">
      <c r="A204" s="1"/>
      <c r="B204" s="615"/>
      <c r="C204" s="24" t="s">
        <v>421</v>
      </c>
      <c r="D204" s="24" t="s">
        <v>144</v>
      </c>
      <c r="E204" s="26" t="s">
        <v>9</v>
      </c>
      <c r="F204" s="25">
        <v>265934</v>
      </c>
      <c r="G204" s="26" t="s">
        <v>9</v>
      </c>
      <c r="H204" s="26">
        <f t="shared" si="8"/>
        <v>265934</v>
      </c>
      <c r="I204" s="24" t="s">
        <v>49</v>
      </c>
      <c r="J204" s="49" t="s">
        <v>12</v>
      </c>
    </row>
    <row r="205" spans="1:10" s="18" customFormat="1" ht="20.399999999999999">
      <c r="A205" s="1"/>
      <c r="B205" s="647" t="s">
        <v>520</v>
      </c>
      <c r="C205" s="39" t="s">
        <v>521</v>
      </c>
      <c r="D205" s="39" t="s">
        <v>12</v>
      </c>
      <c r="E205" s="46">
        <v>444842</v>
      </c>
      <c r="F205" s="36" t="s">
        <v>9</v>
      </c>
      <c r="G205" s="36" t="s">
        <v>9</v>
      </c>
      <c r="H205" s="36">
        <f t="shared" si="8"/>
        <v>444842</v>
      </c>
      <c r="I205" s="40" t="s">
        <v>12</v>
      </c>
      <c r="J205" s="47" t="s">
        <v>1659</v>
      </c>
    </row>
    <row r="206" spans="1:10">
      <c r="B206" s="614"/>
      <c r="C206" s="10" t="s">
        <v>522</v>
      </c>
      <c r="D206" s="10" t="s">
        <v>41</v>
      </c>
      <c r="E206" s="11">
        <v>296529</v>
      </c>
      <c r="F206" s="5" t="s">
        <v>9</v>
      </c>
      <c r="G206" s="5" t="s">
        <v>9</v>
      </c>
      <c r="H206" s="5">
        <f t="shared" si="8"/>
        <v>296529</v>
      </c>
      <c r="I206" s="8" t="s">
        <v>41</v>
      </c>
      <c r="J206" s="12" t="s">
        <v>14</v>
      </c>
    </row>
    <row r="207" spans="1:10">
      <c r="B207" s="614"/>
      <c r="C207" s="10" t="s">
        <v>523</v>
      </c>
      <c r="D207" s="10" t="s">
        <v>43</v>
      </c>
      <c r="E207" s="11">
        <v>296564</v>
      </c>
      <c r="F207" s="5" t="s">
        <v>9</v>
      </c>
      <c r="G207" s="5" t="s">
        <v>9</v>
      </c>
      <c r="H207" s="5">
        <f t="shared" si="8"/>
        <v>296564</v>
      </c>
      <c r="I207" s="8" t="s">
        <v>43</v>
      </c>
      <c r="J207" s="12" t="s">
        <v>16</v>
      </c>
    </row>
    <row r="208" spans="1:10">
      <c r="B208" s="615"/>
      <c r="C208" s="24" t="s">
        <v>524</v>
      </c>
      <c r="D208" s="24" t="s">
        <v>45</v>
      </c>
      <c r="E208" s="25">
        <v>296591</v>
      </c>
      <c r="F208" s="26" t="s">
        <v>9</v>
      </c>
      <c r="G208" s="26" t="s">
        <v>9</v>
      </c>
      <c r="H208" s="26">
        <f t="shared" si="8"/>
        <v>296591</v>
      </c>
      <c r="I208" s="69" t="s">
        <v>45</v>
      </c>
      <c r="J208" s="49" t="s">
        <v>18</v>
      </c>
    </row>
    <row r="209" spans="1:10" ht="20.399999999999999">
      <c r="B209" s="647" t="s">
        <v>527</v>
      </c>
      <c r="C209" s="39" t="s">
        <v>528</v>
      </c>
      <c r="D209" s="39" t="s">
        <v>529</v>
      </c>
      <c r="E209" s="36" t="s">
        <v>9</v>
      </c>
      <c r="F209" s="46">
        <v>969309</v>
      </c>
      <c r="G209" s="36">
        <v>458558</v>
      </c>
      <c r="H209" s="36">
        <f t="shared" si="7"/>
        <v>1427867</v>
      </c>
      <c r="I209" s="40" t="s">
        <v>530</v>
      </c>
      <c r="J209" s="47" t="s">
        <v>1653</v>
      </c>
    </row>
    <row r="210" spans="1:10">
      <c r="B210" s="614"/>
      <c r="C210" s="10" t="s">
        <v>531</v>
      </c>
      <c r="D210" s="10" t="s">
        <v>40</v>
      </c>
      <c r="E210" s="5">
        <v>287098</v>
      </c>
      <c r="F210" s="11">
        <v>969309</v>
      </c>
      <c r="G210" s="5" t="s">
        <v>9</v>
      </c>
      <c r="H210" s="5">
        <f t="shared" si="7"/>
        <v>1256407</v>
      </c>
      <c r="I210" s="8" t="s">
        <v>41</v>
      </c>
      <c r="J210" s="12" t="s">
        <v>14</v>
      </c>
    </row>
    <row r="211" spans="1:10">
      <c r="B211" s="614"/>
      <c r="C211" s="10" t="s">
        <v>532</v>
      </c>
      <c r="D211" s="10" t="s">
        <v>42</v>
      </c>
      <c r="E211" s="5">
        <v>287848</v>
      </c>
      <c r="F211" s="11">
        <v>969309</v>
      </c>
      <c r="G211" s="5" t="s">
        <v>9</v>
      </c>
      <c r="H211" s="5">
        <f t="shared" si="7"/>
        <v>1257157</v>
      </c>
      <c r="I211" s="8" t="s">
        <v>43</v>
      </c>
      <c r="J211" s="12" t="s">
        <v>16</v>
      </c>
    </row>
    <row r="212" spans="1:10">
      <c r="B212" s="614"/>
      <c r="C212" s="10" t="s">
        <v>533</v>
      </c>
      <c r="D212" s="10" t="s">
        <v>44</v>
      </c>
      <c r="E212" s="5">
        <v>287880</v>
      </c>
      <c r="F212" s="11">
        <v>969309</v>
      </c>
      <c r="G212" s="5" t="s">
        <v>9</v>
      </c>
      <c r="H212" s="5">
        <f t="shared" si="7"/>
        <v>1257189</v>
      </c>
      <c r="I212" s="8" t="s">
        <v>45</v>
      </c>
      <c r="J212" s="12" t="s">
        <v>18</v>
      </c>
    </row>
    <row r="213" spans="1:10">
      <c r="B213" s="615"/>
      <c r="C213" s="24" t="s">
        <v>534</v>
      </c>
      <c r="D213" s="24" t="s">
        <v>11</v>
      </c>
      <c r="E213" s="26">
        <f>(E210+E211+E212)/2</f>
        <v>431413</v>
      </c>
      <c r="F213" s="25">
        <v>969309</v>
      </c>
      <c r="G213" s="26" t="s">
        <v>9</v>
      </c>
      <c r="H213" s="26">
        <f t="shared" si="7"/>
        <v>1400722</v>
      </c>
      <c r="I213" s="69" t="s">
        <v>12</v>
      </c>
      <c r="J213" s="49" t="s">
        <v>82</v>
      </c>
    </row>
    <row r="214" spans="1:10" ht="20.399999999999999">
      <c r="B214" s="645" t="s">
        <v>535</v>
      </c>
      <c r="C214" s="10" t="s">
        <v>536</v>
      </c>
      <c r="D214" s="10" t="s">
        <v>537</v>
      </c>
      <c r="E214" s="11">
        <f>61929+53333+53957</f>
        <v>169219</v>
      </c>
      <c r="F214" s="11">
        <v>728752</v>
      </c>
      <c r="G214" s="11">
        <v>95886.15</v>
      </c>
      <c r="H214" s="36">
        <f t="shared" si="7"/>
        <v>993857.15</v>
      </c>
      <c r="I214" s="9" t="s">
        <v>538</v>
      </c>
      <c r="J214" s="12" t="s">
        <v>1663</v>
      </c>
    </row>
    <row r="215" spans="1:10" ht="20.399999999999999">
      <c r="B215" s="645"/>
      <c r="C215" s="10" t="s">
        <v>539</v>
      </c>
      <c r="D215" s="10" t="s">
        <v>540</v>
      </c>
      <c r="E215" s="11">
        <f>61929+53333+53957</f>
        <v>169219</v>
      </c>
      <c r="F215" s="11">
        <v>728752</v>
      </c>
      <c r="G215" s="66">
        <v>90232.15</v>
      </c>
      <c r="H215" s="5">
        <f t="shared" si="7"/>
        <v>988203.15</v>
      </c>
      <c r="I215" s="9" t="s">
        <v>541</v>
      </c>
      <c r="J215" s="12" t="s">
        <v>73</v>
      </c>
    </row>
    <row r="216" spans="1:10" ht="20.399999999999999">
      <c r="B216" s="645"/>
      <c r="C216" s="10" t="s">
        <v>542</v>
      </c>
      <c r="D216" s="10" t="s">
        <v>543</v>
      </c>
      <c r="E216" s="11">
        <f>61929+53333+53957</f>
        <v>169219</v>
      </c>
      <c r="F216" s="11">
        <v>728752</v>
      </c>
      <c r="G216" s="66">
        <v>88878.15</v>
      </c>
      <c r="H216" s="5">
        <f t="shared" si="7"/>
        <v>986849.15</v>
      </c>
      <c r="I216" s="9" t="s">
        <v>544</v>
      </c>
      <c r="J216" s="12" t="s">
        <v>82</v>
      </c>
    </row>
    <row r="217" spans="1:10" ht="20.399999999999999">
      <c r="B217" s="645"/>
      <c r="C217" s="10" t="s">
        <v>545</v>
      </c>
      <c r="D217" s="10" t="s">
        <v>546</v>
      </c>
      <c r="E217" s="11">
        <f>61929+53333+53957</f>
        <v>169219</v>
      </c>
      <c r="F217" s="11">
        <v>728752</v>
      </c>
      <c r="G217" s="66">
        <v>85944.15</v>
      </c>
      <c r="H217" s="5">
        <f t="shared" si="7"/>
        <v>983915.15</v>
      </c>
      <c r="I217" s="9" t="s">
        <v>547</v>
      </c>
      <c r="J217" s="10" t="s">
        <v>85</v>
      </c>
    </row>
    <row r="218" spans="1:10" ht="20.399999999999999">
      <c r="B218" s="645"/>
      <c r="C218" s="10" t="s">
        <v>548</v>
      </c>
      <c r="D218" s="10" t="s">
        <v>549</v>
      </c>
      <c r="E218" s="11">
        <f>61929+53333+53957</f>
        <v>169219</v>
      </c>
      <c r="F218" s="11">
        <v>728752</v>
      </c>
      <c r="G218" s="66">
        <v>81839.149999999994</v>
      </c>
      <c r="H218" s="5">
        <f t="shared" si="7"/>
        <v>979810.15</v>
      </c>
      <c r="I218" s="9" t="s">
        <v>550</v>
      </c>
      <c r="J218" s="90" t="s">
        <v>90</v>
      </c>
    </row>
    <row r="219" spans="1:10" ht="20.399999999999999">
      <c r="B219" s="645"/>
      <c r="C219" s="10" t="s">
        <v>551</v>
      </c>
      <c r="D219" s="10" t="s">
        <v>552</v>
      </c>
      <c r="E219" s="11">
        <f>53333+53957</f>
        <v>107290</v>
      </c>
      <c r="F219" s="11">
        <v>728752</v>
      </c>
      <c r="G219" s="11">
        <v>95886.15</v>
      </c>
      <c r="H219" s="5">
        <f t="shared" si="7"/>
        <v>931928.15</v>
      </c>
      <c r="I219" s="9" t="s">
        <v>553</v>
      </c>
      <c r="J219" s="9" t="s">
        <v>14</v>
      </c>
    </row>
    <row r="220" spans="1:10" ht="20.399999999999999">
      <c r="B220" s="645"/>
      <c r="C220" s="10" t="s">
        <v>554</v>
      </c>
      <c r="D220" s="10" t="s">
        <v>555</v>
      </c>
      <c r="E220" s="11">
        <f>61929+53957</f>
        <v>115886</v>
      </c>
      <c r="F220" s="11">
        <v>728752</v>
      </c>
      <c r="G220" s="11">
        <v>95886.15</v>
      </c>
      <c r="H220" s="5">
        <f t="shared" si="7"/>
        <v>940524.15</v>
      </c>
      <c r="I220" s="9" t="s">
        <v>556</v>
      </c>
      <c r="J220" s="9" t="s">
        <v>16</v>
      </c>
    </row>
    <row r="221" spans="1:10" ht="20.399999999999999">
      <c r="B221" s="645"/>
      <c r="C221" s="10" t="s">
        <v>557</v>
      </c>
      <c r="D221" s="10" t="s">
        <v>558</v>
      </c>
      <c r="E221" s="11">
        <f>61929+53333</f>
        <v>115262</v>
      </c>
      <c r="F221" s="11">
        <v>728752</v>
      </c>
      <c r="G221" s="11">
        <v>95886.15</v>
      </c>
      <c r="H221" s="5">
        <f t="shared" si="7"/>
        <v>939900.15</v>
      </c>
      <c r="I221" s="9" t="s">
        <v>559</v>
      </c>
      <c r="J221" s="9" t="s">
        <v>18</v>
      </c>
    </row>
    <row r="222" spans="1:10" ht="20.399999999999999">
      <c r="A222" s="3"/>
      <c r="B222" s="653"/>
      <c r="C222" s="24" t="s">
        <v>560</v>
      </c>
      <c r="D222" s="24" t="s">
        <v>561</v>
      </c>
      <c r="E222" s="25">
        <f>61929+53333+53957</f>
        <v>169219</v>
      </c>
      <c r="F222" s="25">
        <v>728752</v>
      </c>
      <c r="G222" s="67">
        <v>91848.15</v>
      </c>
      <c r="H222" s="26">
        <f t="shared" si="7"/>
        <v>989819.15</v>
      </c>
      <c r="I222" s="28" t="s">
        <v>562</v>
      </c>
      <c r="J222" s="28" t="s">
        <v>103</v>
      </c>
    </row>
    <row r="224" spans="1:10">
      <c r="A224" s="51" t="s">
        <v>565</v>
      </c>
      <c r="B224" s="86"/>
      <c r="C224" s="86"/>
      <c r="D224" s="87"/>
      <c r="E224" s="84"/>
      <c r="F224" s="88"/>
      <c r="G224" s="88"/>
      <c r="H224" s="89"/>
      <c r="I224" s="60"/>
      <c r="J224" s="55"/>
    </row>
    <row r="225" spans="2:25" ht="20.399999999999999">
      <c r="B225" s="652" t="s">
        <v>193</v>
      </c>
      <c r="C225" s="15" t="s">
        <v>194</v>
      </c>
      <c r="D225" s="10" t="s">
        <v>195</v>
      </c>
      <c r="E225" s="5" t="s">
        <v>9</v>
      </c>
      <c r="F225" s="5" t="s">
        <v>9</v>
      </c>
      <c r="G225" s="5">
        <v>72517</v>
      </c>
      <c r="H225" s="5">
        <f>SUM(E225:G225)</f>
        <v>72517</v>
      </c>
      <c r="I225" s="13" t="s">
        <v>1609</v>
      </c>
      <c r="J225" s="12" t="s">
        <v>1664</v>
      </c>
    </row>
    <row r="226" spans="2:25" ht="13.75" customHeight="1">
      <c r="B226" s="645"/>
      <c r="C226" s="15" t="s">
        <v>196</v>
      </c>
      <c r="D226" s="10" t="s">
        <v>197</v>
      </c>
      <c r="E226" s="5" t="s">
        <v>9</v>
      </c>
      <c r="F226" s="5" t="s">
        <v>9</v>
      </c>
      <c r="G226" s="5">
        <v>14477</v>
      </c>
      <c r="H226" s="5">
        <f>SUM(E226:G226)</f>
        <v>14477</v>
      </c>
      <c r="I226" s="13" t="s">
        <v>1608</v>
      </c>
      <c r="J226" s="12" t="s">
        <v>12</v>
      </c>
    </row>
    <row r="227" spans="2:25" ht="13.75" customHeight="1">
      <c r="B227" s="653"/>
      <c r="C227" s="41" t="s">
        <v>1502</v>
      </c>
      <c r="D227" s="24" t="s">
        <v>863</v>
      </c>
      <c r="E227" s="26">
        <v>75521</v>
      </c>
      <c r="F227" s="26" t="s">
        <v>9</v>
      </c>
      <c r="G227" s="26" t="s">
        <v>9</v>
      </c>
      <c r="H227" s="5">
        <v>75521</v>
      </c>
      <c r="I227" s="27" t="s">
        <v>12</v>
      </c>
      <c r="J227" s="49" t="s">
        <v>1608</v>
      </c>
    </row>
    <row r="228" spans="2:25" ht="20.399999999999999">
      <c r="B228" s="68" t="s">
        <v>218</v>
      </c>
      <c r="C228" s="42" t="s">
        <v>219</v>
      </c>
      <c r="D228" s="42" t="s">
        <v>220</v>
      </c>
      <c r="E228" s="43" t="s">
        <v>9</v>
      </c>
      <c r="F228" s="65">
        <v>62380</v>
      </c>
      <c r="G228" s="43">
        <v>225534</v>
      </c>
      <c r="H228" s="43">
        <f t="shared" ref="H228:H248" si="9">SUM(E228:G228)</f>
        <v>287914</v>
      </c>
      <c r="I228" s="44" t="s">
        <v>49</v>
      </c>
      <c r="J228" s="45" t="s">
        <v>1647</v>
      </c>
    </row>
    <row r="229" spans="2:25" ht="20.399999999999999">
      <c r="B229" s="68" t="s">
        <v>221</v>
      </c>
      <c r="C229" s="42" t="s">
        <v>222</v>
      </c>
      <c r="D229" s="42" t="s">
        <v>223</v>
      </c>
      <c r="E229" s="43" t="s">
        <v>9</v>
      </c>
      <c r="F229" s="43" t="s">
        <v>9</v>
      </c>
      <c r="G229" s="43">
        <v>46350</v>
      </c>
      <c r="H229" s="43">
        <f t="shared" si="9"/>
        <v>46350</v>
      </c>
      <c r="I229" s="44" t="s">
        <v>49</v>
      </c>
      <c r="J229" s="45" t="s">
        <v>1647</v>
      </c>
    </row>
    <row r="230" spans="2:25" ht="20.399999999999999">
      <c r="B230" s="654" t="s">
        <v>224</v>
      </c>
      <c r="C230" s="39" t="s">
        <v>225</v>
      </c>
      <c r="D230" s="39" t="s">
        <v>226</v>
      </c>
      <c r="E230" s="36">
        <f>30116+23840+24146</f>
        <v>78102</v>
      </c>
      <c r="F230" s="46" t="s">
        <v>9</v>
      </c>
      <c r="G230" s="36">
        <v>413466</v>
      </c>
      <c r="H230" s="36" t="s">
        <v>1486</v>
      </c>
      <c r="I230" s="40" t="s">
        <v>1639</v>
      </c>
      <c r="J230" s="47" t="s">
        <v>1665</v>
      </c>
      <c r="K230" s="14"/>
      <c r="L230" s="14"/>
      <c r="M230" s="14"/>
      <c r="N230" s="14"/>
      <c r="O230" s="14"/>
      <c r="P230" s="14"/>
      <c r="Q230" s="14"/>
      <c r="R230" s="14"/>
      <c r="S230" s="14"/>
      <c r="T230" s="14"/>
      <c r="U230" s="14"/>
      <c r="V230" s="14"/>
      <c r="W230" s="14"/>
      <c r="X230" s="14"/>
      <c r="Y230" s="14"/>
    </row>
    <row r="231" spans="2:25">
      <c r="B231" s="655"/>
      <c r="C231" s="10" t="s">
        <v>227</v>
      </c>
      <c r="D231" s="10" t="s">
        <v>12</v>
      </c>
      <c r="E231" s="5">
        <f>30116+23840+24146</f>
        <v>78102</v>
      </c>
      <c r="F231" s="11" t="s">
        <v>9</v>
      </c>
      <c r="G231" s="5" t="s">
        <v>9</v>
      </c>
      <c r="H231" s="5">
        <f t="shared" si="9"/>
        <v>78102</v>
      </c>
      <c r="I231" s="13" t="s">
        <v>12</v>
      </c>
      <c r="J231" s="12" t="s">
        <v>1634</v>
      </c>
      <c r="K231" s="14"/>
      <c r="L231" s="14"/>
      <c r="M231" s="14"/>
      <c r="N231" s="14"/>
      <c r="O231" s="14"/>
      <c r="P231" s="14"/>
      <c r="Q231" s="14"/>
      <c r="R231" s="14"/>
      <c r="S231" s="14"/>
      <c r="T231" s="14"/>
      <c r="U231" s="14"/>
      <c r="V231" s="14"/>
      <c r="W231" s="14"/>
      <c r="X231" s="14"/>
      <c r="Y231" s="14"/>
    </row>
    <row r="232" spans="2:25">
      <c r="B232" s="655"/>
      <c r="C232" s="10" t="s">
        <v>228</v>
      </c>
      <c r="D232" s="10" t="s">
        <v>229</v>
      </c>
      <c r="E232" s="5">
        <f>23840+24146</f>
        <v>47986</v>
      </c>
      <c r="F232" s="11" t="s">
        <v>9</v>
      </c>
      <c r="G232" s="5">
        <v>51710</v>
      </c>
      <c r="H232" s="5">
        <f t="shared" si="9"/>
        <v>99696</v>
      </c>
      <c r="I232" s="13" t="s">
        <v>41</v>
      </c>
      <c r="J232" s="12" t="s">
        <v>14</v>
      </c>
      <c r="K232" s="14"/>
      <c r="L232" s="14"/>
      <c r="M232" s="14"/>
      <c r="N232" s="14"/>
      <c r="O232" s="14"/>
      <c r="P232" s="14"/>
      <c r="Q232" s="14"/>
      <c r="R232" s="14"/>
      <c r="S232" s="14"/>
      <c r="T232" s="14"/>
      <c r="U232" s="14"/>
      <c r="V232" s="14"/>
      <c r="W232" s="14"/>
      <c r="X232" s="14"/>
      <c r="Y232" s="14"/>
    </row>
    <row r="233" spans="2:25">
      <c r="B233" s="655"/>
      <c r="C233" s="10" t="s">
        <v>230</v>
      </c>
      <c r="D233" s="10" t="s">
        <v>231</v>
      </c>
      <c r="E233" s="5">
        <f>30116+24146</f>
        <v>54262</v>
      </c>
      <c r="F233" s="11" t="s">
        <v>9</v>
      </c>
      <c r="G233" s="5">
        <v>51710</v>
      </c>
      <c r="H233" s="5">
        <f t="shared" si="9"/>
        <v>105972</v>
      </c>
      <c r="I233" s="13" t="s">
        <v>43</v>
      </c>
      <c r="J233" s="12" t="s">
        <v>16</v>
      </c>
      <c r="K233" s="14"/>
      <c r="L233" s="14"/>
      <c r="M233" s="14"/>
      <c r="N233" s="14"/>
      <c r="O233" s="14"/>
      <c r="P233" s="14"/>
      <c r="Q233" s="14"/>
      <c r="R233" s="14"/>
      <c r="S233" s="14"/>
      <c r="T233" s="14"/>
      <c r="U233" s="14"/>
      <c r="V233" s="14"/>
      <c r="W233" s="14"/>
      <c r="X233" s="14"/>
      <c r="Y233" s="14"/>
    </row>
    <row r="234" spans="2:25">
      <c r="B234" s="656"/>
      <c r="C234" s="24" t="s">
        <v>232</v>
      </c>
      <c r="D234" s="24" t="s">
        <v>233</v>
      </c>
      <c r="E234" s="26">
        <f>30116+23840</f>
        <v>53956</v>
      </c>
      <c r="F234" s="25" t="s">
        <v>9</v>
      </c>
      <c r="G234" s="26">
        <v>51710</v>
      </c>
      <c r="H234" s="26">
        <f t="shared" si="9"/>
        <v>105666</v>
      </c>
      <c r="I234" s="27" t="s">
        <v>45</v>
      </c>
      <c r="J234" s="49" t="s">
        <v>18</v>
      </c>
      <c r="K234" s="14"/>
      <c r="L234" s="14"/>
      <c r="M234" s="14"/>
      <c r="N234" s="14"/>
      <c r="O234" s="14"/>
      <c r="P234" s="14"/>
      <c r="Q234" s="14"/>
      <c r="R234" s="14"/>
      <c r="S234" s="14"/>
      <c r="T234" s="14"/>
      <c r="U234" s="14"/>
      <c r="V234" s="14"/>
      <c r="W234" s="14"/>
      <c r="X234" s="14"/>
      <c r="Y234" s="14"/>
    </row>
    <row r="235" spans="2:25" ht="20.399999999999999">
      <c r="B235" s="658" t="s">
        <v>348</v>
      </c>
      <c r="C235" s="39" t="s">
        <v>349</v>
      </c>
      <c r="D235" s="39" t="s">
        <v>350</v>
      </c>
      <c r="E235" s="46">
        <v>404984</v>
      </c>
      <c r="F235" s="36">
        <v>307354</v>
      </c>
      <c r="G235" s="36">
        <v>230241</v>
      </c>
      <c r="H235" s="36">
        <f t="shared" si="9"/>
        <v>942579</v>
      </c>
      <c r="I235" s="37" t="s">
        <v>351</v>
      </c>
      <c r="J235" s="47" t="s">
        <v>1643</v>
      </c>
      <c r="K235" s="14"/>
      <c r="L235" s="14"/>
      <c r="M235" s="14"/>
      <c r="N235" s="14"/>
      <c r="O235" s="14"/>
      <c r="P235" s="14"/>
      <c r="Q235" s="14"/>
      <c r="R235" s="14"/>
      <c r="S235" s="14"/>
      <c r="T235" s="14"/>
      <c r="U235" s="14"/>
      <c r="V235" s="14"/>
      <c r="W235" s="14"/>
      <c r="X235" s="14"/>
      <c r="Y235" s="14"/>
    </row>
    <row r="236" spans="2:25">
      <c r="B236" s="659"/>
      <c r="C236" s="10" t="s">
        <v>352</v>
      </c>
      <c r="D236" s="10" t="s">
        <v>353</v>
      </c>
      <c r="E236" s="11">
        <v>404984</v>
      </c>
      <c r="F236" s="5">
        <v>307354</v>
      </c>
      <c r="G236" s="5">
        <v>56368</v>
      </c>
      <c r="H236" s="5">
        <f t="shared" si="9"/>
        <v>768706</v>
      </c>
      <c r="I236" s="8" t="s">
        <v>12</v>
      </c>
      <c r="J236" s="12" t="s">
        <v>354</v>
      </c>
      <c r="K236" s="14"/>
      <c r="L236" s="14"/>
      <c r="M236" s="14"/>
      <c r="N236" s="14"/>
      <c r="O236" s="14"/>
      <c r="P236" s="14"/>
      <c r="Q236" s="14"/>
      <c r="R236" s="14"/>
      <c r="S236" s="14"/>
      <c r="T236" s="14"/>
      <c r="U236" s="14"/>
      <c r="V236" s="14"/>
      <c r="W236" s="14"/>
      <c r="X236" s="14"/>
      <c r="Y236" s="14"/>
    </row>
    <row r="237" spans="2:25">
      <c r="B237" s="659"/>
      <c r="C237" s="10" t="s">
        <v>355</v>
      </c>
      <c r="D237" s="10" t="s">
        <v>356</v>
      </c>
      <c r="E237" s="11">
        <v>269031</v>
      </c>
      <c r="F237" s="5">
        <v>307354</v>
      </c>
      <c r="G237" s="5">
        <v>230241</v>
      </c>
      <c r="H237" s="5">
        <f t="shared" si="9"/>
        <v>806626</v>
      </c>
      <c r="I237" s="8" t="s">
        <v>357</v>
      </c>
      <c r="J237" s="12" t="s">
        <v>14</v>
      </c>
    </row>
    <row r="238" spans="2:25">
      <c r="B238" s="659"/>
      <c r="C238" s="10" t="s">
        <v>358</v>
      </c>
      <c r="D238" s="10" t="s">
        <v>359</v>
      </c>
      <c r="E238" s="11">
        <v>270554</v>
      </c>
      <c r="F238" s="5">
        <v>307354</v>
      </c>
      <c r="G238" s="5">
        <v>230241</v>
      </c>
      <c r="H238" s="5">
        <f t="shared" si="9"/>
        <v>808149</v>
      </c>
      <c r="I238" s="8" t="s">
        <v>360</v>
      </c>
      <c r="J238" s="12" t="s">
        <v>16</v>
      </c>
    </row>
    <row r="239" spans="2:25">
      <c r="B239" s="660"/>
      <c r="C239" s="24" t="s">
        <v>361</v>
      </c>
      <c r="D239" s="24" t="s">
        <v>362</v>
      </c>
      <c r="E239" s="25">
        <v>270383</v>
      </c>
      <c r="F239" s="26">
        <v>307354</v>
      </c>
      <c r="G239" s="26">
        <v>230241</v>
      </c>
      <c r="H239" s="26">
        <f t="shared" si="9"/>
        <v>807978</v>
      </c>
      <c r="I239" s="69" t="s">
        <v>363</v>
      </c>
      <c r="J239" s="49" t="s">
        <v>18</v>
      </c>
    </row>
    <row r="240" spans="2:25" ht="20.399999999999999">
      <c r="B240" s="647" t="s">
        <v>391</v>
      </c>
      <c r="C240" s="39" t="s">
        <v>392</v>
      </c>
      <c r="D240" s="39" t="s">
        <v>393</v>
      </c>
      <c r="E240" s="46" t="s">
        <v>9</v>
      </c>
      <c r="F240" s="36">
        <v>944460</v>
      </c>
      <c r="G240" s="36">
        <v>386533</v>
      </c>
      <c r="H240" s="36">
        <f t="shared" si="9"/>
        <v>1330993</v>
      </c>
      <c r="I240" s="37" t="s">
        <v>12</v>
      </c>
      <c r="J240" s="47" t="s">
        <v>1650</v>
      </c>
    </row>
    <row r="241" spans="1:10">
      <c r="B241" s="614"/>
      <c r="C241" s="10" t="s">
        <v>394</v>
      </c>
      <c r="D241" s="10" t="s">
        <v>40</v>
      </c>
      <c r="E241" s="5">
        <f>148527+148531</f>
        <v>297058</v>
      </c>
      <c r="F241" s="5">
        <v>944460</v>
      </c>
      <c r="G241" s="5" t="s">
        <v>9</v>
      </c>
      <c r="H241" s="5">
        <f t="shared" si="9"/>
        <v>1241518</v>
      </c>
      <c r="I241" s="10" t="s">
        <v>41</v>
      </c>
      <c r="J241" s="9" t="s">
        <v>14</v>
      </c>
    </row>
    <row r="242" spans="1:10">
      <c r="B242" s="614"/>
      <c r="C242" s="10" t="s">
        <v>395</v>
      </c>
      <c r="D242" s="10" t="s">
        <v>42</v>
      </c>
      <c r="E242" s="5">
        <f>148573+148531</f>
        <v>297104</v>
      </c>
      <c r="F242" s="5">
        <v>944460</v>
      </c>
      <c r="G242" s="5" t="s">
        <v>9</v>
      </c>
      <c r="H242" s="5">
        <f t="shared" si="9"/>
        <v>1241564</v>
      </c>
      <c r="I242" s="10" t="s">
        <v>43</v>
      </c>
      <c r="J242" s="9" t="s">
        <v>16</v>
      </c>
    </row>
    <row r="243" spans="1:10">
      <c r="B243" s="615"/>
      <c r="C243" s="24" t="s">
        <v>396</v>
      </c>
      <c r="D243" s="24" t="s">
        <v>44</v>
      </c>
      <c r="E243" s="26">
        <f>148573+148527</f>
        <v>297100</v>
      </c>
      <c r="F243" s="26">
        <v>944460</v>
      </c>
      <c r="G243" s="26" t="s">
        <v>9</v>
      </c>
      <c r="H243" s="26">
        <f t="shared" si="9"/>
        <v>1241560</v>
      </c>
      <c r="I243" s="24" t="s">
        <v>45</v>
      </c>
      <c r="J243" s="28" t="s">
        <v>18</v>
      </c>
    </row>
    <row r="244" spans="1:10" ht="20.399999999999999">
      <c r="B244" s="647" t="s">
        <v>439</v>
      </c>
      <c r="C244" s="39" t="s">
        <v>440</v>
      </c>
      <c r="D244" s="39" t="s">
        <v>441</v>
      </c>
      <c r="E244" s="36">
        <f>29386+23047+23366</f>
        <v>75799</v>
      </c>
      <c r="F244" s="46" t="s">
        <v>9</v>
      </c>
      <c r="G244" s="36">
        <f>161405</f>
        <v>161405</v>
      </c>
      <c r="H244" s="36">
        <f t="shared" si="9"/>
        <v>237204</v>
      </c>
      <c r="I244" s="37" t="s">
        <v>1640</v>
      </c>
      <c r="J244" s="47" t="s">
        <v>1657</v>
      </c>
    </row>
    <row r="245" spans="1:10">
      <c r="B245" s="614"/>
      <c r="C245" s="10" t="s">
        <v>442</v>
      </c>
      <c r="D245" s="10" t="s">
        <v>12</v>
      </c>
      <c r="E245" s="5">
        <f>29386+23047+23366</f>
        <v>75799</v>
      </c>
      <c r="F245" s="11" t="s">
        <v>9</v>
      </c>
      <c r="G245" s="5" t="s">
        <v>9</v>
      </c>
      <c r="H245" s="5">
        <f t="shared" si="9"/>
        <v>75799</v>
      </c>
      <c r="I245" s="8" t="s">
        <v>12</v>
      </c>
      <c r="J245" s="12" t="s">
        <v>1641</v>
      </c>
    </row>
    <row r="246" spans="1:10">
      <c r="B246" s="614"/>
      <c r="C246" s="10" t="s">
        <v>443</v>
      </c>
      <c r="D246" s="10" t="s">
        <v>444</v>
      </c>
      <c r="E246" s="5">
        <f>23047+23366</f>
        <v>46413</v>
      </c>
      <c r="F246" s="11" t="s">
        <v>9</v>
      </c>
      <c r="G246" s="5">
        <f>161405</f>
        <v>161405</v>
      </c>
      <c r="H246" s="5">
        <f t="shared" si="9"/>
        <v>207818</v>
      </c>
      <c r="I246" s="8" t="s">
        <v>41</v>
      </c>
      <c r="J246" s="12" t="s">
        <v>14</v>
      </c>
    </row>
    <row r="247" spans="1:10">
      <c r="B247" s="614"/>
      <c r="C247" s="10" t="s">
        <v>445</v>
      </c>
      <c r="D247" s="10" t="s">
        <v>446</v>
      </c>
      <c r="E247" s="5">
        <f>29386+23366</f>
        <v>52752</v>
      </c>
      <c r="F247" s="11" t="s">
        <v>9</v>
      </c>
      <c r="G247" s="5">
        <f>161405</f>
        <v>161405</v>
      </c>
      <c r="H247" s="5">
        <f t="shared" si="9"/>
        <v>214157</v>
      </c>
      <c r="I247" s="8" t="s">
        <v>43</v>
      </c>
      <c r="J247" s="12" t="s">
        <v>16</v>
      </c>
    </row>
    <row r="248" spans="1:10">
      <c r="B248" s="615"/>
      <c r="C248" s="24" t="s">
        <v>447</v>
      </c>
      <c r="D248" s="24" t="s">
        <v>448</v>
      </c>
      <c r="E248" s="26">
        <f>29386+23047</f>
        <v>52433</v>
      </c>
      <c r="F248" s="25" t="s">
        <v>9</v>
      </c>
      <c r="G248" s="26">
        <f>161405</f>
        <v>161405</v>
      </c>
      <c r="H248" s="26">
        <f t="shared" si="9"/>
        <v>213838</v>
      </c>
      <c r="I248" s="69" t="s">
        <v>45</v>
      </c>
      <c r="J248" s="49" t="s">
        <v>18</v>
      </c>
    </row>
    <row r="250" spans="1:10">
      <c r="A250" s="51" t="s">
        <v>566</v>
      </c>
      <c r="B250" s="86"/>
      <c r="C250" s="86"/>
      <c r="D250" s="87"/>
      <c r="E250" s="84"/>
      <c r="F250" s="88"/>
      <c r="G250" s="88"/>
      <c r="H250" s="89"/>
      <c r="I250" s="60"/>
      <c r="J250" s="55"/>
    </row>
    <row r="251" spans="1:10" ht="20.399999999999999">
      <c r="B251" s="614" t="s">
        <v>159</v>
      </c>
      <c r="C251" s="10" t="s">
        <v>160</v>
      </c>
      <c r="D251" s="10" t="s">
        <v>161</v>
      </c>
      <c r="E251" s="11">
        <v>131660</v>
      </c>
      <c r="F251" s="5">
        <v>19407</v>
      </c>
      <c r="G251" s="5">
        <v>46568</v>
      </c>
      <c r="H251" s="5">
        <v>197635</v>
      </c>
      <c r="I251" s="13" t="s">
        <v>162</v>
      </c>
      <c r="J251" s="12" t="s">
        <v>1666</v>
      </c>
    </row>
    <row r="252" spans="1:10">
      <c r="B252" s="614"/>
      <c r="C252" s="10" t="s">
        <v>163</v>
      </c>
      <c r="D252" s="10" t="s">
        <v>11</v>
      </c>
      <c r="E252" s="11">
        <v>131660</v>
      </c>
      <c r="F252" s="5">
        <v>19407</v>
      </c>
      <c r="G252" s="5" t="s">
        <v>9</v>
      </c>
      <c r="H252" s="5">
        <f t="shared" ref="H252:H257" si="10">SUM(E252:G252)</f>
        <v>151067</v>
      </c>
      <c r="I252" s="12" t="s">
        <v>12</v>
      </c>
      <c r="J252" s="13" t="s">
        <v>162</v>
      </c>
    </row>
    <row r="253" spans="1:10">
      <c r="B253" s="614"/>
      <c r="C253" s="10" t="s">
        <v>164</v>
      </c>
      <c r="D253" s="10" t="s">
        <v>40</v>
      </c>
      <c r="E253" s="11">
        <v>80534</v>
      </c>
      <c r="F253" s="5">
        <v>19407</v>
      </c>
      <c r="G253" s="5" t="s">
        <v>9</v>
      </c>
      <c r="H253" s="5">
        <f t="shared" si="10"/>
        <v>99941</v>
      </c>
      <c r="I253" s="13" t="s">
        <v>41</v>
      </c>
      <c r="J253" s="12" t="s">
        <v>14</v>
      </c>
    </row>
    <row r="254" spans="1:10">
      <c r="B254" s="614"/>
      <c r="C254" s="10" t="s">
        <v>165</v>
      </c>
      <c r="D254" s="10" t="s">
        <v>42</v>
      </c>
      <c r="E254" s="11">
        <v>91835</v>
      </c>
      <c r="F254" s="5">
        <v>19407</v>
      </c>
      <c r="G254" s="5" t="s">
        <v>9</v>
      </c>
      <c r="H254" s="5">
        <f t="shared" si="10"/>
        <v>111242</v>
      </c>
      <c r="I254" s="13" t="s">
        <v>43</v>
      </c>
      <c r="J254" s="12" t="s">
        <v>16</v>
      </c>
    </row>
    <row r="255" spans="1:10">
      <c r="B255" s="615"/>
      <c r="C255" s="24" t="s">
        <v>166</v>
      </c>
      <c r="D255" s="24" t="s">
        <v>167</v>
      </c>
      <c r="E255" s="25">
        <v>90951</v>
      </c>
      <c r="F255" s="26">
        <v>19407</v>
      </c>
      <c r="G255" s="26" t="s">
        <v>9</v>
      </c>
      <c r="H255" s="26">
        <f t="shared" si="10"/>
        <v>110358</v>
      </c>
      <c r="I255" s="27" t="s">
        <v>45</v>
      </c>
      <c r="J255" s="49" t="s">
        <v>18</v>
      </c>
    </row>
    <row r="256" spans="1:10" ht="20.399999999999999">
      <c r="B256" s="647" t="s">
        <v>171</v>
      </c>
      <c r="C256" s="39" t="s">
        <v>168</v>
      </c>
      <c r="D256" s="39" t="s">
        <v>169</v>
      </c>
      <c r="E256" s="46" t="s">
        <v>9</v>
      </c>
      <c r="F256" s="36">
        <v>81419</v>
      </c>
      <c r="G256" s="36">
        <v>323386</v>
      </c>
      <c r="H256" s="5">
        <f t="shared" si="10"/>
        <v>404805</v>
      </c>
      <c r="I256" s="40" t="s">
        <v>170</v>
      </c>
      <c r="J256" s="47" t="s">
        <v>1667</v>
      </c>
    </row>
    <row r="257" spans="2:25">
      <c r="B257" s="614"/>
      <c r="C257" s="10" t="s">
        <v>172</v>
      </c>
      <c r="D257" s="10" t="s">
        <v>173</v>
      </c>
      <c r="E257" s="11" t="s">
        <v>9</v>
      </c>
      <c r="F257" s="5">
        <v>81419</v>
      </c>
      <c r="G257" s="5">
        <v>262990</v>
      </c>
      <c r="H257" s="5">
        <f t="shared" si="10"/>
        <v>344409</v>
      </c>
      <c r="I257" s="13" t="s">
        <v>174</v>
      </c>
      <c r="J257" s="12" t="s">
        <v>93</v>
      </c>
    </row>
    <row r="258" spans="2:25">
      <c r="B258" s="614"/>
      <c r="C258" s="10" t="s">
        <v>175</v>
      </c>
      <c r="D258" s="10" t="s">
        <v>11</v>
      </c>
      <c r="E258" s="11">
        <f>48319+48912+48487</f>
        <v>145718</v>
      </c>
      <c r="F258" s="5">
        <v>81419</v>
      </c>
      <c r="G258" s="5" t="s">
        <v>9</v>
      </c>
      <c r="H258" s="5">
        <f>SUM(E258:G258)</f>
        <v>227137</v>
      </c>
      <c r="I258" s="13" t="s">
        <v>12</v>
      </c>
      <c r="J258" s="12" t="s">
        <v>176</v>
      </c>
    </row>
    <row r="259" spans="2:25" ht="20.399999999999999">
      <c r="B259" s="614"/>
      <c r="C259" s="10" t="s">
        <v>177</v>
      </c>
      <c r="D259" s="10" t="s">
        <v>178</v>
      </c>
      <c r="E259" s="11">
        <f>48912+48487</f>
        <v>97399</v>
      </c>
      <c r="F259" s="5">
        <v>81419</v>
      </c>
      <c r="G259" s="5">
        <v>175835</v>
      </c>
      <c r="H259" s="5">
        <f>SUM(E259:G259)</f>
        <v>354653</v>
      </c>
      <c r="I259" s="13" t="s">
        <v>179</v>
      </c>
      <c r="J259" s="12" t="s">
        <v>14</v>
      </c>
    </row>
    <row r="260" spans="2:25" ht="20.399999999999999">
      <c r="B260" s="614"/>
      <c r="C260" s="10" t="s">
        <v>180</v>
      </c>
      <c r="D260" s="10" t="s">
        <v>181</v>
      </c>
      <c r="E260" s="11">
        <f>48319+48487</f>
        <v>96806</v>
      </c>
      <c r="F260" s="5">
        <v>81419</v>
      </c>
      <c r="G260" s="5">
        <v>175835</v>
      </c>
      <c r="H260" s="5">
        <f>SUM(E260:G260)</f>
        <v>354060</v>
      </c>
      <c r="I260" s="13" t="s">
        <v>182</v>
      </c>
      <c r="J260" s="12" t="s">
        <v>16</v>
      </c>
    </row>
    <row r="261" spans="2:25" ht="20.399999999999999">
      <c r="B261" s="614"/>
      <c r="C261" s="10" t="s">
        <v>183</v>
      </c>
      <c r="D261" s="10" t="s">
        <v>184</v>
      </c>
      <c r="E261" s="11">
        <f>48319+48912</f>
        <v>97231</v>
      </c>
      <c r="F261" s="5">
        <v>81419</v>
      </c>
      <c r="G261" s="5">
        <v>175835</v>
      </c>
      <c r="H261" s="5">
        <f>SUM(E261:G261)</f>
        <v>354485</v>
      </c>
      <c r="I261" s="13" t="s">
        <v>185</v>
      </c>
      <c r="J261" s="12" t="s">
        <v>18</v>
      </c>
    </row>
    <row r="262" spans="2:25" ht="20.399999999999999">
      <c r="B262" s="652" t="s">
        <v>303</v>
      </c>
      <c r="C262" s="39" t="s">
        <v>304</v>
      </c>
      <c r="D262" s="39" t="s">
        <v>305</v>
      </c>
      <c r="E262" s="46">
        <v>144112</v>
      </c>
      <c r="F262" s="46">
        <v>22771</v>
      </c>
      <c r="G262" s="36">
        <v>35297</v>
      </c>
      <c r="H262" s="36">
        <f t="shared" ref="H262:H290" si="11">SUM(E262:G262)</f>
        <v>202180</v>
      </c>
      <c r="I262" s="40" t="s">
        <v>306</v>
      </c>
      <c r="J262" s="47" t="s">
        <v>1668</v>
      </c>
    </row>
    <row r="263" spans="2:25">
      <c r="B263" s="645"/>
      <c r="C263" s="10" t="s">
        <v>307</v>
      </c>
      <c r="D263" s="10" t="s">
        <v>11</v>
      </c>
      <c r="E263" s="11">
        <v>144112</v>
      </c>
      <c r="F263" s="11">
        <v>22771</v>
      </c>
      <c r="G263" s="5" t="s">
        <v>9</v>
      </c>
      <c r="H263" s="5">
        <f t="shared" si="11"/>
        <v>166883</v>
      </c>
      <c r="I263" s="8" t="s">
        <v>12</v>
      </c>
      <c r="J263" s="12" t="s">
        <v>308</v>
      </c>
    </row>
    <row r="264" spans="2:25">
      <c r="B264" s="645"/>
      <c r="C264" s="10" t="s">
        <v>309</v>
      </c>
      <c r="D264" s="10" t="s">
        <v>310</v>
      </c>
      <c r="E264" s="11">
        <v>88240</v>
      </c>
      <c r="F264" s="11">
        <v>22771</v>
      </c>
      <c r="G264" s="5">
        <v>35297</v>
      </c>
      <c r="H264" s="5">
        <f t="shared" si="11"/>
        <v>146308</v>
      </c>
      <c r="I264" s="8" t="s">
        <v>311</v>
      </c>
      <c r="J264" s="12" t="s">
        <v>14</v>
      </c>
    </row>
    <row r="265" spans="2:25">
      <c r="B265" s="645"/>
      <c r="C265" s="10" t="s">
        <v>312</v>
      </c>
      <c r="D265" s="10" t="s">
        <v>313</v>
      </c>
      <c r="E265" s="11">
        <v>100484</v>
      </c>
      <c r="F265" s="11">
        <v>22771</v>
      </c>
      <c r="G265" s="5">
        <v>35297</v>
      </c>
      <c r="H265" s="5">
        <f t="shared" si="11"/>
        <v>158552</v>
      </c>
      <c r="I265" s="8" t="s">
        <v>314</v>
      </c>
      <c r="J265" s="12" t="s">
        <v>16</v>
      </c>
    </row>
    <row r="266" spans="2:25">
      <c r="B266" s="653"/>
      <c r="C266" s="24" t="s">
        <v>315</v>
      </c>
      <c r="D266" s="24" t="s">
        <v>316</v>
      </c>
      <c r="E266" s="25">
        <v>99500</v>
      </c>
      <c r="F266" s="25">
        <v>22771</v>
      </c>
      <c r="G266" s="26">
        <v>35297</v>
      </c>
      <c r="H266" s="26">
        <f t="shared" si="11"/>
        <v>157568</v>
      </c>
      <c r="I266" s="69" t="s">
        <v>317</v>
      </c>
      <c r="J266" s="49" t="s">
        <v>18</v>
      </c>
    </row>
    <row r="267" spans="2:25" ht="20.399999999999999">
      <c r="B267" s="647" t="s">
        <v>318</v>
      </c>
      <c r="C267" s="39" t="s">
        <v>319</v>
      </c>
      <c r="D267" s="39" t="s">
        <v>320</v>
      </c>
      <c r="E267" s="46" t="s">
        <v>9</v>
      </c>
      <c r="F267" s="46">
        <v>76186</v>
      </c>
      <c r="G267" s="36">
        <v>326497</v>
      </c>
      <c r="H267" s="36">
        <f t="shared" si="11"/>
        <v>402683</v>
      </c>
      <c r="I267" s="40" t="s">
        <v>321</v>
      </c>
      <c r="J267" s="47" t="s">
        <v>1669</v>
      </c>
    </row>
    <row r="268" spans="2:25">
      <c r="B268" s="614"/>
      <c r="C268" s="10" t="s">
        <v>322</v>
      </c>
      <c r="D268" s="10" t="s">
        <v>173</v>
      </c>
      <c r="E268" s="5" t="s">
        <v>9</v>
      </c>
      <c r="F268" s="11">
        <v>76186</v>
      </c>
      <c r="G268" s="5">
        <v>263954</v>
      </c>
      <c r="H268" s="5">
        <f t="shared" si="11"/>
        <v>340140</v>
      </c>
      <c r="I268" s="8" t="s">
        <v>323</v>
      </c>
      <c r="J268" s="12" t="s">
        <v>93</v>
      </c>
    </row>
    <row r="269" spans="2:25">
      <c r="B269" s="614"/>
      <c r="C269" s="10" t="s">
        <v>324</v>
      </c>
      <c r="D269" s="10" t="s">
        <v>11</v>
      </c>
      <c r="E269" s="5">
        <v>139160</v>
      </c>
      <c r="F269" s="11">
        <v>76186</v>
      </c>
      <c r="G269" s="5" t="s">
        <v>9</v>
      </c>
      <c r="H269" s="5">
        <f t="shared" si="11"/>
        <v>215346</v>
      </c>
      <c r="I269" s="8" t="s">
        <v>12</v>
      </c>
      <c r="J269" s="12" t="s">
        <v>325</v>
      </c>
    </row>
    <row r="270" spans="2:25" ht="20.399999999999999">
      <c r="B270" s="614"/>
      <c r="C270" s="10" t="s">
        <v>326</v>
      </c>
      <c r="D270" s="10" t="s">
        <v>178</v>
      </c>
      <c r="E270" s="5">
        <v>93070</v>
      </c>
      <c r="F270" s="11">
        <v>76186</v>
      </c>
      <c r="G270" s="5">
        <v>183196</v>
      </c>
      <c r="H270" s="5">
        <f t="shared" si="11"/>
        <v>352452</v>
      </c>
      <c r="I270" s="8" t="s">
        <v>327</v>
      </c>
      <c r="J270" s="12" t="s">
        <v>14</v>
      </c>
      <c r="K270" s="14"/>
      <c r="L270" s="14"/>
      <c r="M270" s="14"/>
      <c r="N270" s="14"/>
      <c r="O270" s="14"/>
      <c r="P270" s="14"/>
      <c r="Q270" s="14"/>
      <c r="R270" s="14"/>
      <c r="S270" s="14"/>
      <c r="T270" s="14"/>
      <c r="U270" s="14"/>
      <c r="V270" s="14"/>
      <c r="W270" s="14"/>
      <c r="X270" s="14"/>
      <c r="Y270" s="14"/>
    </row>
    <row r="271" spans="2:25" ht="20.399999999999999">
      <c r="B271" s="614"/>
      <c r="C271" s="10" t="s">
        <v>328</v>
      </c>
      <c r="D271" s="10" t="s">
        <v>181</v>
      </c>
      <c r="E271" s="5">
        <v>92331</v>
      </c>
      <c r="F271" s="11">
        <v>76186</v>
      </c>
      <c r="G271" s="5">
        <v>183196</v>
      </c>
      <c r="H271" s="5">
        <f t="shared" si="11"/>
        <v>351713</v>
      </c>
      <c r="I271" s="8" t="s">
        <v>329</v>
      </c>
      <c r="J271" s="12" t="s">
        <v>16</v>
      </c>
      <c r="K271" s="14"/>
      <c r="L271" s="14"/>
      <c r="M271" s="14"/>
      <c r="N271" s="14"/>
      <c r="O271" s="14"/>
      <c r="P271" s="14"/>
      <c r="Q271" s="14"/>
      <c r="R271" s="14"/>
      <c r="S271" s="14"/>
      <c r="T271" s="14"/>
      <c r="U271" s="14"/>
      <c r="V271" s="14"/>
      <c r="W271" s="14"/>
      <c r="X271" s="14"/>
      <c r="Y271" s="14"/>
    </row>
    <row r="272" spans="2:25" ht="20.399999999999999">
      <c r="B272" s="614"/>
      <c r="C272" s="10" t="s">
        <v>330</v>
      </c>
      <c r="D272" s="10" t="s">
        <v>184</v>
      </c>
      <c r="E272" s="5">
        <v>92919</v>
      </c>
      <c r="F272" s="11">
        <v>76186</v>
      </c>
      <c r="G272" s="5">
        <v>183196</v>
      </c>
      <c r="H272" s="5">
        <f t="shared" si="11"/>
        <v>352301</v>
      </c>
      <c r="I272" s="8" t="s">
        <v>331</v>
      </c>
      <c r="J272" s="12" t="s">
        <v>18</v>
      </c>
      <c r="K272" s="14"/>
      <c r="L272" s="14"/>
      <c r="M272" s="14"/>
      <c r="N272" s="14"/>
      <c r="O272" s="14"/>
      <c r="P272" s="14"/>
      <c r="Q272" s="14"/>
      <c r="R272" s="14"/>
      <c r="S272" s="14"/>
      <c r="T272" s="14"/>
      <c r="U272" s="14"/>
      <c r="V272" s="14"/>
      <c r="W272" s="14"/>
      <c r="X272" s="14"/>
      <c r="Y272" s="14"/>
    </row>
    <row r="273" spans="2:25" ht="20.399999999999999">
      <c r="B273" s="647" t="s">
        <v>364</v>
      </c>
      <c r="C273" s="39" t="s">
        <v>365</v>
      </c>
      <c r="D273" s="39" t="s">
        <v>320</v>
      </c>
      <c r="E273" s="71" t="s">
        <v>9</v>
      </c>
      <c r="F273" s="36">
        <v>403938</v>
      </c>
      <c r="G273" s="36">
        <v>666978</v>
      </c>
      <c r="H273" s="36">
        <f t="shared" si="11"/>
        <v>1070916</v>
      </c>
      <c r="I273" s="40" t="s">
        <v>321</v>
      </c>
      <c r="J273" s="47" t="s">
        <v>1669</v>
      </c>
    </row>
    <row r="274" spans="2:25">
      <c r="B274" s="614"/>
      <c r="C274" s="10" t="s">
        <v>366</v>
      </c>
      <c r="D274" s="10" t="s">
        <v>173</v>
      </c>
      <c r="E274" s="5" t="s">
        <v>9</v>
      </c>
      <c r="F274" s="5">
        <v>403938</v>
      </c>
      <c r="G274" s="5">
        <v>537349</v>
      </c>
      <c r="H274" s="5">
        <f t="shared" si="11"/>
        <v>941287</v>
      </c>
      <c r="I274" s="8" t="s">
        <v>323</v>
      </c>
      <c r="J274" s="12" t="s">
        <v>93</v>
      </c>
    </row>
    <row r="275" spans="2:25">
      <c r="B275" s="614"/>
      <c r="C275" s="10" t="s">
        <v>367</v>
      </c>
      <c r="D275" s="10" t="s">
        <v>11</v>
      </c>
      <c r="E275" s="5">
        <v>385554</v>
      </c>
      <c r="F275" s="5">
        <v>403938</v>
      </c>
      <c r="G275" s="5" t="s">
        <v>9</v>
      </c>
      <c r="H275" s="5">
        <f t="shared" si="11"/>
        <v>789492</v>
      </c>
      <c r="I275" s="8" t="s">
        <v>12</v>
      </c>
      <c r="J275" s="12" t="s">
        <v>325</v>
      </c>
    </row>
    <row r="276" spans="2:25" ht="20.399999999999999">
      <c r="B276" s="614"/>
      <c r="C276" s="10" t="s">
        <v>368</v>
      </c>
      <c r="D276" s="10" t="s">
        <v>178</v>
      </c>
      <c r="E276" s="5">
        <v>256078</v>
      </c>
      <c r="F276" s="5">
        <v>403938</v>
      </c>
      <c r="G276" s="5">
        <v>304322</v>
      </c>
      <c r="H276" s="5">
        <f t="shared" si="11"/>
        <v>964338</v>
      </c>
      <c r="I276" s="8" t="s">
        <v>327</v>
      </c>
      <c r="J276" s="12" t="s">
        <v>14</v>
      </c>
    </row>
    <row r="277" spans="2:25" ht="20.399999999999999">
      <c r="B277" s="614"/>
      <c r="C277" s="10" t="s">
        <v>369</v>
      </c>
      <c r="D277" s="10" t="s">
        <v>181</v>
      </c>
      <c r="E277" s="5">
        <v>257578</v>
      </c>
      <c r="F277" s="5">
        <v>403938</v>
      </c>
      <c r="G277" s="5">
        <v>304322</v>
      </c>
      <c r="H277" s="5">
        <f t="shared" si="11"/>
        <v>965838</v>
      </c>
      <c r="I277" s="8" t="s">
        <v>329</v>
      </c>
      <c r="J277" s="12" t="s">
        <v>16</v>
      </c>
    </row>
    <row r="278" spans="2:25" ht="20.399999999999999">
      <c r="B278" s="615"/>
      <c r="C278" s="24" t="s">
        <v>370</v>
      </c>
      <c r="D278" s="24" t="s">
        <v>184</v>
      </c>
      <c r="E278" s="26">
        <v>257452</v>
      </c>
      <c r="F278" s="26">
        <v>403938</v>
      </c>
      <c r="G278" s="26">
        <v>304322</v>
      </c>
      <c r="H278" s="26">
        <f t="shared" si="11"/>
        <v>965712</v>
      </c>
      <c r="I278" s="69" t="s">
        <v>331</v>
      </c>
      <c r="J278" s="49" t="s">
        <v>18</v>
      </c>
    </row>
    <row r="279" spans="2:25" ht="20.399999999999999">
      <c r="B279" s="647" t="s">
        <v>372</v>
      </c>
      <c r="C279" s="39" t="s">
        <v>373</v>
      </c>
      <c r="D279" s="39" t="s">
        <v>320</v>
      </c>
      <c r="E279" s="46" t="s">
        <v>9</v>
      </c>
      <c r="F279" s="46">
        <v>623146</v>
      </c>
      <c r="G279" s="36">
        <v>805431</v>
      </c>
      <c r="H279" s="36">
        <f t="shared" si="11"/>
        <v>1428577</v>
      </c>
      <c r="I279" s="40" t="s">
        <v>321</v>
      </c>
      <c r="J279" s="47" t="s">
        <v>1669</v>
      </c>
    </row>
    <row r="280" spans="2:25">
      <c r="B280" s="614"/>
      <c r="C280" s="10" t="s">
        <v>374</v>
      </c>
      <c r="D280" s="10" t="s">
        <v>173</v>
      </c>
      <c r="E280" s="5" t="s">
        <v>9</v>
      </c>
      <c r="F280" s="11">
        <v>623146</v>
      </c>
      <c r="G280" s="5">
        <v>632802</v>
      </c>
      <c r="H280" s="5">
        <f t="shared" si="11"/>
        <v>1255948</v>
      </c>
      <c r="I280" s="8" t="s">
        <v>323</v>
      </c>
      <c r="J280" s="12" t="s">
        <v>93</v>
      </c>
      <c r="K280" s="14"/>
      <c r="M280" s="14"/>
      <c r="N280" s="14"/>
      <c r="O280" s="14"/>
      <c r="P280" s="14"/>
      <c r="Q280" s="14"/>
      <c r="R280" s="14"/>
      <c r="S280" s="14"/>
      <c r="T280" s="14"/>
      <c r="U280" s="14"/>
      <c r="V280" s="14"/>
      <c r="W280" s="14"/>
      <c r="X280" s="14"/>
      <c r="Y280" s="14"/>
    </row>
    <row r="281" spans="2:25">
      <c r="B281" s="614"/>
      <c r="C281" s="10" t="s">
        <v>375</v>
      </c>
      <c r="D281" s="10" t="s">
        <v>11</v>
      </c>
      <c r="E281" s="5">
        <v>445862</v>
      </c>
      <c r="F281" s="11">
        <v>623146</v>
      </c>
      <c r="G281" s="5"/>
      <c r="H281" s="5">
        <f t="shared" si="11"/>
        <v>1069008</v>
      </c>
      <c r="I281" s="8" t="s">
        <v>12</v>
      </c>
      <c r="J281" s="12" t="s">
        <v>325</v>
      </c>
    </row>
    <row r="282" spans="2:25" ht="20.399999999999999">
      <c r="B282" s="614"/>
      <c r="C282" s="10" t="s">
        <v>376</v>
      </c>
      <c r="D282" s="10" t="s">
        <v>178</v>
      </c>
      <c r="E282" s="5">
        <v>297232</v>
      </c>
      <c r="F282" s="11">
        <v>623146</v>
      </c>
      <c r="G282" s="5">
        <v>357235</v>
      </c>
      <c r="H282" s="5">
        <f t="shared" si="11"/>
        <v>1277613</v>
      </c>
      <c r="I282" s="8" t="s">
        <v>327</v>
      </c>
      <c r="J282" s="12" t="s">
        <v>14</v>
      </c>
      <c r="K282" s="14"/>
      <c r="L282" s="12"/>
      <c r="M282" s="14"/>
      <c r="N282" s="14"/>
      <c r="O282" s="14"/>
      <c r="P282" s="14"/>
      <c r="Q282" s="14"/>
      <c r="R282" s="14"/>
      <c r="S282" s="14"/>
      <c r="T282" s="14"/>
      <c r="U282" s="14"/>
      <c r="V282" s="14"/>
      <c r="W282" s="14"/>
      <c r="X282" s="14"/>
      <c r="Y282" s="14"/>
    </row>
    <row r="283" spans="2:25" ht="20.399999999999999">
      <c r="B283" s="614"/>
      <c r="C283" s="10" t="s">
        <v>377</v>
      </c>
      <c r="D283" s="10" t="s">
        <v>181</v>
      </c>
      <c r="E283" s="5">
        <v>297251</v>
      </c>
      <c r="F283" s="11">
        <v>623146</v>
      </c>
      <c r="G283" s="5">
        <v>357235</v>
      </c>
      <c r="H283" s="5">
        <f t="shared" si="11"/>
        <v>1277632</v>
      </c>
      <c r="I283" s="8" t="s">
        <v>329</v>
      </c>
      <c r="J283" s="12" t="s">
        <v>16</v>
      </c>
      <c r="K283" s="14"/>
      <c r="L283" s="12"/>
      <c r="M283" s="14"/>
      <c r="N283" s="14"/>
      <c r="O283" s="14"/>
      <c r="P283" s="14"/>
      <c r="Q283" s="14"/>
      <c r="R283" s="14"/>
      <c r="S283" s="14"/>
      <c r="T283" s="14"/>
      <c r="U283" s="14"/>
      <c r="V283" s="14"/>
      <c r="W283" s="14"/>
      <c r="X283" s="14"/>
      <c r="Y283" s="14"/>
    </row>
    <row r="284" spans="2:25" ht="20.399999999999999">
      <c r="B284" s="614"/>
      <c r="C284" s="10" t="s">
        <v>378</v>
      </c>
      <c r="D284" s="10" t="s">
        <v>184</v>
      </c>
      <c r="E284" s="5">
        <v>297241</v>
      </c>
      <c r="F284" s="11">
        <v>623146</v>
      </c>
      <c r="G284" s="5">
        <v>357235</v>
      </c>
      <c r="H284" s="5">
        <f t="shared" si="11"/>
        <v>1277622</v>
      </c>
      <c r="I284" s="8" t="s">
        <v>331</v>
      </c>
      <c r="J284" s="12" t="s">
        <v>18</v>
      </c>
      <c r="K284" s="14"/>
      <c r="L284" s="12"/>
      <c r="M284" s="14"/>
      <c r="N284" s="14"/>
      <c r="O284" s="14"/>
      <c r="P284" s="14"/>
      <c r="Q284" s="14"/>
      <c r="R284" s="14"/>
      <c r="S284" s="14"/>
      <c r="T284" s="14"/>
      <c r="U284" s="14"/>
      <c r="V284" s="14"/>
      <c r="W284" s="14"/>
      <c r="X284" s="14"/>
      <c r="Y284" s="14"/>
    </row>
    <row r="285" spans="2:25" ht="28" customHeight="1">
      <c r="B285" s="647" t="s">
        <v>431</v>
      </c>
      <c r="C285" s="39" t="s">
        <v>432</v>
      </c>
      <c r="D285" s="39" t="s">
        <v>1682</v>
      </c>
      <c r="E285" s="46" t="s">
        <v>9</v>
      </c>
      <c r="F285" s="36">
        <v>244329</v>
      </c>
      <c r="G285" s="36">
        <v>388313</v>
      </c>
      <c r="H285" s="36">
        <f t="shared" si="11"/>
        <v>632642</v>
      </c>
      <c r="I285" s="40" t="s">
        <v>433</v>
      </c>
      <c r="J285" s="47" t="s">
        <v>1644</v>
      </c>
    </row>
    <row r="286" spans="2:25">
      <c r="B286" s="614"/>
      <c r="C286" s="10" t="s">
        <v>434</v>
      </c>
      <c r="D286" s="10" t="s">
        <v>173</v>
      </c>
      <c r="E286" s="5" t="s">
        <v>9</v>
      </c>
      <c r="F286" s="11">
        <v>244329</v>
      </c>
      <c r="G286" s="5">
        <v>312821</v>
      </c>
      <c r="H286" s="5">
        <f t="shared" si="11"/>
        <v>557150</v>
      </c>
      <c r="I286" s="8" t="s">
        <v>323</v>
      </c>
      <c r="J286" s="12" t="s">
        <v>93</v>
      </c>
    </row>
    <row r="287" spans="2:25">
      <c r="B287" s="614"/>
      <c r="C287" s="10" t="s">
        <v>435</v>
      </c>
      <c r="D287" s="10" t="s">
        <v>11</v>
      </c>
      <c r="E287" s="5">
        <f>67331+68869</f>
        <v>136200</v>
      </c>
      <c r="F287" s="11">
        <v>244329</v>
      </c>
      <c r="G287" s="5" t="s">
        <v>9</v>
      </c>
      <c r="H287" s="5">
        <f t="shared" si="11"/>
        <v>380529</v>
      </c>
      <c r="I287" s="8" t="s">
        <v>12</v>
      </c>
      <c r="J287" s="12" t="s">
        <v>308</v>
      </c>
    </row>
    <row r="288" spans="2:25" ht="20.399999999999999">
      <c r="B288" s="614"/>
      <c r="C288" s="10" t="s">
        <v>436</v>
      </c>
      <c r="D288" s="10" t="s">
        <v>178</v>
      </c>
      <c r="E288" s="5">
        <f>68869+68808</f>
        <v>137677</v>
      </c>
      <c r="F288" s="11">
        <v>244329</v>
      </c>
      <c r="G288" s="5">
        <v>188701</v>
      </c>
      <c r="H288" s="5">
        <f t="shared" si="11"/>
        <v>570707</v>
      </c>
      <c r="I288" s="8" t="s">
        <v>327</v>
      </c>
      <c r="J288" s="12" t="s">
        <v>14</v>
      </c>
    </row>
    <row r="289" spans="1:10" ht="20.399999999999999">
      <c r="B289" s="614"/>
      <c r="C289" s="10" t="s">
        <v>437</v>
      </c>
      <c r="D289" s="10" t="s">
        <v>181</v>
      </c>
      <c r="E289" s="5">
        <f>67331+68808</f>
        <v>136139</v>
      </c>
      <c r="F289" s="11">
        <v>244329</v>
      </c>
      <c r="G289" s="5">
        <v>188701</v>
      </c>
      <c r="H289" s="5">
        <f t="shared" si="11"/>
        <v>569169</v>
      </c>
      <c r="I289" s="8" t="s">
        <v>329</v>
      </c>
      <c r="J289" s="12" t="s">
        <v>16</v>
      </c>
    </row>
    <row r="290" spans="1:10" ht="20.399999999999999">
      <c r="A290" s="3"/>
      <c r="B290" s="615"/>
      <c r="C290" s="24" t="s">
        <v>438</v>
      </c>
      <c r="D290" s="24" t="s">
        <v>184</v>
      </c>
      <c r="E290" s="26">
        <f>67331+68869</f>
        <v>136200</v>
      </c>
      <c r="F290" s="25">
        <v>244329</v>
      </c>
      <c r="G290" s="26">
        <v>188701</v>
      </c>
      <c r="H290" s="26">
        <f t="shared" si="11"/>
        <v>569230</v>
      </c>
      <c r="I290" s="69" t="s">
        <v>331</v>
      </c>
      <c r="J290" s="49" t="s">
        <v>18</v>
      </c>
    </row>
    <row r="291" spans="1:10">
      <c r="D291" s="2"/>
      <c r="F291" s="19"/>
      <c r="G291" s="19"/>
      <c r="H291" s="20"/>
      <c r="I291" s="8"/>
    </row>
    <row r="292" spans="1:10" ht="107.5" customHeight="1">
      <c r="A292" s="578" t="s">
        <v>1642</v>
      </c>
      <c r="B292" s="578"/>
      <c r="C292" s="578"/>
      <c r="D292" s="578"/>
      <c r="E292" s="578"/>
      <c r="F292" s="578"/>
      <c r="G292" s="578"/>
      <c r="H292" s="578"/>
      <c r="I292" s="578"/>
      <c r="J292" s="578"/>
    </row>
    <row r="293" spans="1:10">
      <c r="D293" s="2"/>
      <c r="F293" s="19"/>
      <c r="G293" s="19"/>
      <c r="H293" s="20"/>
      <c r="I293" s="8"/>
    </row>
    <row r="294" spans="1:10">
      <c r="D294" s="2"/>
      <c r="F294" s="19"/>
      <c r="G294" s="19"/>
      <c r="H294" s="20"/>
      <c r="I294" s="8"/>
    </row>
    <row r="295" spans="1:10">
      <c r="D295" s="2"/>
      <c r="F295" s="19"/>
      <c r="G295" s="19"/>
      <c r="H295" s="20"/>
      <c r="I295" s="8"/>
    </row>
    <row r="296" spans="1:10">
      <c r="D296" s="2"/>
      <c r="F296" s="19"/>
      <c r="G296" s="19"/>
      <c r="H296" s="20"/>
      <c r="I296" s="8"/>
    </row>
    <row r="297" spans="1:10">
      <c r="D297" s="2"/>
      <c r="F297" s="19"/>
      <c r="G297" s="19"/>
      <c r="H297" s="20"/>
      <c r="I297" s="8"/>
    </row>
    <row r="298" spans="1:10">
      <c r="D298" s="2"/>
      <c r="F298" s="19"/>
      <c r="G298" s="19"/>
      <c r="H298" s="20"/>
      <c r="I298" s="8"/>
    </row>
    <row r="299" spans="1:10">
      <c r="D299" s="2"/>
      <c r="F299" s="19"/>
      <c r="G299" s="19"/>
      <c r="H299" s="20"/>
      <c r="I299" s="8"/>
    </row>
    <row r="300" spans="1:10">
      <c r="D300" s="2"/>
      <c r="F300" s="19"/>
      <c r="G300" s="19"/>
      <c r="H300" s="20"/>
      <c r="I300" s="8"/>
    </row>
    <row r="301" spans="1:10">
      <c r="D301" s="2"/>
      <c r="F301" s="19"/>
      <c r="G301" s="19"/>
      <c r="H301" s="20"/>
      <c r="I301" s="8"/>
    </row>
    <row r="302" spans="1:10">
      <c r="D302" s="2"/>
      <c r="F302" s="19"/>
      <c r="G302" s="19"/>
      <c r="H302" s="20"/>
      <c r="I302" s="8"/>
    </row>
    <row r="303" spans="1:10">
      <c r="D303" s="2"/>
      <c r="F303" s="19"/>
      <c r="G303" s="19"/>
      <c r="H303" s="20"/>
      <c r="I303" s="8"/>
    </row>
    <row r="304" spans="1:10">
      <c r="D304" s="2"/>
      <c r="F304" s="19"/>
      <c r="G304" s="19"/>
      <c r="H304" s="20"/>
      <c r="I304" s="8"/>
    </row>
    <row r="305" spans="4:9">
      <c r="D305" s="2"/>
      <c r="F305" s="19"/>
      <c r="G305" s="19"/>
      <c r="H305" s="20"/>
      <c r="I305" s="8"/>
    </row>
    <row r="306" spans="4:9">
      <c r="D306" s="2"/>
      <c r="F306" s="19"/>
      <c r="G306" s="19"/>
      <c r="H306" s="20"/>
      <c r="I306" s="8"/>
    </row>
    <row r="307" spans="4:9">
      <c r="D307" s="2"/>
      <c r="F307" s="19"/>
      <c r="G307" s="19"/>
      <c r="H307" s="20"/>
      <c r="I307" s="8"/>
    </row>
    <row r="308" spans="4:9">
      <c r="D308" s="2"/>
      <c r="F308" s="19"/>
      <c r="G308" s="19"/>
      <c r="H308" s="20"/>
      <c r="I308" s="8"/>
    </row>
    <row r="309" spans="4:9">
      <c r="D309" s="2"/>
      <c r="F309" s="19"/>
      <c r="G309" s="19"/>
      <c r="H309" s="20"/>
      <c r="I309" s="8"/>
    </row>
    <row r="310" spans="4:9">
      <c r="D310" s="2"/>
      <c r="F310" s="19"/>
      <c r="G310" s="19"/>
      <c r="H310" s="20"/>
      <c r="I310" s="8"/>
    </row>
    <row r="311" spans="4:9">
      <c r="D311" s="2"/>
      <c r="F311" s="19"/>
      <c r="G311" s="19"/>
      <c r="H311" s="20"/>
      <c r="I311" s="8"/>
    </row>
    <row r="312" spans="4:9">
      <c r="D312" s="2"/>
      <c r="F312" s="19"/>
      <c r="G312" s="19"/>
      <c r="H312" s="20"/>
      <c r="I312" s="8"/>
    </row>
    <row r="313" spans="4:9">
      <c r="D313" s="2"/>
      <c r="F313" s="19"/>
      <c r="G313" s="19"/>
      <c r="H313" s="20"/>
      <c r="I313" s="8"/>
    </row>
    <row r="314" spans="4:9">
      <c r="D314" s="2"/>
      <c r="F314" s="19"/>
      <c r="G314" s="19"/>
      <c r="H314" s="20"/>
      <c r="I314" s="8"/>
    </row>
    <row r="315" spans="4:9">
      <c r="D315" s="2"/>
      <c r="F315" s="19"/>
      <c r="G315" s="19"/>
      <c r="H315" s="20"/>
      <c r="I315" s="8"/>
    </row>
    <row r="316" spans="4:9">
      <c r="D316" s="2"/>
      <c r="F316" s="19"/>
      <c r="G316" s="19"/>
      <c r="H316" s="20"/>
      <c r="I316" s="8"/>
    </row>
    <row r="317" spans="4:9">
      <c r="D317" s="2"/>
      <c r="F317" s="19"/>
      <c r="G317" s="19"/>
      <c r="H317" s="20"/>
      <c r="I317" s="8"/>
    </row>
    <row r="318" spans="4:9">
      <c r="D318" s="2"/>
      <c r="F318" s="19"/>
      <c r="G318" s="19"/>
      <c r="H318" s="20"/>
      <c r="I318" s="8"/>
    </row>
    <row r="319" spans="4:9">
      <c r="D319" s="2"/>
      <c r="F319" s="19"/>
      <c r="G319" s="19"/>
      <c r="H319" s="20"/>
      <c r="I319" s="8"/>
    </row>
    <row r="320" spans="4:9">
      <c r="D320" s="2"/>
      <c r="F320" s="19"/>
      <c r="G320" s="19"/>
      <c r="H320" s="20"/>
      <c r="I320" s="8"/>
    </row>
    <row r="321" spans="4:9">
      <c r="D321" s="2"/>
      <c r="F321" s="19"/>
      <c r="G321" s="19"/>
      <c r="H321" s="20"/>
      <c r="I321" s="8"/>
    </row>
    <row r="322" spans="4:9">
      <c r="D322" s="2"/>
      <c r="F322" s="19"/>
      <c r="G322" s="19"/>
      <c r="H322" s="20"/>
      <c r="I322" s="8"/>
    </row>
    <row r="323" spans="4:9">
      <c r="D323" s="2"/>
      <c r="F323" s="19"/>
      <c r="G323" s="19"/>
      <c r="H323" s="20"/>
      <c r="I323" s="8"/>
    </row>
    <row r="324" spans="4:9">
      <c r="D324" s="2"/>
      <c r="F324" s="19"/>
      <c r="G324" s="19"/>
      <c r="H324" s="20"/>
      <c r="I324" s="8"/>
    </row>
    <row r="325" spans="4:9">
      <c r="D325" s="2"/>
      <c r="F325" s="19"/>
      <c r="G325" s="19"/>
      <c r="H325" s="20"/>
      <c r="I325" s="8"/>
    </row>
    <row r="326" spans="4:9">
      <c r="D326" s="2"/>
      <c r="F326" s="19"/>
      <c r="G326" s="19"/>
      <c r="H326" s="20"/>
      <c r="I326" s="8"/>
    </row>
    <row r="327" spans="4:9">
      <c r="D327" s="2"/>
      <c r="F327" s="19"/>
      <c r="G327" s="19"/>
      <c r="H327" s="20"/>
      <c r="I327" s="8"/>
    </row>
    <row r="328" spans="4:9">
      <c r="D328" s="2"/>
      <c r="F328" s="19"/>
      <c r="G328" s="19"/>
      <c r="H328" s="20"/>
      <c r="I328" s="8"/>
    </row>
    <row r="329" spans="4:9">
      <c r="D329" s="2"/>
      <c r="F329" s="19"/>
      <c r="G329" s="19"/>
      <c r="H329" s="20"/>
      <c r="I329" s="8"/>
    </row>
    <row r="330" spans="4:9">
      <c r="D330" s="2"/>
      <c r="F330" s="19"/>
      <c r="G330" s="19"/>
      <c r="H330" s="20"/>
      <c r="I330" s="8"/>
    </row>
    <row r="331" spans="4:9">
      <c r="D331" s="2"/>
      <c r="F331" s="19"/>
      <c r="G331" s="19"/>
      <c r="H331" s="20"/>
      <c r="I331" s="8"/>
    </row>
    <row r="332" spans="4:9">
      <c r="D332" s="2"/>
      <c r="F332" s="19"/>
      <c r="G332" s="19"/>
      <c r="H332" s="20"/>
      <c r="I332" s="8"/>
    </row>
    <row r="333" spans="4:9">
      <c r="D333" s="2"/>
      <c r="F333" s="19"/>
      <c r="G333" s="19"/>
      <c r="H333" s="20"/>
      <c r="I333" s="8"/>
    </row>
    <row r="334" spans="4:9">
      <c r="D334" s="2"/>
      <c r="F334" s="19"/>
      <c r="G334" s="19"/>
      <c r="H334" s="20"/>
      <c r="I334" s="8"/>
    </row>
    <row r="335" spans="4:9">
      <c r="D335" s="2"/>
      <c r="F335" s="19"/>
      <c r="G335" s="19"/>
      <c r="H335" s="20"/>
      <c r="I335" s="8"/>
    </row>
    <row r="336" spans="4:9">
      <c r="D336" s="2"/>
      <c r="F336" s="19"/>
      <c r="G336" s="19"/>
      <c r="H336" s="20"/>
      <c r="I336" s="8"/>
    </row>
    <row r="337" spans="4:9">
      <c r="D337" s="2"/>
      <c r="F337" s="19"/>
      <c r="G337" s="19"/>
      <c r="H337" s="20"/>
      <c r="I337" s="8"/>
    </row>
    <row r="338" spans="4:9">
      <c r="D338" s="2"/>
      <c r="F338" s="19"/>
      <c r="G338" s="19"/>
      <c r="H338" s="20"/>
      <c r="I338" s="8"/>
    </row>
    <row r="339" spans="4:9">
      <c r="D339" s="2"/>
      <c r="F339" s="19"/>
      <c r="G339" s="19"/>
      <c r="H339" s="20"/>
      <c r="I339" s="8"/>
    </row>
    <row r="340" spans="4:9">
      <c r="D340" s="2"/>
      <c r="F340" s="19"/>
      <c r="G340" s="19"/>
      <c r="H340" s="20"/>
      <c r="I340" s="8"/>
    </row>
    <row r="341" spans="4:9">
      <c r="D341" s="2"/>
      <c r="F341" s="19"/>
      <c r="G341" s="19"/>
      <c r="H341" s="20"/>
      <c r="I341" s="8"/>
    </row>
    <row r="342" spans="4:9">
      <c r="D342" s="2"/>
      <c r="F342" s="19"/>
      <c r="G342" s="19"/>
      <c r="H342" s="20"/>
      <c r="I342" s="8"/>
    </row>
    <row r="343" spans="4:9">
      <c r="D343" s="2"/>
      <c r="F343" s="19"/>
      <c r="G343" s="19"/>
      <c r="H343" s="20"/>
      <c r="I343" s="8"/>
    </row>
    <row r="344" spans="4:9">
      <c r="D344" s="2"/>
      <c r="F344" s="19"/>
      <c r="G344" s="19"/>
      <c r="H344" s="20"/>
      <c r="I344" s="8"/>
    </row>
    <row r="345" spans="4:9">
      <c r="D345" s="2"/>
      <c r="F345" s="19"/>
      <c r="G345" s="19"/>
      <c r="H345" s="20"/>
      <c r="I345" s="8"/>
    </row>
    <row r="346" spans="4:9">
      <c r="D346" s="2"/>
      <c r="F346" s="19"/>
      <c r="G346" s="19"/>
      <c r="H346" s="20"/>
      <c r="I346" s="8"/>
    </row>
    <row r="347" spans="4:9">
      <c r="D347" s="2"/>
      <c r="F347" s="19"/>
      <c r="G347" s="19"/>
      <c r="H347" s="20"/>
      <c r="I347" s="8"/>
    </row>
    <row r="348" spans="4:9">
      <c r="D348" s="2"/>
      <c r="F348" s="19"/>
      <c r="G348" s="19"/>
      <c r="H348" s="20"/>
      <c r="I348" s="8"/>
    </row>
    <row r="349" spans="4:9">
      <c r="D349" s="2"/>
      <c r="F349" s="19"/>
      <c r="G349" s="19"/>
      <c r="H349" s="20"/>
      <c r="I349" s="8"/>
    </row>
    <row r="350" spans="4:9">
      <c r="D350" s="2"/>
      <c r="F350" s="19"/>
      <c r="G350" s="19"/>
      <c r="H350" s="20"/>
      <c r="I350" s="8"/>
    </row>
    <row r="351" spans="4:9">
      <c r="D351" s="2"/>
      <c r="F351" s="19"/>
      <c r="G351" s="19"/>
      <c r="H351" s="20"/>
      <c r="I351" s="8"/>
    </row>
    <row r="352" spans="4:9">
      <c r="D352" s="2"/>
      <c r="F352" s="19"/>
      <c r="G352" s="19"/>
      <c r="H352" s="20"/>
      <c r="I352" s="8"/>
    </row>
    <row r="353" spans="4:9">
      <c r="D353" s="2"/>
      <c r="F353" s="19"/>
      <c r="G353" s="19"/>
      <c r="H353" s="20"/>
      <c r="I353" s="8"/>
    </row>
    <row r="354" spans="4:9">
      <c r="D354" s="2"/>
      <c r="F354" s="19"/>
      <c r="G354" s="19"/>
      <c r="H354" s="20"/>
      <c r="I354" s="8"/>
    </row>
    <row r="355" spans="4:9">
      <c r="D355" s="2"/>
      <c r="F355" s="19"/>
      <c r="G355" s="19"/>
      <c r="H355" s="20"/>
      <c r="I355" s="8"/>
    </row>
    <row r="356" spans="4:9">
      <c r="D356" s="2"/>
      <c r="F356" s="19"/>
      <c r="G356" s="19"/>
      <c r="H356" s="20"/>
      <c r="I356" s="8"/>
    </row>
    <row r="357" spans="4:9">
      <c r="D357" s="2"/>
      <c r="F357" s="19"/>
      <c r="G357" s="19"/>
      <c r="H357" s="20"/>
      <c r="I357" s="8"/>
    </row>
    <row r="358" spans="4:9">
      <c r="D358" s="2"/>
      <c r="F358" s="19"/>
      <c r="G358" s="19"/>
      <c r="H358" s="20"/>
      <c r="I358" s="8"/>
    </row>
    <row r="359" spans="4:9">
      <c r="D359" s="2"/>
      <c r="F359" s="19"/>
      <c r="G359" s="19"/>
      <c r="H359" s="20"/>
      <c r="I359" s="8"/>
    </row>
    <row r="360" spans="4:9">
      <c r="D360" s="2"/>
      <c r="F360" s="19"/>
      <c r="G360" s="19"/>
      <c r="H360" s="20"/>
      <c r="I360" s="8"/>
    </row>
    <row r="361" spans="4:9">
      <c r="D361" s="2"/>
      <c r="F361" s="19"/>
      <c r="G361" s="19"/>
      <c r="H361" s="20"/>
      <c r="I361" s="8"/>
    </row>
    <row r="362" spans="4:9">
      <c r="D362" s="2"/>
      <c r="F362" s="19"/>
      <c r="G362" s="19"/>
      <c r="H362" s="20"/>
      <c r="I362" s="8"/>
    </row>
    <row r="363" spans="4:9">
      <c r="D363" s="2"/>
      <c r="F363" s="19"/>
      <c r="G363" s="19"/>
      <c r="H363" s="20"/>
      <c r="I363" s="8"/>
    </row>
    <row r="364" spans="4:9">
      <c r="D364" s="2"/>
      <c r="F364" s="19"/>
      <c r="G364" s="19"/>
      <c r="H364" s="20"/>
      <c r="I364" s="8"/>
    </row>
    <row r="365" spans="4:9">
      <c r="D365" s="2"/>
      <c r="F365" s="19"/>
      <c r="G365" s="19"/>
      <c r="H365" s="20"/>
      <c r="I365" s="8"/>
    </row>
    <row r="366" spans="4:9">
      <c r="D366" s="2"/>
      <c r="F366" s="19"/>
      <c r="G366" s="19"/>
      <c r="H366" s="20"/>
      <c r="I366" s="8"/>
    </row>
    <row r="367" spans="4:9">
      <c r="D367" s="2"/>
      <c r="F367" s="19"/>
      <c r="G367" s="19"/>
      <c r="H367" s="20"/>
      <c r="I367" s="8"/>
    </row>
    <row r="368" spans="4:9">
      <c r="D368" s="2"/>
      <c r="F368" s="19"/>
      <c r="G368" s="19"/>
      <c r="H368" s="20"/>
      <c r="I368" s="8"/>
    </row>
    <row r="369" spans="4:9">
      <c r="D369" s="2"/>
      <c r="F369" s="19"/>
      <c r="G369" s="19"/>
      <c r="H369" s="20"/>
      <c r="I369" s="8"/>
    </row>
    <row r="370" spans="4:9">
      <c r="D370" s="2"/>
      <c r="F370" s="19"/>
      <c r="G370" s="19"/>
      <c r="H370" s="20"/>
      <c r="I370" s="8"/>
    </row>
    <row r="371" spans="4:9">
      <c r="D371" s="2"/>
      <c r="F371" s="19"/>
      <c r="G371" s="19"/>
      <c r="H371" s="20"/>
      <c r="I371" s="8"/>
    </row>
    <row r="372" spans="4:9">
      <c r="D372" s="2"/>
      <c r="F372" s="19"/>
      <c r="G372" s="19"/>
      <c r="H372" s="20"/>
      <c r="I372" s="8"/>
    </row>
    <row r="373" spans="4:9">
      <c r="D373" s="2"/>
      <c r="F373" s="19"/>
      <c r="G373" s="19"/>
      <c r="H373" s="20"/>
      <c r="I373" s="8"/>
    </row>
    <row r="374" spans="4:9">
      <c r="D374" s="2"/>
      <c r="F374" s="19"/>
      <c r="G374" s="19"/>
      <c r="H374" s="20"/>
      <c r="I374" s="8"/>
    </row>
    <row r="375" spans="4:9">
      <c r="D375" s="2"/>
      <c r="F375" s="19"/>
      <c r="G375" s="19"/>
      <c r="H375" s="20"/>
      <c r="I375" s="8"/>
    </row>
    <row r="376" spans="4:9">
      <c r="D376" s="2"/>
      <c r="F376" s="19"/>
      <c r="G376" s="19"/>
      <c r="H376" s="20"/>
      <c r="I376" s="8"/>
    </row>
    <row r="377" spans="4:9">
      <c r="D377" s="2"/>
      <c r="F377" s="19"/>
      <c r="G377" s="19"/>
      <c r="H377" s="20"/>
      <c r="I377" s="8"/>
    </row>
    <row r="378" spans="4:9">
      <c r="D378" s="2"/>
      <c r="F378" s="19"/>
      <c r="G378" s="19"/>
      <c r="H378" s="20"/>
      <c r="I378" s="8"/>
    </row>
    <row r="379" spans="4:9">
      <c r="D379" s="2"/>
      <c r="F379" s="19"/>
      <c r="G379" s="19"/>
      <c r="H379" s="20"/>
      <c r="I379" s="8"/>
    </row>
    <row r="380" spans="4:9">
      <c r="D380" s="2"/>
      <c r="F380" s="19"/>
      <c r="G380" s="19"/>
      <c r="H380" s="20"/>
      <c r="I380" s="8"/>
    </row>
    <row r="381" spans="4:9">
      <c r="D381" s="2"/>
      <c r="F381" s="19"/>
      <c r="G381" s="19"/>
      <c r="H381" s="20"/>
      <c r="I381" s="8"/>
    </row>
    <row r="382" spans="4:9">
      <c r="D382" s="2"/>
      <c r="F382" s="19"/>
      <c r="G382" s="19"/>
      <c r="H382" s="20"/>
      <c r="I382" s="8"/>
    </row>
    <row r="383" spans="4:9">
      <c r="D383" s="2"/>
      <c r="F383" s="19"/>
      <c r="G383" s="19"/>
      <c r="H383" s="20"/>
      <c r="I383" s="8"/>
    </row>
    <row r="384" spans="4:9">
      <c r="D384" s="2"/>
      <c r="F384" s="19"/>
      <c r="G384" s="19"/>
      <c r="H384" s="20"/>
      <c r="I384" s="8"/>
    </row>
    <row r="385" spans="4:9">
      <c r="D385" s="2"/>
      <c r="F385" s="19"/>
      <c r="G385" s="19"/>
      <c r="H385" s="20"/>
      <c r="I385" s="8"/>
    </row>
    <row r="386" spans="4:9">
      <c r="D386" s="2"/>
      <c r="F386" s="19"/>
      <c r="G386" s="19"/>
      <c r="H386" s="20"/>
      <c r="I386" s="8"/>
    </row>
    <row r="387" spans="4:9">
      <c r="D387" s="2"/>
      <c r="F387" s="19"/>
      <c r="G387" s="19"/>
      <c r="H387" s="20"/>
      <c r="I387" s="8"/>
    </row>
    <row r="388" spans="4:9">
      <c r="D388" s="2"/>
      <c r="F388" s="19"/>
      <c r="G388" s="19"/>
      <c r="H388" s="20"/>
      <c r="I388" s="8"/>
    </row>
    <row r="389" spans="4:9">
      <c r="D389" s="2"/>
      <c r="F389" s="19"/>
      <c r="G389" s="19"/>
      <c r="H389" s="20"/>
      <c r="I389" s="8"/>
    </row>
    <row r="390" spans="4:9">
      <c r="D390" s="2"/>
      <c r="F390" s="19"/>
      <c r="G390" s="19"/>
      <c r="H390" s="20"/>
      <c r="I390" s="8"/>
    </row>
    <row r="391" spans="4:9">
      <c r="D391" s="2"/>
      <c r="F391" s="19"/>
      <c r="G391" s="19"/>
      <c r="H391" s="20"/>
      <c r="I391" s="8"/>
    </row>
    <row r="392" spans="4:9">
      <c r="D392" s="2"/>
      <c r="F392" s="19"/>
      <c r="G392" s="19"/>
      <c r="H392" s="20"/>
      <c r="I392" s="8"/>
    </row>
    <row r="393" spans="4:9">
      <c r="D393" s="2"/>
      <c r="F393" s="19"/>
      <c r="G393" s="19"/>
      <c r="H393" s="20"/>
      <c r="I393" s="8"/>
    </row>
    <row r="394" spans="4:9">
      <c r="D394" s="2"/>
      <c r="F394" s="19"/>
      <c r="G394" s="19"/>
      <c r="H394" s="20"/>
      <c r="I394" s="8"/>
    </row>
    <row r="395" spans="4:9">
      <c r="D395" s="2"/>
      <c r="F395" s="19"/>
      <c r="G395" s="19"/>
      <c r="H395" s="20"/>
      <c r="I395" s="8"/>
    </row>
    <row r="396" spans="4:9">
      <c r="D396" s="2"/>
      <c r="F396" s="19"/>
      <c r="G396" s="19"/>
      <c r="H396" s="20"/>
      <c r="I396" s="8"/>
    </row>
    <row r="397" spans="4:9">
      <c r="D397" s="2"/>
      <c r="F397" s="19"/>
      <c r="G397" s="19"/>
      <c r="H397" s="20"/>
      <c r="I397" s="8"/>
    </row>
    <row r="398" spans="4:9">
      <c r="D398" s="2"/>
      <c r="F398" s="19"/>
      <c r="G398" s="19"/>
      <c r="H398" s="20"/>
      <c r="I398" s="8"/>
    </row>
    <row r="399" spans="4:9">
      <c r="D399" s="2"/>
      <c r="F399" s="19"/>
      <c r="G399" s="19"/>
      <c r="H399" s="20"/>
      <c r="I399" s="8"/>
    </row>
    <row r="400" spans="4:9">
      <c r="D400" s="2"/>
      <c r="F400" s="19"/>
      <c r="G400" s="19"/>
      <c r="H400" s="20"/>
      <c r="I400" s="8"/>
    </row>
    <row r="401" spans="4:9">
      <c r="D401" s="2"/>
      <c r="F401" s="19"/>
      <c r="G401" s="19"/>
      <c r="H401" s="20"/>
      <c r="I401" s="8"/>
    </row>
    <row r="402" spans="4:9">
      <c r="D402" s="2"/>
      <c r="F402" s="19"/>
      <c r="G402" s="19"/>
      <c r="H402" s="20"/>
      <c r="I402" s="8"/>
    </row>
    <row r="403" spans="4:9">
      <c r="D403" s="2"/>
      <c r="F403" s="19"/>
      <c r="G403" s="19"/>
      <c r="H403" s="20"/>
      <c r="I403" s="8"/>
    </row>
    <row r="404" spans="4:9">
      <c r="D404" s="2"/>
      <c r="F404" s="19"/>
      <c r="G404" s="19"/>
      <c r="H404" s="20"/>
      <c r="I404" s="8"/>
    </row>
    <row r="405" spans="4:9">
      <c r="D405" s="2"/>
      <c r="F405" s="19"/>
      <c r="G405" s="19"/>
      <c r="H405" s="20"/>
      <c r="I405" s="8"/>
    </row>
    <row r="406" spans="4:9">
      <c r="D406" s="2"/>
      <c r="F406" s="19"/>
      <c r="G406" s="19"/>
      <c r="H406" s="20"/>
      <c r="I406" s="8"/>
    </row>
    <row r="407" spans="4:9">
      <c r="D407" s="2"/>
      <c r="F407" s="19"/>
      <c r="G407" s="19"/>
      <c r="H407" s="20"/>
      <c r="I407" s="8"/>
    </row>
    <row r="408" spans="4:9">
      <c r="D408" s="2"/>
      <c r="F408" s="19"/>
      <c r="G408" s="19"/>
      <c r="H408" s="20"/>
      <c r="I408" s="8"/>
    </row>
    <row r="409" spans="4:9">
      <c r="D409" s="2"/>
      <c r="F409" s="19"/>
      <c r="G409" s="19"/>
      <c r="H409" s="20"/>
      <c r="I409" s="8"/>
    </row>
    <row r="410" spans="4:9">
      <c r="D410" s="2"/>
      <c r="F410" s="19"/>
      <c r="G410" s="19"/>
      <c r="H410" s="20"/>
      <c r="I410" s="8"/>
    </row>
    <row r="411" spans="4:9">
      <c r="D411" s="2"/>
      <c r="F411" s="19"/>
      <c r="G411" s="19"/>
      <c r="H411" s="20"/>
      <c r="I411" s="8"/>
    </row>
    <row r="412" spans="4:9">
      <c r="D412" s="2"/>
      <c r="F412" s="19"/>
      <c r="G412" s="19"/>
      <c r="H412" s="20"/>
      <c r="I412" s="8"/>
    </row>
    <row r="413" spans="4:9">
      <c r="D413" s="2"/>
      <c r="F413" s="19"/>
      <c r="G413" s="19"/>
      <c r="H413" s="20"/>
      <c r="I413" s="8"/>
    </row>
    <row r="414" spans="4:9">
      <c r="D414" s="2"/>
      <c r="F414" s="19"/>
      <c r="G414" s="19"/>
      <c r="H414" s="20"/>
      <c r="I414" s="8"/>
    </row>
    <row r="415" spans="4:9">
      <c r="D415" s="2"/>
      <c r="F415" s="19"/>
      <c r="G415" s="19"/>
      <c r="H415" s="20"/>
      <c r="I415" s="8"/>
    </row>
    <row r="416" spans="4:9">
      <c r="D416" s="2"/>
      <c r="F416" s="19"/>
      <c r="G416" s="19"/>
      <c r="H416" s="20"/>
      <c r="I416" s="8"/>
    </row>
    <row r="417" spans="4:9">
      <c r="D417" s="2"/>
      <c r="F417" s="19"/>
      <c r="G417" s="19"/>
      <c r="H417" s="20"/>
      <c r="I417" s="8"/>
    </row>
    <row r="418" spans="4:9">
      <c r="D418" s="2"/>
      <c r="F418" s="19"/>
      <c r="G418" s="19"/>
      <c r="H418" s="20"/>
      <c r="I418" s="8"/>
    </row>
    <row r="419" spans="4:9">
      <c r="D419" s="2"/>
      <c r="F419" s="19"/>
      <c r="G419" s="19"/>
      <c r="H419" s="20"/>
      <c r="I419" s="8"/>
    </row>
    <row r="420" spans="4:9">
      <c r="D420" s="2"/>
      <c r="F420" s="19"/>
      <c r="G420" s="19"/>
      <c r="H420" s="20"/>
      <c r="I420" s="8"/>
    </row>
    <row r="421" spans="4:9">
      <c r="D421" s="2"/>
      <c r="F421" s="19"/>
      <c r="G421" s="19"/>
      <c r="H421" s="20"/>
      <c r="I421" s="8"/>
    </row>
    <row r="422" spans="4:9">
      <c r="D422" s="2"/>
      <c r="F422" s="19"/>
      <c r="G422" s="19"/>
      <c r="H422" s="20"/>
      <c r="I422" s="8"/>
    </row>
    <row r="423" spans="4:9">
      <c r="D423" s="2"/>
      <c r="F423" s="19"/>
      <c r="G423" s="19"/>
      <c r="H423" s="20"/>
      <c r="I423" s="8"/>
    </row>
    <row r="424" spans="4:9">
      <c r="D424" s="2"/>
      <c r="F424" s="19"/>
      <c r="G424" s="19"/>
      <c r="H424" s="20"/>
      <c r="I424" s="8"/>
    </row>
    <row r="425" spans="4:9">
      <c r="D425" s="2"/>
      <c r="F425" s="19"/>
      <c r="G425" s="19"/>
      <c r="H425" s="20"/>
      <c r="I425" s="8"/>
    </row>
    <row r="426" spans="4:9">
      <c r="D426" s="2"/>
      <c r="F426" s="19"/>
      <c r="G426" s="19"/>
      <c r="H426" s="20"/>
      <c r="I426" s="8"/>
    </row>
    <row r="427" spans="4:9">
      <c r="D427" s="2"/>
      <c r="F427" s="19"/>
      <c r="G427" s="19"/>
      <c r="H427" s="20"/>
      <c r="I427" s="8"/>
    </row>
    <row r="428" spans="4:9">
      <c r="D428" s="2"/>
      <c r="F428" s="19"/>
      <c r="G428" s="19"/>
      <c r="H428" s="20"/>
      <c r="I428" s="8"/>
    </row>
    <row r="429" spans="4:9">
      <c r="D429" s="2"/>
      <c r="F429" s="19"/>
      <c r="G429" s="19"/>
      <c r="H429" s="20"/>
      <c r="I429" s="8"/>
    </row>
    <row r="430" spans="4:9">
      <c r="D430" s="2"/>
      <c r="F430" s="19"/>
      <c r="G430" s="19"/>
      <c r="H430" s="20"/>
      <c r="I430" s="8"/>
    </row>
    <row r="431" spans="4:9">
      <c r="D431" s="2"/>
      <c r="F431" s="19"/>
      <c r="G431" s="19"/>
      <c r="H431" s="20"/>
      <c r="I431" s="8"/>
    </row>
    <row r="432" spans="4:9">
      <c r="D432" s="2"/>
      <c r="F432" s="19"/>
      <c r="G432" s="19"/>
      <c r="H432" s="20"/>
      <c r="I432" s="8"/>
    </row>
    <row r="433" spans="4:9">
      <c r="D433" s="2"/>
      <c r="F433" s="19"/>
      <c r="G433" s="19"/>
      <c r="H433" s="20"/>
      <c r="I433" s="8"/>
    </row>
    <row r="434" spans="4:9">
      <c r="D434" s="2"/>
      <c r="F434" s="19"/>
      <c r="G434" s="19"/>
      <c r="H434" s="20"/>
      <c r="I434" s="8"/>
    </row>
    <row r="435" spans="4:9">
      <c r="D435" s="2"/>
      <c r="F435" s="19"/>
      <c r="G435" s="19"/>
      <c r="H435" s="20"/>
      <c r="I435" s="8"/>
    </row>
    <row r="436" spans="4:9">
      <c r="D436" s="2"/>
      <c r="F436" s="19"/>
      <c r="G436" s="19"/>
      <c r="H436" s="20"/>
      <c r="I436" s="8"/>
    </row>
    <row r="437" spans="4:9">
      <c r="D437" s="2"/>
      <c r="F437" s="19"/>
      <c r="G437" s="19"/>
      <c r="H437" s="20"/>
      <c r="I437" s="8"/>
    </row>
    <row r="438" spans="4:9">
      <c r="D438" s="2"/>
      <c r="F438" s="19"/>
      <c r="G438" s="19"/>
      <c r="H438" s="20"/>
      <c r="I438" s="8"/>
    </row>
    <row r="439" spans="4:9">
      <c r="D439" s="2"/>
      <c r="F439" s="19"/>
      <c r="G439" s="19"/>
      <c r="H439" s="20"/>
      <c r="I439" s="8"/>
    </row>
    <row r="440" spans="4:9">
      <c r="D440" s="2"/>
      <c r="F440" s="19"/>
      <c r="G440" s="19"/>
      <c r="H440" s="20"/>
      <c r="I440" s="8"/>
    </row>
    <row r="441" spans="4:9">
      <c r="D441" s="2"/>
      <c r="F441" s="19"/>
      <c r="G441" s="19"/>
      <c r="H441" s="20"/>
      <c r="I441" s="8"/>
    </row>
    <row r="442" spans="4:9">
      <c r="D442" s="2"/>
      <c r="F442" s="19"/>
      <c r="G442" s="19"/>
      <c r="H442" s="20"/>
      <c r="I442" s="8"/>
    </row>
    <row r="443" spans="4:9">
      <c r="D443" s="2"/>
      <c r="F443" s="19"/>
      <c r="G443" s="19"/>
      <c r="H443" s="20"/>
      <c r="I443" s="8"/>
    </row>
    <row r="444" spans="4:9">
      <c r="D444" s="2"/>
      <c r="F444" s="19"/>
      <c r="G444" s="19"/>
      <c r="H444" s="20"/>
      <c r="I444" s="8"/>
    </row>
    <row r="445" spans="4:9">
      <c r="D445" s="2"/>
      <c r="F445" s="19"/>
      <c r="G445" s="19"/>
      <c r="H445" s="20"/>
      <c r="I445" s="8"/>
    </row>
    <row r="446" spans="4:9">
      <c r="D446" s="2"/>
      <c r="F446" s="19"/>
      <c r="G446" s="19"/>
      <c r="H446" s="20"/>
      <c r="I446" s="8"/>
    </row>
    <row r="447" spans="4:9">
      <c r="D447" s="2"/>
      <c r="F447" s="19"/>
      <c r="G447" s="19"/>
      <c r="H447" s="20"/>
      <c r="I447" s="8"/>
    </row>
    <row r="448" spans="4:9">
      <c r="D448" s="2"/>
      <c r="F448" s="19"/>
      <c r="G448" s="19"/>
      <c r="H448" s="20"/>
      <c r="I448" s="8"/>
    </row>
    <row r="449" spans="4:9">
      <c r="D449" s="2"/>
      <c r="F449" s="19"/>
      <c r="G449" s="19"/>
      <c r="H449" s="20"/>
      <c r="I449" s="8"/>
    </row>
    <row r="450" spans="4:9">
      <c r="D450" s="2"/>
      <c r="F450" s="19"/>
      <c r="G450" s="19"/>
      <c r="H450" s="20"/>
      <c r="I450" s="8"/>
    </row>
    <row r="451" spans="4:9">
      <c r="D451" s="2"/>
      <c r="F451" s="19"/>
      <c r="G451" s="19"/>
      <c r="H451" s="20"/>
      <c r="I451" s="8"/>
    </row>
    <row r="452" spans="4:9">
      <c r="D452" s="2"/>
      <c r="F452" s="19"/>
      <c r="G452" s="19"/>
      <c r="H452" s="20"/>
      <c r="I452" s="8"/>
    </row>
    <row r="453" spans="4:9">
      <c r="D453" s="2"/>
      <c r="F453" s="19"/>
      <c r="G453" s="19"/>
      <c r="H453" s="20"/>
      <c r="I453" s="8"/>
    </row>
    <row r="454" spans="4:9">
      <c r="D454" s="2"/>
      <c r="F454" s="19"/>
      <c r="G454" s="19"/>
      <c r="H454" s="20"/>
      <c r="I454" s="8"/>
    </row>
    <row r="455" spans="4:9">
      <c r="D455" s="2"/>
      <c r="F455" s="19"/>
      <c r="G455" s="19"/>
      <c r="H455" s="20"/>
      <c r="I455" s="8"/>
    </row>
    <row r="456" spans="4:9">
      <c r="D456" s="2"/>
      <c r="F456" s="19"/>
      <c r="G456" s="19"/>
      <c r="H456" s="20"/>
      <c r="I456" s="8"/>
    </row>
    <row r="457" spans="4:9">
      <c r="D457" s="2"/>
      <c r="F457" s="19"/>
      <c r="G457" s="19"/>
      <c r="H457" s="20"/>
      <c r="I457" s="8"/>
    </row>
    <row r="458" spans="4:9">
      <c r="D458" s="2"/>
      <c r="F458" s="19"/>
      <c r="G458" s="19"/>
      <c r="H458" s="20"/>
      <c r="I458" s="8"/>
    </row>
    <row r="459" spans="4:9">
      <c r="D459" s="2"/>
      <c r="F459" s="19"/>
      <c r="G459" s="19"/>
      <c r="H459" s="20"/>
      <c r="I459" s="8"/>
    </row>
    <row r="460" spans="4:9">
      <c r="D460" s="2"/>
      <c r="F460" s="19"/>
      <c r="G460" s="19"/>
      <c r="H460" s="20"/>
      <c r="I460" s="8"/>
    </row>
    <row r="461" spans="4:9">
      <c r="D461" s="2"/>
      <c r="F461" s="19"/>
      <c r="G461" s="19"/>
      <c r="H461" s="20"/>
      <c r="I461" s="8"/>
    </row>
    <row r="462" spans="4:9">
      <c r="D462" s="2"/>
      <c r="F462" s="19"/>
      <c r="G462" s="19"/>
      <c r="H462" s="20"/>
      <c r="I462" s="8"/>
    </row>
    <row r="463" spans="4:9">
      <c r="D463" s="2"/>
      <c r="F463" s="19"/>
      <c r="G463" s="19"/>
      <c r="H463" s="20"/>
      <c r="I463" s="8"/>
    </row>
    <row r="464" spans="4:9">
      <c r="D464" s="2"/>
      <c r="F464" s="19"/>
      <c r="G464" s="19"/>
      <c r="H464" s="20"/>
      <c r="I464" s="8"/>
    </row>
    <row r="465" spans="4:9">
      <c r="D465" s="2"/>
      <c r="F465" s="19"/>
      <c r="G465" s="19"/>
      <c r="H465" s="20"/>
      <c r="I465" s="8"/>
    </row>
    <row r="466" spans="4:9">
      <c r="D466" s="2"/>
      <c r="F466" s="19"/>
      <c r="G466" s="19"/>
      <c r="H466" s="20"/>
      <c r="I466" s="8"/>
    </row>
    <row r="467" spans="4:9">
      <c r="D467" s="2"/>
      <c r="F467" s="19"/>
      <c r="G467" s="19"/>
      <c r="H467" s="20"/>
      <c r="I467" s="8"/>
    </row>
    <row r="468" spans="4:9">
      <c r="D468" s="2"/>
      <c r="F468" s="19"/>
      <c r="G468" s="19"/>
      <c r="H468" s="20"/>
      <c r="I468" s="8"/>
    </row>
    <row r="469" spans="4:9">
      <c r="D469" s="2"/>
      <c r="F469" s="19"/>
      <c r="G469" s="19"/>
      <c r="H469" s="20"/>
      <c r="I469" s="8"/>
    </row>
    <row r="470" spans="4:9">
      <c r="D470" s="2"/>
      <c r="F470" s="19"/>
      <c r="G470" s="19"/>
      <c r="H470" s="20"/>
      <c r="I470" s="8"/>
    </row>
    <row r="471" spans="4:9">
      <c r="D471" s="2"/>
      <c r="F471" s="19"/>
      <c r="G471" s="19"/>
      <c r="H471" s="20"/>
      <c r="I471" s="8"/>
    </row>
    <row r="472" spans="4:9">
      <c r="D472" s="2"/>
      <c r="F472" s="19"/>
      <c r="G472" s="19"/>
      <c r="H472" s="20"/>
      <c r="I472" s="8"/>
    </row>
    <row r="473" spans="4:9">
      <c r="D473" s="2"/>
      <c r="F473" s="19"/>
      <c r="G473" s="19"/>
      <c r="H473" s="20"/>
      <c r="I473" s="8"/>
    </row>
    <row r="474" spans="4:9">
      <c r="D474" s="2"/>
      <c r="F474" s="19"/>
      <c r="G474" s="19"/>
      <c r="H474" s="20"/>
      <c r="I474" s="8"/>
    </row>
    <row r="475" spans="4:9">
      <c r="D475" s="2"/>
      <c r="F475" s="19"/>
      <c r="G475" s="19"/>
      <c r="H475" s="20"/>
      <c r="I475" s="8"/>
    </row>
    <row r="476" spans="4:9">
      <c r="D476" s="2"/>
      <c r="F476" s="19"/>
      <c r="G476" s="19"/>
      <c r="H476" s="20"/>
      <c r="I476" s="8"/>
    </row>
    <row r="477" spans="4:9">
      <c r="D477" s="2"/>
      <c r="F477" s="19"/>
      <c r="G477" s="19"/>
      <c r="H477" s="20"/>
      <c r="I477" s="8"/>
    </row>
    <row r="478" spans="4:9">
      <c r="D478" s="2"/>
      <c r="F478" s="19"/>
      <c r="G478" s="19"/>
      <c r="H478" s="20"/>
      <c r="I478" s="8"/>
    </row>
    <row r="479" spans="4:9">
      <c r="D479" s="2"/>
      <c r="F479" s="19"/>
      <c r="G479" s="19"/>
      <c r="H479" s="20"/>
      <c r="I479" s="8"/>
    </row>
    <row r="480" spans="4:9">
      <c r="D480" s="2"/>
      <c r="F480" s="19"/>
      <c r="G480" s="19"/>
      <c r="H480" s="20"/>
      <c r="I480" s="8"/>
    </row>
    <row r="481" spans="4:9">
      <c r="D481" s="2"/>
      <c r="F481" s="19"/>
      <c r="G481" s="19"/>
      <c r="H481" s="20"/>
      <c r="I481" s="8"/>
    </row>
    <row r="482" spans="4:9">
      <c r="D482" s="2"/>
      <c r="F482" s="19"/>
      <c r="G482" s="19"/>
      <c r="H482" s="20"/>
      <c r="I482" s="8"/>
    </row>
    <row r="483" spans="4:9">
      <c r="D483" s="2"/>
      <c r="F483" s="19"/>
      <c r="G483" s="19"/>
      <c r="H483" s="20"/>
      <c r="I483" s="8"/>
    </row>
    <row r="484" spans="4:9">
      <c r="D484" s="2"/>
      <c r="F484" s="19"/>
      <c r="G484" s="19"/>
      <c r="H484" s="20"/>
      <c r="I484" s="8"/>
    </row>
    <row r="485" spans="4:9">
      <c r="D485" s="2"/>
      <c r="F485" s="19"/>
      <c r="G485" s="19"/>
      <c r="H485" s="20"/>
      <c r="I485" s="8"/>
    </row>
    <row r="486" spans="4:9">
      <c r="D486" s="2"/>
      <c r="F486" s="19"/>
      <c r="G486" s="19"/>
      <c r="H486" s="20"/>
      <c r="I486" s="8"/>
    </row>
    <row r="487" spans="4:9">
      <c r="D487" s="2"/>
      <c r="F487" s="19"/>
      <c r="G487" s="19"/>
      <c r="H487" s="20"/>
      <c r="I487" s="8"/>
    </row>
    <row r="488" spans="4:9">
      <c r="D488" s="2"/>
      <c r="F488" s="19"/>
      <c r="G488" s="19"/>
      <c r="H488" s="20"/>
      <c r="I488" s="8"/>
    </row>
    <row r="489" spans="4:9">
      <c r="D489" s="2"/>
      <c r="F489" s="19"/>
      <c r="G489" s="19"/>
      <c r="H489" s="20"/>
      <c r="I489" s="8"/>
    </row>
    <row r="490" spans="4:9">
      <c r="D490" s="2"/>
      <c r="F490" s="19"/>
      <c r="G490" s="19"/>
      <c r="H490" s="20"/>
      <c r="I490" s="8"/>
    </row>
    <row r="491" spans="4:9">
      <c r="D491" s="2"/>
      <c r="F491" s="19"/>
      <c r="G491" s="19"/>
      <c r="H491" s="20"/>
      <c r="I491" s="8"/>
    </row>
    <row r="492" spans="4:9">
      <c r="D492" s="2"/>
      <c r="F492" s="19"/>
      <c r="G492" s="19"/>
      <c r="H492" s="20"/>
      <c r="I492" s="8"/>
    </row>
    <row r="493" spans="4:9">
      <c r="D493" s="2"/>
      <c r="F493" s="19"/>
      <c r="G493" s="19"/>
      <c r="H493" s="20"/>
      <c r="I493" s="8"/>
    </row>
    <row r="494" spans="4:9">
      <c r="D494" s="2"/>
      <c r="F494" s="19"/>
      <c r="G494" s="19"/>
      <c r="H494" s="20"/>
      <c r="I494" s="8"/>
    </row>
    <row r="495" spans="4:9">
      <c r="D495" s="2"/>
      <c r="F495" s="19"/>
      <c r="G495" s="19"/>
      <c r="H495" s="20"/>
      <c r="I495" s="8"/>
    </row>
    <row r="496" spans="4:9">
      <c r="D496" s="2"/>
      <c r="F496" s="19"/>
      <c r="G496" s="19"/>
      <c r="H496" s="20"/>
      <c r="I496" s="8"/>
    </row>
    <row r="497" spans="4:9">
      <c r="D497" s="2"/>
      <c r="F497" s="19"/>
      <c r="G497" s="19"/>
      <c r="H497" s="20"/>
      <c r="I497" s="8"/>
    </row>
    <row r="498" spans="4:9">
      <c r="D498" s="2"/>
      <c r="F498" s="19"/>
      <c r="G498" s="19"/>
      <c r="H498" s="20"/>
      <c r="I498" s="8"/>
    </row>
    <row r="499" spans="4:9">
      <c r="D499" s="2"/>
      <c r="F499" s="19"/>
      <c r="G499" s="19"/>
      <c r="H499" s="20"/>
      <c r="I499" s="8"/>
    </row>
    <row r="500" spans="4:9">
      <c r="D500" s="2"/>
      <c r="F500" s="19"/>
      <c r="G500" s="19"/>
      <c r="H500" s="20"/>
      <c r="I500" s="8"/>
    </row>
    <row r="501" spans="4:9">
      <c r="D501" s="2"/>
      <c r="F501" s="19"/>
      <c r="G501" s="19"/>
      <c r="H501" s="20"/>
      <c r="I501" s="8"/>
    </row>
    <row r="502" spans="4:9">
      <c r="D502" s="2"/>
      <c r="F502" s="19"/>
      <c r="G502" s="19"/>
      <c r="H502" s="20"/>
      <c r="I502" s="8"/>
    </row>
    <row r="503" spans="4:9">
      <c r="D503" s="2"/>
      <c r="F503" s="19"/>
      <c r="G503" s="19"/>
      <c r="H503" s="20"/>
      <c r="I503" s="8"/>
    </row>
    <row r="504" spans="4:9">
      <c r="D504" s="2"/>
      <c r="F504" s="19"/>
      <c r="G504" s="19"/>
      <c r="H504" s="20"/>
      <c r="I504" s="8"/>
    </row>
    <row r="505" spans="4:9">
      <c r="D505" s="2"/>
      <c r="F505" s="19"/>
      <c r="G505" s="19"/>
      <c r="H505" s="20"/>
      <c r="I505" s="8"/>
    </row>
    <row r="506" spans="4:9">
      <c r="D506" s="2"/>
      <c r="F506" s="19"/>
      <c r="G506" s="19"/>
      <c r="H506" s="20"/>
      <c r="I506" s="8"/>
    </row>
    <row r="507" spans="4:9">
      <c r="D507" s="2"/>
      <c r="F507" s="19"/>
      <c r="G507" s="19"/>
      <c r="H507" s="20"/>
      <c r="I507" s="8"/>
    </row>
    <row r="508" spans="4:9">
      <c r="D508" s="2"/>
      <c r="F508" s="19"/>
      <c r="G508" s="19"/>
      <c r="H508" s="20"/>
      <c r="I508" s="8"/>
    </row>
    <row r="509" spans="4:9">
      <c r="D509" s="2"/>
      <c r="F509" s="19"/>
      <c r="G509" s="19"/>
      <c r="H509" s="20"/>
      <c r="I509" s="8"/>
    </row>
    <row r="510" spans="4:9">
      <c r="D510" s="2"/>
      <c r="F510" s="19"/>
      <c r="G510" s="19"/>
      <c r="H510" s="20"/>
      <c r="I510" s="8"/>
    </row>
    <row r="511" spans="4:9">
      <c r="D511" s="2"/>
      <c r="F511" s="19"/>
      <c r="G511" s="19"/>
      <c r="H511" s="20"/>
      <c r="I511" s="8"/>
    </row>
    <row r="512" spans="4:9">
      <c r="D512" s="2"/>
      <c r="F512" s="19"/>
      <c r="G512" s="19"/>
      <c r="H512" s="20"/>
      <c r="I512" s="8"/>
    </row>
    <row r="513" spans="4:9">
      <c r="D513" s="2"/>
      <c r="F513" s="19"/>
      <c r="G513" s="19"/>
      <c r="H513" s="20"/>
      <c r="I513" s="8"/>
    </row>
    <row r="514" spans="4:9">
      <c r="D514" s="2"/>
      <c r="F514" s="19"/>
      <c r="G514" s="19"/>
      <c r="H514" s="20"/>
      <c r="I514" s="8"/>
    </row>
    <row r="515" spans="4:9">
      <c r="D515" s="2"/>
      <c r="F515" s="19"/>
      <c r="G515" s="19"/>
      <c r="H515" s="20"/>
      <c r="I515" s="8"/>
    </row>
    <row r="516" spans="4:9">
      <c r="D516" s="2"/>
      <c r="F516" s="19"/>
      <c r="G516" s="19"/>
      <c r="H516" s="20"/>
      <c r="I516" s="8"/>
    </row>
    <row r="517" spans="4:9">
      <c r="D517" s="2"/>
      <c r="F517" s="19"/>
      <c r="G517" s="19"/>
      <c r="H517" s="20"/>
      <c r="I517" s="8"/>
    </row>
    <row r="518" spans="4:9">
      <c r="D518" s="2"/>
      <c r="F518" s="19"/>
      <c r="G518" s="19"/>
      <c r="H518" s="20"/>
      <c r="I518" s="8"/>
    </row>
    <row r="519" spans="4:9">
      <c r="D519" s="2"/>
      <c r="F519" s="19"/>
      <c r="G519" s="19"/>
      <c r="H519" s="20"/>
      <c r="I519" s="8"/>
    </row>
    <row r="520" spans="4:9">
      <c r="D520" s="2"/>
      <c r="F520" s="19"/>
      <c r="G520" s="19"/>
      <c r="H520" s="20"/>
      <c r="I520" s="8"/>
    </row>
    <row r="521" spans="4:9">
      <c r="D521" s="2"/>
      <c r="F521" s="19"/>
      <c r="G521" s="19"/>
      <c r="H521" s="20"/>
      <c r="I521" s="8"/>
    </row>
    <row r="522" spans="4:9">
      <c r="D522" s="2"/>
      <c r="F522" s="19"/>
      <c r="G522" s="19"/>
      <c r="H522" s="20"/>
      <c r="I522" s="8"/>
    </row>
    <row r="523" spans="4:9">
      <c r="D523" s="2"/>
      <c r="F523" s="19"/>
      <c r="G523" s="19"/>
      <c r="H523" s="20"/>
      <c r="I523" s="8"/>
    </row>
    <row r="524" spans="4:9">
      <c r="D524" s="2"/>
      <c r="F524" s="19"/>
      <c r="G524" s="19"/>
      <c r="H524" s="20"/>
      <c r="I524" s="8"/>
    </row>
    <row r="525" spans="4:9">
      <c r="D525" s="2"/>
      <c r="F525" s="19"/>
      <c r="G525" s="19"/>
      <c r="H525" s="20"/>
      <c r="I525" s="8"/>
    </row>
    <row r="526" spans="4:9">
      <c r="D526" s="2"/>
      <c r="F526" s="19"/>
      <c r="G526" s="19"/>
      <c r="H526" s="20"/>
      <c r="I526" s="8"/>
    </row>
    <row r="527" spans="4:9">
      <c r="D527" s="2"/>
      <c r="F527" s="19"/>
      <c r="G527" s="19"/>
      <c r="H527" s="20"/>
      <c r="I527" s="8"/>
    </row>
    <row r="528" spans="4:9">
      <c r="D528" s="2"/>
      <c r="F528" s="19"/>
      <c r="G528" s="19"/>
      <c r="H528" s="20"/>
      <c r="I528" s="8"/>
    </row>
    <row r="529" spans="4:9">
      <c r="D529" s="2"/>
      <c r="F529" s="19"/>
      <c r="G529" s="19"/>
      <c r="H529" s="20"/>
      <c r="I529" s="8"/>
    </row>
    <row r="530" spans="4:9">
      <c r="D530" s="2"/>
      <c r="F530" s="19"/>
      <c r="G530" s="19"/>
      <c r="H530" s="20"/>
      <c r="I530" s="8"/>
    </row>
    <row r="531" spans="4:9">
      <c r="D531" s="2"/>
      <c r="F531" s="19"/>
      <c r="G531" s="19"/>
      <c r="H531" s="20"/>
      <c r="I531" s="8"/>
    </row>
    <row r="532" spans="4:9">
      <c r="D532" s="2"/>
      <c r="F532" s="19"/>
      <c r="G532" s="19"/>
      <c r="H532" s="20"/>
      <c r="I532" s="8"/>
    </row>
    <row r="533" spans="4:9">
      <c r="D533" s="2"/>
      <c r="F533" s="19"/>
      <c r="G533" s="19"/>
      <c r="H533" s="20"/>
      <c r="I533" s="8"/>
    </row>
    <row r="534" spans="4:9">
      <c r="D534" s="2"/>
      <c r="F534" s="19"/>
      <c r="G534" s="19"/>
      <c r="H534" s="20"/>
      <c r="I534" s="8"/>
    </row>
    <row r="535" spans="4:9">
      <c r="D535" s="2"/>
      <c r="F535" s="19"/>
      <c r="G535" s="19"/>
      <c r="H535" s="20"/>
      <c r="I535" s="8"/>
    </row>
    <row r="536" spans="4:9">
      <c r="D536" s="2"/>
      <c r="F536" s="19"/>
      <c r="G536" s="19"/>
      <c r="H536" s="20"/>
      <c r="I536" s="8"/>
    </row>
    <row r="537" spans="4:9">
      <c r="D537" s="2"/>
      <c r="F537" s="19"/>
      <c r="G537" s="19"/>
      <c r="H537" s="20"/>
      <c r="I537" s="8"/>
    </row>
    <row r="538" spans="4:9">
      <c r="D538" s="2"/>
      <c r="F538" s="19"/>
      <c r="G538" s="19"/>
      <c r="H538" s="20"/>
      <c r="I538" s="8"/>
    </row>
    <row r="539" spans="4:9">
      <c r="D539" s="2"/>
      <c r="F539" s="19"/>
      <c r="G539" s="19"/>
      <c r="H539" s="20"/>
      <c r="I539" s="8"/>
    </row>
    <row r="540" spans="4:9">
      <c r="D540" s="2"/>
      <c r="F540" s="19"/>
      <c r="G540" s="19"/>
      <c r="H540" s="20"/>
      <c r="I540" s="8"/>
    </row>
    <row r="541" spans="4:9">
      <c r="D541" s="2"/>
      <c r="F541" s="19"/>
      <c r="G541" s="19"/>
      <c r="H541" s="20"/>
      <c r="I541" s="8"/>
    </row>
    <row r="542" spans="4:9">
      <c r="D542" s="2"/>
      <c r="F542" s="19"/>
      <c r="G542" s="19"/>
      <c r="H542" s="20"/>
      <c r="I542" s="8"/>
    </row>
    <row r="543" spans="4:9">
      <c r="D543" s="2"/>
      <c r="F543" s="19"/>
      <c r="G543" s="19"/>
      <c r="H543" s="20"/>
      <c r="I543" s="8"/>
    </row>
    <row r="544" spans="4:9">
      <c r="D544" s="2"/>
      <c r="F544" s="19"/>
      <c r="G544" s="19"/>
      <c r="H544" s="20"/>
      <c r="I544" s="8"/>
    </row>
    <row r="545" spans="4:9">
      <c r="D545" s="2"/>
      <c r="F545" s="19"/>
      <c r="G545" s="19"/>
      <c r="H545" s="20"/>
      <c r="I545" s="8"/>
    </row>
    <row r="546" spans="4:9">
      <c r="D546" s="2"/>
      <c r="F546" s="19"/>
      <c r="G546" s="19"/>
      <c r="H546" s="20"/>
      <c r="I546" s="8"/>
    </row>
    <row r="547" spans="4:9">
      <c r="D547" s="2"/>
      <c r="F547" s="19"/>
      <c r="G547" s="19"/>
      <c r="H547" s="20"/>
      <c r="I547" s="8"/>
    </row>
    <row r="548" spans="4:9">
      <c r="D548" s="2"/>
      <c r="F548" s="19"/>
      <c r="G548" s="19"/>
      <c r="H548" s="20"/>
      <c r="I548" s="8"/>
    </row>
    <row r="549" spans="4:9">
      <c r="D549" s="2"/>
      <c r="F549" s="19"/>
      <c r="G549" s="19"/>
      <c r="H549" s="20"/>
      <c r="I549" s="8"/>
    </row>
    <row r="550" spans="4:9">
      <c r="D550" s="2"/>
      <c r="F550" s="19"/>
      <c r="G550" s="19"/>
      <c r="H550" s="20"/>
      <c r="I550" s="8"/>
    </row>
    <row r="551" spans="4:9">
      <c r="D551" s="2"/>
      <c r="F551" s="19"/>
      <c r="G551" s="19"/>
      <c r="H551" s="20"/>
      <c r="I551" s="8"/>
    </row>
    <row r="552" spans="4:9">
      <c r="D552" s="2"/>
      <c r="F552" s="19"/>
      <c r="G552" s="19"/>
      <c r="H552" s="20"/>
      <c r="I552" s="8"/>
    </row>
    <row r="553" spans="4:9">
      <c r="D553" s="2"/>
      <c r="F553" s="19"/>
      <c r="G553" s="19"/>
      <c r="H553" s="20"/>
      <c r="I553" s="8"/>
    </row>
    <row r="554" spans="4:9">
      <c r="D554" s="2"/>
      <c r="F554" s="19"/>
      <c r="G554" s="19"/>
      <c r="H554" s="20"/>
      <c r="I554" s="8"/>
    </row>
    <row r="555" spans="4:9">
      <c r="D555" s="2"/>
      <c r="F555" s="19"/>
      <c r="G555" s="19"/>
      <c r="H555" s="20"/>
      <c r="I555" s="8"/>
    </row>
    <row r="556" spans="4:9">
      <c r="D556" s="2"/>
      <c r="F556" s="19"/>
      <c r="G556" s="19"/>
      <c r="H556" s="20"/>
      <c r="I556" s="8"/>
    </row>
    <row r="557" spans="4:9">
      <c r="D557" s="2"/>
      <c r="F557" s="19"/>
      <c r="G557" s="19"/>
      <c r="H557" s="20"/>
      <c r="I557" s="8"/>
    </row>
    <row r="558" spans="4:9">
      <c r="D558" s="2"/>
      <c r="F558" s="19"/>
      <c r="G558" s="19"/>
      <c r="H558" s="20"/>
      <c r="I558" s="8"/>
    </row>
    <row r="559" spans="4:9">
      <c r="D559" s="2"/>
      <c r="F559" s="19"/>
      <c r="G559" s="19"/>
      <c r="H559" s="20"/>
      <c r="I559" s="8"/>
    </row>
    <row r="560" spans="4:9">
      <c r="D560" s="2"/>
      <c r="F560" s="19"/>
      <c r="G560" s="19"/>
      <c r="H560" s="20"/>
      <c r="I560" s="8"/>
    </row>
    <row r="561" spans="4:9">
      <c r="D561" s="2"/>
      <c r="F561" s="19"/>
      <c r="G561" s="19"/>
      <c r="H561" s="20"/>
      <c r="I561" s="8"/>
    </row>
    <row r="562" spans="4:9">
      <c r="D562" s="2"/>
      <c r="F562" s="19"/>
      <c r="G562" s="19"/>
      <c r="H562" s="20"/>
      <c r="I562" s="8"/>
    </row>
    <row r="563" spans="4:9">
      <c r="D563" s="2"/>
      <c r="F563" s="19"/>
      <c r="G563" s="19"/>
      <c r="H563" s="20"/>
      <c r="I563" s="8"/>
    </row>
    <row r="564" spans="4:9">
      <c r="D564" s="2"/>
      <c r="F564" s="19"/>
      <c r="G564" s="19"/>
      <c r="H564" s="20"/>
      <c r="I564" s="8"/>
    </row>
    <row r="565" spans="4:9">
      <c r="D565" s="2"/>
      <c r="F565" s="19"/>
      <c r="G565" s="19"/>
      <c r="H565" s="20"/>
      <c r="I565" s="8"/>
    </row>
    <row r="566" spans="4:9">
      <c r="D566" s="2"/>
      <c r="F566" s="19"/>
      <c r="G566" s="19"/>
      <c r="H566" s="20"/>
      <c r="I566" s="8"/>
    </row>
    <row r="567" spans="4:9">
      <c r="D567" s="2"/>
      <c r="F567" s="19"/>
      <c r="G567" s="19"/>
      <c r="H567" s="20"/>
      <c r="I567" s="8"/>
    </row>
    <row r="568" spans="4:9">
      <c r="D568" s="2"/>
      <c r="F568" s="19"/>
      <c r="G568" s="19"/>
      <c r="H568" s="20"/>
      <c r="I568" s="8"/>
    </row>
    <row r="569" spans="4:9">
      <c r="D569" s="2"/>
      <c r="F569" s="19"/>
      <c r="G569" s="19"/>
      <c r="H569" s="20"/>
      <c r="I569" s="8"/>
    </row>
    <row r="570" spans="4:9">
      <c r="D570" s="2"/>
      <c r="F570" s="19"/>
      <c r="G570" s="19"/>
      <c r="H570" s="20"/>
      <c r="I570" s="8"/>
    </row>
    <row r="571" spans="4:9">
      <c r="D571" s="2"/>
      <c r="F571" s="19"/>
      <c r="G571" s="19"/>
      <c r="H571" s="20"/>
      <c r="I571" s="8"/>
    </row>
    <row r="572" spans="4:9">
      <c r="D572" s="2"/>
      <c r="F572" s="19"/>
      <c r="G572" s="19"/>
      <c r="H572" s="20"/>
      <c r="I572" s="8"/>
    </row>
    <row r="573" spans="4:9">
      <c r="D573" s="2"/>
      <c r="F573" s="19"/>
      <c r="G573" s="19"/>
      <c r="H573" s="20"/>
      <c r="I573" s="8"/>
    </row>
    <row r="574" spans="4:9">
      <c r="D574" s="2"/>
      <c r="F574" s="19"/>
      <c r="G574" s="19"/>
      <c r="H574" s="20"/>
      <c r="I574" s="8"/>
    </row>
    <row r="575" spans="4:9">
      <c r="D575" s="2"/>
      <c r="F575" s="19"/>
      <c r="G575" s="19"/>
      <c r="H575" s="20"/>
      <c r="I575" s="8"/>
    </row>
    <row r="576" spans="4:9">
      <c r="D576" s="2"/>
      <c r="F576" s="19"/>
      <c r="G576" s="19"/>
      <c r="H576" s="20"/>
      <c r="I576" s="8"/>
    </row>
    <row r="577" spans="4:9">
      <c r="D577" s="2"/>
      <c r="F577" s="19"/>
      <c r="G577" s="19"/>
      <c r="H577" s="20"/>
      <c r="I577" s="8"/>
    </row>
    <row r="578" spans="4:9">
      <c r="D578" s="2"/>
      <c r="F578" s="19"/>
      <c r="G578" s="19"/>
      <c r="H578" s="20"/>
      <c r="I578" s="8"/>
    </row>
    <row r="579" spans="4:9">
      <c r="D579" s="2"/>
      <c r="F579" s="19"/>
      <c r="G579" s="19"/>
      <c r="H579" s="20"/>
      <c r="I579" s="8"/>
    </row>
    <row r="580" spans="4:9">
      <c r="D580" s="2"/>
      <c r="F580" s="19"/>
      <c r="G580" s="19"/>
      <c r="H580" s="20"/>
      <c r="I580" s="8"/>
    </row>
    <row r="581" spans="4:9">
      <c r="D581" s="2"/>
      <c r="F581" s="19"/>
      <c r="G581" s="19"/>
      <c r="H581" s="20"/>
      <c r="I581" s="8"/>
    </row>
    <row r="582" spans="4:9">
      <c r="D582" s="2"/>
      <c r="F582" s="19"/>
      <c r="G582" s="19"/>
      <c r="H582" s="20"/>
      <c r="I582" s="8"/>
    </row>
    <row r="583" spans="4:9">
      <c r="D583" s="2"/>
      <c r="F583" s="19"/>
      <c r="G583" s="19"/>
      <c r="H583" s="20"/>
      <c r="I583" s="8"/>
    </row>
    <row r="584" spans="4:9">
      <c r="D584" s="2"/>
      <c r="F584" s="19"/>
      <c r="G584" s="19"/>
      <c r="H584" s="20"/>
      <c r="I584" s="8"/>
    </row>
    <row r="585" spans="4:9">
      <c r="D585" s="2"/>
      <c r="F585" s="19"/>
      <c r="G585" s="19"/>
      <c r="H585" s="20"/>
      <c r="I585" s="8"/>
    </row>
    <row r="586" spans="4:9">
      <c r="D586" s="2"/>
      <c r="F586" s="19"/>
      <c r="G586" s="19"/>
      <c r="H586" s="20"/>
      <c r="I586" s="8"/>
    </row>
    <row r="587" spans="4:9">
      <c r="D587" s="2"/>
      <c r="F587" s="19"/>
      <c r="G587" s="19"/>
      <c r="H587" s="20"/>
      <c r="I587" s="8"/>
    </row>
    <row r="588" spans="4:9">
      <c r="D588" s="2"/>
      <c r="F588" s="19"/>
      <c r="G588" s="19"/>
      <c r="H588" s="20"/>
      <c r="I588" s="8"/>
    </row>
    <row r="589" spans="4:9">
      <c r="D589" s="2"/>
      <c r="F589" s="19"/>
      <c r="G589" s="19"/>
      <c r="H589" s="20"/>
      <c r="I589" s="8"/>
    </row>
    <row r="590" spans="4:9">
      <c r="D590" s="2"/>
      <c r="F590" s="19"/>
      <c r="G590" s="19"/>
      <c r="H590" s="20"/>
      <c r="I590" s="8"/>
    </row>
    <row r="591" spans="4:9">
      <c r="D591" s="2"/>
      <c r="F591" s="19"/>
      <c r="G591" s="19"/>
      <c r="H591" s="20"/>
      <c r="I591" s="8"/>
    </row>
    <row r="592" spans="4:9">
      <c r="D592" s="2"/>
      <c r="F592" s="19"/>
      <c r="G592" s="19"/>
      <c r="H592" s="20"/>
      <c r="I592" s="8"/>
    </row>
    <row r="593" spans="4:9">
      <c r="D593" s="2"/>
      <c r="F593" s="19"/>
      <c r="G593" s="19"/>
      <c r="H593" s="20"/>
      <c r="I593" s="8"/>
    </row>
    <row r="594" spans="4:9">
      <c r="D594" s="2"/>
      <c r="F594" s="19"/>
      <c r="G594" s="19"/>
      <c r="H594" s="20"/>
      <c r="I594" s="8"/>
    </row>
    <row r="595" spans="4:9">
      <c r="D595" s="2"/>
      <c r="F595" s="19"/>
      <c r="G595" s="19"/>
      <c r="H595" s="20"/>
      <c r="I595" s="8"/>
    </row>
    <row r="596" spans="4:9">
      <c r="D596" s="2"/>
      <c r="F596" s="19"/>
      <c r="G596" s="19"/>
      <c r="H596" s="20"/>
      <c r="I596" s="8"/>
    </row>
    <row r="597" spans="4:9">
      <c r="D597" s="2"/>
      <c r="F597" s="19"/>
      <c r="G597" s="19"/>
      <c r="H597" s="20"/>
      <c r="I597" s="8"/>
    </row>
    <row r="598" spans="4:9">
      <c r="D598" s="2"/>
      <c r="F598" s="19"/>
      <c r="G598" s="19"/>
      <c r="H598" s="20"/>
      <c r="I598" s="8"/>
    </row>
    <row r="599" spans="4:9">
      <c r="D599" s="2"/>
      <c r="F599" s="19"/>
      <c r="G599" s="19"/>
      <c r="H599" s="20"/>
      <c r="I599" s="8"/>
    </row>
    <row r="600" spans="4:9">
      <c r="D600" s="2"/>
      <c r="F600" s="19"/>
      <c r="G600" s="19"/>
      <c r="H600" s="20"/>
      <c r="I600" s="8"/>
    </row>
    <row r="601" spans="4:9">
      <c r="D601" s="2"/>
      <c r="F601" s="19"/>
      <c r="G601" s="19"/>
      <c r="H601" s="20"/>
      <c r="I601" s="8"/>
    </row>
    <row r="602" spans="4:9">
      <c r="D602" s="2"/>
      <c r="F602" s="19"/>
      <c r="G602" s="19"/>
      <c r="H602" s="20"/>
      <c r="I602" s="8"/>
    </row>
    <row r="603" spans="4:9">
      <c r="D603" s="2"/>
      <c r="F603" s="19"/>
      <c r="G603" s="19"/>
      <c r="H603" s="20"/>
      <c r="I603" s="8"/>
    </row>
    <row r="604" spans="4:9">
      <c r="D604" s="2"/>
      <c r="F604" s="19"/>
      <c r="G604" s="19"/>
      <c r="H604" s="20"/>
      <c r="I604" s="8"/>
    </row>
    <row r="605" spans="4:9">
      <c r="D605" s="2"/>
      <c r="F605" s="19"/>
      <c r="G605" s="19"/>
      <c r="H605" s="20"/>
      <c r="I605" s="8"/>
    </row>
    <row r="606" spans="4:9">
      <c r="D606" s="2"/>
      <c r="F606" s="19"/>
      <c r="G606" s="19"/>
      <c r="H606" s="20"/>
      <c r="I606" s="8"/>
    </row>
    <row r="607" spans="4:9">
      <c r="D607" s="2"/>
      <c r="F607" s="19"/>
      <c r="G607" s="19"/>
      <c r="H607" s="20"/>
      <c r="I607" s="8"/>
    </row>
    <row r="608" spans="4:9">
      <c r="D608" s="2"/>
      <c r="F608" s="19"/>
      <c r="G608" s="19"/>
      <c r="H608" s="20"/>
      <c r="I608" s="8"/>
    </row>
    <row r="609" spans="4:9">
      <c r="D609" s="2"/>
      <c r="F609" s="19"/>
      <c r="G609" s="19"/>
      <c r="H609" s="20"/>
      <c r="I609" s="8"/>
    </row>
    <row r="610" spans="4:9">
      <c r="D610" s="2"/>
      <c r="F610" s="19"/>
      <c r="G610" s="19"/>
      <c r="H610" s="20"/>
      <c r="I610" s="8"/>
    </row>
    <row r="611" spans="4:9">
      <c r="D611" s="2"/>
      <c r="F611" s="19"/>
      <c r="G611" s="19"/>
      <c r="H611" s="20"/>
      <c r="I611" s="8"/>
    </row>
    <row r="612" spans="4:9">
      <c r="D612" s="2"/>
      <c r="F612" s="19"/>
      <c r="G612" s="19"/>
      <c r="H612" s="20"/>
      <c r="I612" s="8"/>
    </row>
    <row r="613" spans="4:9">
      <c r="D613" s="2"/>
      <c r="F613" s="19"/>
      <c r="G613" s="19"/>
      <c r="H613" s="20"/>
      <c r="I613" s="8"/>
    </row>
    <row r="614" spans="4:9">
      <c r="D614" s="2"/>
      <c r="F614" s="19"/>
      <c r="G614" s="19"/>
      <c r="H614" s="20"/>
      <c r="I614" s="8"/>
    </row>
    <row r="615" spans="4:9">
      <c r="D615" s="2"/>
      <c r="F615" s="19"/>
      <c r="G615" s="19"/>
      <c r="H615" s="20"/>
      <c r="I615" s="8"/>
    </row>
    <row r="616" spans="4:9">
      <c r="D616" s="2"/>
      <c r="F616" s="19"/>
      <c r="G616" s="19"/>
      <c r="H616" s="20"/>
      <c r="I616" s="8"/>
    </row>
    <row r="617" spans="4:9">
      <c r="D617" s="2"/>
      <c r="F617" s="19"/>
      <c r="G617" s="19"/>
      <c r="H617" s="20"/>
      <c r="I617" s="8"/>
    </row>
    <row r="618" spans="4:9">
      <c r="D618" s="2"/>
      <c r="F618" s="19"/>
      <c r="G618" s="19"/>
      <c r="H618" s="20"/>
      <c r="I618" s="8"/>
    </row>
    <row r="619" spans="4:9">
      <c r="D619" s="2"/>
      <c r="F619" s="19"/>
      <c r="G619" s="19"/>
      <c r="H619" s="20"/>
      <c r="I619" s="8"/>
    </row>
    <row r="620" spans="4:9">
      <c r="D620" s="2"/>
      <c r="F620" s="19"/>
      <c r="G620" s="19"/>
      <c r="H620" s="20"/>
      <c r="I620" s="8"/>
    </row>
    <row r="621" spans="4:9">
      <c r="D621" s="2"/>
      <c r="F621" s="19"/>
      <c r="G621" s="19"/>
      <c r="H621" s="20"/>
      <c r="I621" s="8"/>
    </row>
    <row r="622" spans="4:9">
      <c r="D622" s="2"/>
      <c r="F622" s="19"/>
      <c r="G622" s="19"/>
      <c r="H622" s="20"/>
      <c r="I622" s="8"/>
    </row>
    <row r="623" spans="4:9">
      <c r="D623" s="2"/>
      <c r="F623" s="19"/>
      <c r="G623" s="19"/>
      <c r="H623" s="20"/>
      <c r="I623" s="8"/>
    </row>
    <row r="624" spans="4:9">
      <c r="D624" s="2"/>
      <c r="F624" s="19"/>
      <c r="G624" s="19"/>
      <c r="H624" s="20"/>
      <c r="I624" s="8"/>
    </row>
    <row r="625" spans="4:9">
      <c r="D625" s="2"/>
      <c r="F625" s="19"/>
      <c r="G625" s="19"/>
      <c r="H625" s="20"/>
      <c r="I625" s="8"/>
    </row>
    <row r="626" spans="4:9">
      <c r="D626" s="2"/>
      <c r="F626" s="19"/>
      <c r="G626" s="19"/>
      <c r="H626" s="20"/>
      <c r="I626" s="8"/>
    </row>
    <row r="627" spans="4:9">
      <c r="D627" s="2"/>
      <c r="F627" s="19"/>
      <c r="G627" s="19"/>
      <c r="H627" s="20"/>
      <c r="I627" s="8"/>
    </row>
    <row r="628" spans="4:9">
      <c r="D628" s="2"/>
      <c r="F628" s="19"/>
      <c r="G628" s="19"/>
      <c r="H628" s="20"/>
      <c r="I628" s="8"/>
    </row>
    <row r="629" spans="4:9">
      <c r="D629" s="2"/>
      <c r="F629" s="19"/>
      <c r="G629" s="19"/>
      <c r="H629" s="20"/>
      <c r="I629" s="8"/>
    </row>
    <row r="630" spans="4:9">
      <c r="D630" s="2"/>
      <c r="F630" s="19"/>
      <c r="G630" s="19"/>
      <c r="H630" s="20"/>
      <c r="I630" s="8"/>
    </row>
    <row r="631" spans="4:9">
      <c r="D631" s="2"/>
      <c r="F631" s="19"/>
      <c r="G631" s="19"/>
      <c r="H631" s="20"/>
      <c r="I631" s="8"/>
    </row>
    <row r="632" spans="4:9">
      <c r="D632" s="2"/>
      <c r="F632" s="19"/>
      <c r="G632" s="19"/>
      <c r="H632" s="20"/>
      <c r="I632" s="8"/>
    </row>
    <row r="633" spans="4:9">
      <c r="D633" s="2"/>
      <c r="F633" s="19"/>
      <c r="G633" s="19"/>
      <c r="H633" s="20"/>
      <c r="I633" s="8"/>
    </row>
    <row r="634" spans="4:9">
      <c r="D634" s="2"/>
      <c r="F634" s="19"/>
      <c r="G634" s="19"/>
      <c r="H634" s="20"/>
      <c r="I634" s="8"/>
    </row>
    <row r="635" spans="4:9">
      <c r="D635" s="2"/>
      <c r="F635" s="19"/>
      <c r="G635" s="19"/>
      <c r="H635" s="20"/>
      <c r="I635" s="8"/>
    </row>
    <row r="636" spans="4:9">
      <c r="D636" s="2"/>
      <c r="F636" s="19"/>
      <c r="G636" s="19"/>
      <c r="H636" s="20"/>
      <c r="I636" s="8"/>
    </row>
    <row r="637" spans="4:9">
      <c r="D637" s="2"/>
      <c r="F637" s="19"/>
      <c r="G637" s="19"/>
      <c r="H637" s="20"/>
      <c r="I637" s="8"/>
    </row>
    <row r="638" spans="4:9">
      <c r="D638" s="2"/>
      <c r="F638" s="19"/>
      <c r="G638" s="19"/>
      <c r="H638" s="20"/>
      <c r="I638" s="8"/>
    </row>
    <row r="639" spans="4:9">
      <c r="D639" s="2"/>
      <c r="F639" s="19"/>
      <c r="G639" s="19"/>
      <c r="H639" s="20"/>
      <c r="I639" s="8"/>
    </row>
    <row r="640" spans="4:9">
      <c r="D640" s="2"/>
      <c r="F640" s="19"/>
      <c r="G640" s="19"/>
      <c r="H640" s="20"/>
      <c r="I640" s="8"/>
    </row>
    <row r="641" spans="4:9">
      <c r="D641" s="2"/>
      <c r="F641" s="19"/>
      <c r="G641" s="19"/>
      <c r="H641" s="20"/>
      <c r="I641" s="8"/>
    </row>
    <row r="642" spans="4:9">
      <c r="D642" s="2"/>
      <c r="F642" s="19"/>
      <c r="G642" s="19"/>
      <c r="H642" s="20"/>
      <c r="I642" s="8"/>
    </row>
    <row r="643" spans="4:9">
      <c r="D643" s="2"/>
      <c r="F643" s="19"/>
      <c r="G643" s="19"/>
      <c r="H643" s="20"/>
      <c r="I643" s="8"/>
    </row>
    <row r="644" spans="4:9">
      <c r="D644" s="2"/>
      <c r="F644" s="19"/>
      <c r="G644" s="19"/>
      <c r="H644" s="20"/>
      <c r="I644" s="8"/>
    </row>
    <row r="645" spans="4:9">
      <c r="D645" s="2"/>
      <c r="F645" s="19"/>
      <c r="G645" s="19"/>
      <c r="H645" s="20"/>
      <c r="I645" s="8"/>
    </row>
    <row r="646" spans="4:9">
      <c r="D646" s="2"/>
      <c r="F646" s="19"/>
      <c r="G646" s="19"/>
      <c r="H646" s="20"/>
      <c r="I646" s="8"/>
    </row>
    <row r="647" spans="4:9">
      <c r="D647" s="2"/>
      <c r="F647" s="19"/>
      <c r="G647" s="19"/>
      <c r="H647" s="20"/>
      <c r="I647" s="8"/>
    </row>
    <row r="648" spans="4:9">
      <c r="D648" s="2"/>
      <c r="F648" s="19"/>
      <c r="G648" s="19"/>
      <c r="H648" s="20"/>
      <c r="I648" s="8"/>
    </row>
    <row r="649" spans="4:9">
      <c r="D649" s="2"/>
      <c r="F649" s="19"/>
      <c r="G649" s="19"/>
      <c r="H649" s="20"/>
      <c r="I649" s="8"/>
    </row>
    <row r="650" spans="4:9">
      <c r="D650" s="2"/>
      <c r="F650" s="19"/>
      <c r="G650" s="19"/>
      <c r="H650" s="20"/>
      <c r="I650" s="8"/>
    </row>
    <row r="651" spans="4:9">
      <c r="D651" s="2"/>
      <c r="F651" s="19"/>
      <c r="G651" s="19"/>
      <c r="H651" s="20"/>
      <c r="I651" s="8"/>
    </row>
    <row r="652" spans="4:9">
      <c r="D652" s="2"/>
      <c r="F652" s="19"/>
      <c r="G652" s="19"/>
      <c r="H652" s="20"/>
      <c r="I652" s="8"/>
    </row>
    <row r="653" spans="4:9">
      <c r="D653" s="2"/>
      <c r="F653" s="19"/>
      <c r="G653" s="19"/>
      <c r="H653" s="20"/>
      <c r="I653" s="8"/>
    </row>
    <row r="654" spans="4:9">
      <c r="D654" s="2"/>
      <c r="F654" s="19"/>
      <c r="G654" s="19"/>
      <c r="H654" s="20"/>
      <c r="I654" s="8"/>
    </row>
    <row r="655" spans="4:9">
      <c r="D655" s="2"/>
      <c r="F655" s="19"/>
      <c r="G655" s="19"/>
      <c r="H655" s="20"/>
      <c r="I655" s="8"/>
    </row>
    <row r="656" spans="4:9">
      <c r="D656" s="2"/>
      <c r="F656" s="19"/>
      <c r="G656" s="19"/>
      <c r="H656" s="20"/>
      <c r="I656" s="8"/>
    </row>
    <row r="657" spans="4:9">
      <c r="D657" s="2"/>
      <c r="F657" s="19"/>
      <c r="G657" s="19"/>
      <c r="H657" s="20"/>
      <c r="I657" s="8"/>
    </row>
    <row r="658" spans="4:9">
      <c r="D658" s="2"/>
      <c r="F658" s="19"/>
      <c r="G658" s="19"/>
      <c r="H658" s="20"/>
      <c r="I658" s="8"/>
    </row>
    <row r="659" spans="4:9">
      <c r="D659" s="2"/>
      <c r="F659" s="19"/>
      <c r="G659" s="19"/>
      <c r="H659" s="20"/>
      <c r="I659" s="8"/>
    </row>
    <row r="660" spans="4:9">
      <c r="D660" s="2"/>
      <c r="F660" s="19"/>
      <c r="G660" s="19"/>
      <c r="H660" s="20"/>
      <c r="I660" s="8"/>
    </row>
    <row r="661" spans="4:9">
      <c r="D661" s="2"/>
      <c r="F661" s="19"/>
      <c r="G661" s="19"/>
      <c r="H661" s="20"/>
      <c r="I661" s="8"/>
    </row>
    <row r="662" spans="4:9">
      <c r="D662" s="2"/>
      <c r="F662" s="19"/>
      <c r="G662" s="19"/>
      <c r="H662" s="20"/>
      <c r="I662" s="8"/>
    </row>
    <row r="663" spans="4:9">
      <c r="D663" s="2"/>
      <c r="F663" s="19"/>
      <c r="G663" s="19"/>
      <c r="H663" s="20"/>
      <c r="I663" s="8"/>
    </row>
    <row r="664" spans="4:9">
      <c r="D664" s="2"/>
      <c r="F664" s="19"/>
      <c r="G664" s="19"/>
      <c r="H664" s="20"/>
      <c r="I664" s="8"/>
    </row>
    <row r="665" spans="4:9">
      <c r="D665" s="2"/>
      <c r="F665" s="19"/>
      <c r="G665" s="19"/>
      <c r="H665" s="20"/>
      <c r="I665" s="8"/>
    </row>
    <row r="666" spans="4:9">
      <c r="D666" s="2"/>
      <c r="F666" s="19"/>
      <c r="G666" s="19"/>
      <c r="H666" s="20"/>
      <c r="I666" s="8"/>
    </row>
    <row r="667" spans="4:9">
      <c r="D667" s="2"/>
      <c r="F667" s="19"/>
      <c r="G667" s="19"/>
      <c r="H667" s="20"/>
      <c r="I667" s="8"/>
    </row>
    <row r="668" spans="4:9">
      <c r="D668" s="2"/>
      <c r="F668" s="19"/>
      <c r="G668" s="19"/>
      <c r="H668" s="20"/>
      <c r="I668" s="8"/>
    </row>
    <row r="669" spans="4:9">
      <c r="D669" s="2"/>
      <c r="F669" s="19"/>
      <c r="G669" s="19"/>
      <c r="H669" s="20"/>
      <c r="I669" s="8"/>
    </row>
    <row r="670" spans="4:9">
      <c r="D670" s="2"/>
      <c r="F670" s="19"/>
      <c r="G670" s="19"/>
      <c r="H670" s="20"/>
      <c r="I670" s="8"/>
    </row>
    <row r="671" spans="4:9">
      <c r="D671" s="2"/>
      <c r="F671" s="19"/>
      <c r="G671" s="19"/>
      <c r="H671" s="20"/>
      <c r="I671" s="8"/>
    </row>
    <row r="672" spans="4:9">
      <c r="D672" s="2"/>
      <c r="F672" s="19"/>
      <c r="G672" s="19"/>
      <c r="H672" s="20"/>
      <c r="I672" s="8"/>
    </row>
    <row r="673" spans="4:9">
      <c r="D673" s="2"/>
      <c r="F673" s="19"/>
      <c r="G673" s="19"/>
      <c r="H673" s="20"/>
      <c r="I673" s="8"/>
    </row>
    <row r="674" spans="4:9">
      <c r="D674" s="2"/>
      <c r="F674" s="19"/>
      <c r="G674" s="19"/>
      <c r="H674" s="20"/>
      <c r="I674" s="8"/>
    </row>
    <row r="675" spans="4:9">
      <c r="D675" s="2"/>
      <c r="F675" s="19"/>
      <c r="G675" s="19"/>
      <c r="H675" s="20"/>
      <c r="I675" s="8"/>
    </row>
    <row r="676" spans="4:9">
      <c r="D676" s="2"/>
      <c r="F676" s="19"/>
      <c r="G676" s="19"/>
      <c r="H676" s="20"/>
      <c r="I676" s="8"/>
    </row>
    <row r="677" spans="4:9">
      <c r="D677" s="2"/>
      <c r="F677" s="19"/>
      <c r="G677" s="19"/>
      <c r="H677" s="20"/>
      <c r="I677" s="8"/>
    </row>
    <row r="678" spans="4:9">
      <c r="D678" s="2"/>
      <c r="F678" s="19"/>
      <c r="G678" s="19"/>
      <c r="H678" s="20"/>
      <c r="I678" s="8"/>
    </row>
    <row r="679" spans="4:9">
      <c r="D679" s="2"/>
      <c r="F679" s="19"/>
      <c r="G679" s="19"/>
      <c r="H679" s="20"/>
      <c r="I679" s="8"/>
    </row>
    <row r="680" spans="4:9">
      <c r="D680" s="2"/>
      <c r="F680" s="19"/>
      <c r="G680" s="19"/>
      <c r="H680" s="20"/>
      <c r="I680" s="8"/>
    </row>
    <row r="681" spans="4:9">
      <c r="D681" s="2"/>
      <c r="F681" s="19"/>
      <c r="G681" s="19"/>
      <c r="H681" s="20"/>
      <c r="I681" s="8"/>
    </row>
    <row r="682" spans="4:9">
      <c r="D682" s="2"/>
      <c r="F682" s="19"/>
      <c r="G682" s="19"/>
      <c r="H682" s="20"/>
      <c r="I682" s="8"/>
    </row>
    <row r="683" spans="4:9">
      <c r="D683" s="2"/>
      <c r="F683" s="19"/>
      <c r="G683" s="19"/>
      <c r="H683" s="20"/>
      <c r="I683" s="8"/>
    </row>
    <row r="684" spans="4:9">
      <c r="D684" s="2"/>
      <c r="F684" s="19"/>
      <c r="G684" s="19"/>
      <c r="H684" s="20"/>
      <c r="I684" s="8"/>
    </row>
    <row r="685" spans="4:9">
      <c r="D685" s="2"/>
      <c r="F685" s="19"/>
      <c r="G685" s="19"/>
      <c r="H685" s="20"/>
      <c r="I685" s="8"/>
    </row>
    <row r="686" spans="4:9">
      <c r="D686" s="2"/>
      <c r="F686" s="19"/>
      <c r="G686" s="19"/>
      <c r="H686" s="20"/>
      <c r="I686" s="8"/>
    </row>
    <row r="687" spans="4:9">
      <c r="D687" s="2"/>
      <c r="F687" s="19"/>
      <c r="G687" s="19"/>
      <c r="H687" s="20"/>
      <c r="I687" s="8"/>
    </row>
    <row r="688" spans="4:9">
      <c r="D688" s="2"/>
      <c r="F688" s="19"/>
      <c r="G688" s="19"/>
      <c r="H688" s="20"/>
      <c r="I688" s="8"/>
    </row>
    <row r="689" spans="4:9">
      <c r="D689" s="2"/>
      <c r="F689" s="19"/>
      <c r="G689" s="19"/>
      <c r="H689" s="20"/>
      <c r="I689" s="8"/>
    </row>
    <row r="690" spans="4:9">
      <c r="D690" s="2"/>
      <c r="F690" s="19"/>
      <c r="G690" s="19"/>
      <c r="H690" s="20"/>
      <c r="I690" s="8"/>
    </row>
    <row r="691" spans="4:9">
      <c r="D691" s="2"/>
      <c r="F691" s="19"/>
      <c r="G691" s="19"/>
      <c r="H691" s="20"/>
      <c r="I691" s="8"/>
    </row>
    <row r="692" spans="4:9">
      <c r="D692" s="2"/>
      <c r="F692" s="19"/>
      <c r="G692" s="19"/>
      <c r="H692" s="20"/>
      <c r="I692" s="8"/>
    </row>
    <row r="693" spans="4:9">
      <c r="D693" s="2"/>
      <c r="F693" s="19"/>
      <c r="G693" s="19"/>
      <c r="H693" s="20"/>
      <c r="I693" s="8"/>
    </row>
    <row r="694" spans="4:9">
      <c r="D694" s="2"/>
      <c r="F694" s="19"/>
      <c r="G694" s="19"/>
      <c r="H694" s="20"/>
      <c r="I694" s="8"/>
    </row>
    <row r="695" spans="4:9">
      <c r="D695" s="2"/>
      <c r="F695" s="19"/>
      <c r="G695" s="19"/>
      <c r="H695" s="20"/>
      <c r="I695" s="8"/>
    </row>
    <row r="696" spans="4:9">
      <c r="D696" s="2"/>
      <c r="F696" s="19"/>
      <c r="G696" s="19"/>
      <c r="H696" s="20"/>
      <c r="I696" s="8"/>
    </row>
    <row r="697" spans="4:9">
      <c r="D697" s="2"/>
      <c r="F697" s="19"/>
      <c r="G697" s="19"/>
      <c r="H697" s="20"/>
      <c r="I697" s="8"/>
    </row>
    <row r="698" spans="4:9">
      <c r="D698" s="2"/>
      <c r="F698" s="19"/>
      <c r="G698" s="19"/>
      <c r="H698" s="20"/>
      <c r="I698" s="8"/>
    </row>
    <row r="699" spans="4:9">
      <c r="D699" s="2"/>
      <c r="F699" s="19"/>
      <c r="G699" s="19"/>
      <c r="H699" s="20"/>
      <c r="I699" s="8"/>
    </row>
    <row r="700" spans="4:9">
      <c r="D700" s="2"/>
      <c r="F700" s="19"/>
      <c r="G700" s="19"/>
      <c r="H700" s="20"/>
      <c r="I700" s="8"/>
    </row>
    <row r="701" spans="4:9">
      <c r="D701" s="2"/>
      <c r="F701" s="19"/>
      <c r="G701" s="19"/>
      <c r="H701" s="20"/>
      <c r="I701" s="8"/>
    </row>
    <row r="702" spans="4:9">
      <c r="D702" s="2"/>
      <c r="F702" s="19"/>
      <c r="G702" s="19"/>
      <c r="H702" s="20"/>
      <c r="I702" s="8"/>
    </row>
    <row r="703" spans="4:9">
      <c r="D703" s="2"/>
      <c r="F703" s="19"/>
      <c r="G703" s="19"/>
      <c r="H703" s="20"/>
      <c r="I703" s="8"/>
    </row>
    <row r="704" spans="4:9">
      <c r="D704" s="2"/>
      <c r="F704" s="19"/>
      <c r="G704" s="19"/>
      <c r="H704" s="20"/>
      <c r="I704" s="8"/>
    </row>
    <row r="705" spans="4:9">
      <c r="D705" s="2"/>
      <c r="F705" s="19"/>
      <c r="G705" s="19"/>
      <c r="H705" s="20"/>
      <c r="I705" s="8"/>
    </row>
    <row r="706" spans="4:9">
      <c r="D706" s="2"/>
      <c r="F706" s="19"/>
      <c r="G706" s="19"/>
      <c r="H706" s="20"/>
      <c r="I706" s="8"/>
    </row>
    <row r="707" spans="4:9">
      <c r="D707" s="2"/>
      <c r="F707" s="19"/>
      <c r="G707" s="19"/>
      <c r="H707" s="20"/>
      <c r="I707" s="8"/>
    </row>
    <row r="708" spans="4:9">
      <c r="D708" s="2"/>
      <c r="F708" s="19"/>
      <c r="G708" s="19"/>
      <c r="H708" s="20"/>
      <c r="I708" s="8"/>
    </row>
    <row r="709" spans="4:9">
      <c r="D709" s="2"/>
      <c r="F709" s="19"/>
      <c r="G709" s="19"/>
      <c r="H709" s="20"/>
      <c r="I709" s="8"/>
    </row>
    <row r="710" spans="4:9">
      <c r="D710" s="2"/>
      <c r="F710" s="19"/>
      <c r="G710" s="19"/>
      <c r="H710" s="20"/>
      <c r="I710" s="8"/>
    </row>
    <row r="711" spans="4:9">
      <c r="D711" s="2"/>
      <c r="F711" s="19"/>
      <c r="G711" s="19"/>
      <c r="H711" s="20"/>
      <c r="I711" s="8"/>
    </row>
    <row r="712" spans="4:9">
      <c r="D712" s="2"/>
      <c r="F712" s="19"/>
      <c r="G712" s="19"/>
      <c r="H712" s="20"/>
      <c r="I712" s="8"/>
    </row>
    <row r="713" spans="4:9">
      <c r="D713" s="2"/>
      <c r="F713" s="19"/>
      <c r="G713" s="19"/>
      <c r="H713" s="20"/>
      <c r="I713" s="8"/>
    </row>
    <row r="714" spans="4:9">
      <c r="D714" s="2"/>
      <c r="F714" s="19"/>
      <c r="G714" s="19"/>
      <c r="H714" s="20"/>
      <c r="I714" s="8"/>
    </row>
    <row r="715" spans="4:9">
      <c r="D715" s="2"/>
      <c r="F715" s="19"/>
      <c r="G715" s="19"/>
      <c r="H715" s="20"/>
      <c r="I715" s="8"/>
    </row>
    <row r="716" spans="4:9">
      <c r="D716" s="2"/>
      <c r="F716" s="19"/>
      <c r="G716" s="19"/>
      <c r="H716" s="20"/>
      <c r="I716" s="8"/>
    </row>
    <row r="717" spans="4:9">
      <c r="D717" s="2"/>
      <c r="F717" s="19"/>
      <c r="G717" s="19"/>
      <c r="H717" s="20"/>
      <c r="I717" s="8"/>
    </row>
    <row r="718" spans="4:9">
      <c r="D718" s="2"/>
      <c r="F718" s="19"/>
      <c r="G718" s="19"/>
      <c r="H718" s="20"/>
      <c r="I718" s="8"/>
    </row>
    <row r="719" spans="4:9">
      <c r="D719" s="2"/>
      <c r="F719" s="19"/>
      <c r="G719" s="19"/>
      <c r="H719" s="20"/>
      <c r="I719" s="8"/>
    </row>
    <row r="720" spans="4:9">
      <c r="D720" s="2"/>
      <c r="F720" s="19"/>
      <c r="G720" s="19"/>
      <c r="H720" s="20"/>
      <c r="I720" s="8"/>
    </row>
    <row r="721" spans="4:9">
      <c r="D721" s="2"/>
      <c r="F721" s="19"/>
      <c r="G721" s="19"/>
      <c r="H721" s="20"/>
      <c r="I721" s="8"/>
    </row>
    <row r="722" spans="4:9">
      <c r="D722" s="2"/>
      <c r="F722" s="19"/>
      <c r="G722" s="19"/>
      <c r="H722" s="20"/>
      <c r="I722" s="8"/>
    </row>
    <row r="723" spans="4:9">
      <c r="D723" s="2"/>
      <c r="F723" s="19"/>
      <c r="G723" s="19"/>
      <c r="H723" s="20"/>
      <c r="I723" s="8"/>
    </row>
    <row r="724" spans="4:9">
      <c r="D724" s="2"/>
      <c r="F724" s="19"/>
      <c r="G724" s="19"/>
      <c r="H724" s="20"/>
      <c r="I724" s="8"/>
    </row>
    <row r="725" spans="4:9">
      <c r="D725" s="2"/>
      <c r="F725" s="19"/>
      <c r="G725" s="19"/>
      <c r="H725" s="20"/>
      <c r="I725" s="8"/>
    </row>
    <row r="726" spans="4:9">
      <c r="D726" s="2"/>
      <c r="F726" s="19"/>
      <c r="G726" s="19"/>
      <c r="H726" s="20"/>
      <c r="I726" s="8"/>
    </row>
    <row r="727" spans="4:9">
      <c r="D727" s="2"/>
      <c r="F727" s="19"/>
      <c r="G727" s="19"/>
      <c r="H727" s="20"/>
      <c r="I727" s="8"/>
    </row>
    <row r="728" spans="4:9">
      <c r="D728" s="2"/>
      <c r="F728" s="19"/>
      <c r="G728" s="19"/>
      <c r="H728" s="20"/>
      <c r="I728" s="8"/>
    </row>
    <row r="729" spans="4:9">
      <c r="D729" s="2"/>
      <c r="F729" s="19"/>
      <c r="G729" s="19"/>
      <c r="H729" s="20"/>
      <c r="I729" s="8"/>
    </row>
    <row r="730" spans="4:9">
      <c r="D730" s="2"/>
      <c r="F730" s="19"/>
      <c r="G730" s="19"/>
      <c r="H730" s="20"/>
      <c r="I730" s="8"/>
    </row>
    <row r="731" spans="4:9">
      <c r="D731" s="2"/>
      <c r="F731" s="19"/>
      <c r="G731" s="19"/>
      <c r="H731" s="20"/>
      <c r="I731" s="8"/>
    </row>
    <row r="732" spans="4:9">
      <c r="D732" s="2"/>
      <c r="F732" s="19"/>
      <c r="G732" s="19"/>
      <c r="H732" s="20"/>
      <c r="I732" s="8"/>
    </row>
    <row r="733" spans="4:9">
      <c r="D733" s="2"/>
      <c r="F733" s="19"/>
      <c r="G733" s="19"/>
      <c r="H733" s="20"/>
      <c r="I733" s="8"/>
    </row>
    <row r="734" spans="4:9">
      <c r="D734" s="2"/>
      <c r="F734" s="19"/>
      <c r="G734" s="19"/>
      <c r="H734" s="20"/>
      <c r="I734" s="8"/>
    </row>
    <row r="735" spans="4:9">
      <c r="D735" s="2"/>
      <c r="F735" s="19"/>
      <c r="G735" s="19"/>
      <c r="H735" s="20"/>
      <c r="I735" s="8"/>
    </row>
    <row r="736" spans="4:9">
      <c r="D736" s="2"/>
      <c r="F736" s="19"/>
      <c r="G736" s="19"/>
      <c r="H736" s="20"/>
      <c r="I736" s="8"/>
    </row>
    <row r="737" spans="4:9">
      <c r="D737" s="2"/>
      <c r="F737" s="19"/>
      <c r="G737" s="19"/>
      <c r="H737" s="20"/>
      <c r="I737" s="8"/>
    </row>
    <row r="738" spans="4:9">
      <c r="D738" s="2"/>
      <c r="F738" s="19"/>
      <c r="G738" s="19"/>
      <c r="H738" s="20"/>
      <c r="I738" s="8"/>
    </row>
    <row r="739" spans="4:9">
      <c r="D739" s="2"/>
      <c r="F739" s="19"/>
      <c r="G739" s="19"/>
      <c r="H739" s="20"/>
      <c r="I739" s="8"/>
    </row>
    <row r="740" spans="4:9">
      <c r="D740" s="2"/>
      <c r="F740" s="19"/>
      <c r="G740" s="19"/>
      <c r="H740" s="20"/>
      <c r="I740" s="8"/>
    </row>
    <row r="741" spans="4:9">
      <c r="D741" s="2"/>
      <c r="F741" s="19"/>
      <c r="G741" s="19"/>
      <c r="H741" s="20"/>
      <c r="I741" s="8"/>
    </row>
    <row r="742" spans="4:9">
      <c r="D742" s="2"/>
      <c r="F742" s="19"/>
      <c r="G742" s="19"/>
      <c r="H742" s="20"/>
      <c r="I742" s="8"/>
    </row>
    <row r="743" spans="4:9">
      <c r="D743" s="2"/>
      <c r="F743" s="19"/>
      <c r="G743" s="19"/>
      <c r="H743" s="20"/>
      <c r="I743" s="8"/>
    </row>
    <row r="744" spans="4:9">
      <c r="D744" s="2"/>
      <c r="F744" s="19"/>
      <c r="G744" s="19"/>
      <c r="H744" s="20"/>
      <c r="I744" s="8"/>
    </row>
    <row r="745" spans="4:9">
      <c r="D745" s="2"/>
      <c r="F745" s="19"/>
      <c r="G745" s="19"/>
      <c r="H745" s="20"/>
      <c r="I745" s="8"/>
    </row>
    <row r="746" spans="4:9">
      <c r="D746" s="2"/>
      <c r="F746" s="19"/>
      <c r="G746" s="19"/>
      <c r="H746" s="20"/>
      <c r="I746" s="8"/>
    </row>
    <row r="747" spans="4:9">
      <c r="D747" s="2"/>
      <c r="F747" s="19"/>
      <c r="G747" s="19"/>
      <c r="H747" s="20"/>
      <c r="I747" s="8"/>
    </row>
    <row r="748" spans="4:9">
      <c r="D748" s="2"/>
      <c r="F748" s="19"/>
      <c r="G748" s="19"/>
      <c r="H748" s="20"/>
      <c r="I748" s="8"/>
    </row>
    <row r="749" spans="4:9">
      <c r="D749" s="2"/>
      <c r="F749" s="19"/>
      <c r="G749" s="19"/>
      <c r="H749" s="20"/>
      <c r="I749" s="8"/>
    </row>
    <row r="750" spans="4:9">
      <c r="D750" s="2"/>
      <c r="F750" s="19"/>
      <c r="G750" s="19"/>
      <c r="H750" s="20"/>
      <c r="I750" s="8"/>
    </row>
    <row r="751" spans="4:9">
      <c r="D751" s="2"/>
      <c r="F751" s="19"/>
      <c r="G751" s="19"/>
      <c r="H751" s="20"/>
      <c r="I751" s="8"/>
    </row>
    <row r="752" spans="4:9">
      <c r="D752" s="2"/>
      <c r="F752" s="19"/>
      <c r="G752" s="19"/>
      <c r="H752" s="20"/>
      <c r="I752" s="8"/>
    </row>
    <row r="753" spans="4:9">
      <c r="D753" s="2"/>
      <c r="F753" s="19"/>
      <c r="G753" s="19"/>
      <c r="H753" s="20"/>
      <c r="I753" s="8"/>
    </row>
    <row r="754" spans="4:9">
      <c r="D754" s="2"/>
      <c r="F754" s="19"/>
      <c r="G754" s="19"/>
      <c r="H754" s="20"/>
      <c r="I754" s="8"/>
    </row>
    <row r="755" spans="4:9">
      <c r="D755" s="2"/>
      <c r="F755" s="19"/>
      <c r="G755" s="19"/>
      <c r="H755" s="20"/>
      <c r="I755" s="8"/>
    </row>
    <row r="756" spans="4:9">
      <c r="D756" s="2"/>
      <c r="F756" s="19"/>
      <c r="G756" s="19"/>
      <c r="H756" s="20"/>
      <c r="I756" s="8"/>
    </row>
    <row r="757" spans="4:9">
      <c r="D757" s="2"/>
      <c r="F757" s="19"/>
      <c r="G757" s="19"/>
      <c r="H757" s="20"/>
      <c r="I757" s="8"/>
    </row>
    <row r="758" spans="4:9">
      <c r="D758" s="2"/>
      <c r="F758" s="19"/>
      <c r="G758" s="19"/>
      <c r="H758" s="20"/>
      <c r="I758" s="8"/>
    </row>
    <row r="759" spans="4:9">
      <c r="D759" s="2"/>
      <c r="F759" s="19"/>
      <c r="G759" s="19"/>
      <c r="H759" s="20"/>
      <c r="I759" s="8"/>
    </row>
    <row r="760" spans="4:9">
      <c r="D760" s="2"/>
      <c r="F760" s="19"/>
      <c r="G760" s="19"/>
      <c r="H760" s="20"/>
      <c r="I760" s="8"/>
    </row>
    <row r="761" spans="4:9">
      <c r="D761" s="2"/>
      <c r="F761" s="19"/>
      <c r="G761" s="19"/>
      <c r="H761" s="20"/>
      <c r="I761" s="8"/>
    </row>
    <row r="762" spans="4:9">
      <c r="D762" s="2"/>
      <c r="F762" s="19"/>
      <c r="G762" s="19"/>
      <c r="H762" s="20"/>
      <c r="I762" s="8"/>
    </row>
    <row r="763" spans="4:9">
      <c r="D763" s="2"/>
      <c r="F763" s="19"/>
      <c r="G763" s="19"/>
      <c r="H763" s="20"/>
      <c r="I763" s="8"/>
    </row>
    <row r="764" spans="4:9">
      <c r="D764" s="2"/>
      <c r="F764" s="19"/>
      <c r="G764" s="19"/>
      <c r="H764" s="20"/>
      <c r="I764" s="8"/>
    </row>
    <row r="765" spans="4:9">
      <c r="D765" s="2"/>
      <c r="F765" s="19"/>
      <c r="G765" s="19"/>
      <c r="H765" s="20"/>
      <c r="I765" s="8"/>
    </row>
    <row r="766" spans="4:9">
      <c r="D766" s="2"/>
      <c r="F766" s="19"/>
      <c r="G766" s="19"/>
      <c r="H766" s="20"/>
      <c r="I766" s="8"/>
    </row>
    <row r="767" spans="4:9">
      <c r="D767" s="2"/>
      <c r="F767" s="19"/>
      <c r="G767" s="19"/>
      <c r="H767" s="20"/>
      <c r="I767" s="8"/>
    </row>
    <row r="768" spans="4:9">
      <c r="D768" s="2"/>
      <c r="F768" s="19"/>
      <c r="G768" s="19"/>
      <c r="H768" s="20"/>
      <c r="I768" s="8"/>
    </row>
    <row r="769" spans="4:9">
      <c r="D769" s="2"/>
      <c r="F769" s="19"/>
      <c r="G769" s="19"/>
      <c r="H769" s="20"/>
      <c r="I769" s="8"/>
    </row>
    <row r="770" spans="4:9">
      <c r="D770" s="2"/>
      <c r="F770" s="19"/>
      <c r="G770" s="19"/>
      <c r="H770" s="20"/>
      <c r="I770" s="8"/>
    </row>
    <row r="771" spans="4:9">
      <c r="D771" s="2"/>
      <c r="F771" s="19"/>
      <c r="G771" s="19"/>
      <c r="H771" s="20"/>
      <c r="I771" s="8"/>
    </row>
    <row r="772" spans="4:9">
      <c r="D772" s="2"/>
      <c r="F772" s="19"/>
      <c r="G772" s="19"/>
      <c r="H772" s="20"/>
      <c r="I772" s="8"/>
    </row>
    <row r="773" spans="4:9">
      <c r="D773" s="2"/>
      <c r="F773" s="19"/>
      <c r="G773" s="19"/>
      <c r="H773" s="20"/>
      <c r="I773" s="8"/>
    </row>
    <row r="774" spans="4:9">
      <c r="D774" s="2"/>
      <c r="F774" s="19"/>
      <c r="G774" s="19"/>
      <c r="H774" s="20"/>
      <c r="I774" s="8"/>
    </row>
    <row r="775" spans="4:9">
      <c r="D775" s="2"/>
      <c r="F775" s="19"/>
      <c r="G775" s="19"/>
      <c r="H775" s="20"/>
      <c r="I775" s="8"/>
    </row>
    <row r="776" spans="4:9">
      <c r="D776" s="2"/>
      <c r="F776" s="19"/>
      <c r="G776" s="19"/>
      <c r="H776" s="20"/>
      <c r="I776" s="8"/>
    </row>
    <row r="777" spans="4:9">
      <c r="D777" s="2"/>
      <c r="F777" s="19"/>
      <c r="G777" s="19"/>
      <c r="H777" s="20"/>
      <c r="I777" s="8"/>
    </row>
    <row r="778" spans="4:9">
      <c r="D778" s="2"/>
      <c r="F778" s="19"/>
      <c r="G778" s="19"/>
      <c r="H778" s="20"/>
      <c r="I778" s="8"/>
    </row>
    <row r="779" spans="4:9">
      <c r="D779" s="2"/>
      <c r="F779" s="19"/>
      <c r="G779" s="19"/>
      <c r="H779" s="20"/>
      <c r="I779" s="8"/>
    </row>
    <row r="780" spans="4:9">
      <c r="D780" s="2"/>
      <c r="F780" s="19"/>
      <c r="G780" s="19"/>
      <c r="H780" s="20"/>
      <c r="I780" s="8"/>
    </row>
    <row r="781" spans="4:9">
      <c r="D781" s="2"/>
      <c r="F781" s="19"/>
      <c r="G781" s="19"/>
      <c r="H781" s="20"/>
      <c r="I781" s="8"/>
    </row>
    <row r="782" spans="4:9">
      <c r="D782" s="2"/>
      <c r="F782" s="19"/>
      <c r="G782" s="19"/>
      <c r="H782" s="20"/>
      <c r="I782" s="8"/>
    </row>
    <row r="783" spans="4:9">
      <c r="D783" s="2"/>
      <c r="F783" s="19"/>
      <c r="G783" s="19"/>
      <c r="H783" s="20"/>
      <c r="I783" s="8"/>
    </row>
    <row r="784" spans="4:9">
      <c r="D784" s="2"/>
      <c r="F784" s="19"/>
      <c r="G784" s="19"/>
      <c r="H784" s="20"/>
      <c r="I784" s="8"/>
    </row>
    <row r="785" spans="4:9">
      <c r="D785" s="2"/>
      <c r="F785" s="19"/>
      <c r="G785" s="19"/>
      <c r="H785" s="20"/>
      <c r="I785" s="8"/>
    </row>
    <row r="786" spans="4:9">
      <c r="D786" s="2"/>
      <c r="F786" s="19"/>
      <c r="G786" s="19"/>
      <c r="H786" s="20"/>
      <c r="I786" s="8"/>
    </row>
    <row r="787" spans="4:9">
      <c r="D787" s="2"/>
      <c r="F787" s="19"/>
      <c r="G787" s="19"/>
      <c r="H787" s="20"/>
      <c r="I787" s="8"/>
    </row>
    <row r="788" spans="4:9">
      <c r="D788" s="2"/>
      <c r="F788" s="19"/>
      <c r="G788" s="19"/>
      <c r="H788" s="20"/>
      <c r="I788" s="8"/>
    </row>
    <row r="789" spans="4:9">
      <c r="D789" s="2"/>
      <c r="F789" s="19"/>
      <c r="G789" s="19"/>
      <c r="H789" s="20"/>
      <c r="I789" s="8"/>
    </row>
    <row r="790" spans="4:9">
      <c r="D790" s="2"/>
      <c r="F790" s="19"/>
      <c r="G790" s="19"/>
      <c r="H790" s="20"/>
      <c r="I790" s="8"/>
    </row>
    <row r="791" spans="4:9">
      <c r="D791" s="2"/>
      <c r="F791" s="19"/>
      <c r="G791" s="19"/>
      <c r="H791" s="20"/>
      <c r="I791" s="8"/>
    </row>
    <row r="792" spans="4:9">
      <c r="D792" s="2"/>
      <c r="F792" s="19"/>
      <c r="G792" s="19"/>
      <c r="H792" s="20"/>
      <c r="I792" s="8"/>
    </row>
    <row r="793" spans="4:9">
      <c r="D793" s="2"/>
      <c r="F793" s="19"/>
      <c r="G793" s="19"/>
      <c r="H793" s="20"/>
      <c r="I793" s="8"/>
    </row>
    <row r="794" spans="4:9">
      <c r="D794" s="2"/>
      <c r="F794" s="19"/>
      <c r="G794" s="19"/>
      <c r="H794" s="20"/>
      <c r="I794" s="8"/>
    </row>
    <row r="795" spans="4:9">
      <c r="D795" s="2"/>
      <c r="F795" s="19"/>
      <c r="G795" s="19"/>
      <c r="H795" s="20"/>
      <c r="I795" s="8"/>
    </row>
    <row r="796" spans="4:9">
      <c r="D796" s="2"/>
      <c r="F796" s="19"/>
      <c r="G796" s="19"/>
      <c r="H796" s="20"/>
      <c r="I796" s="8"/>
    </row>
    <row r="797" spans="4:9">
      <c r="D797" s="2"/>
      <c r="F797" s="19"/>
      <c r="G797" s="19"/>
      <c r="H797" s="20"/>
      <c r="I797" s="8"/>
    </row>
    <row r="798" spans="4:9">
      <c r="D798" s="2"/>
      <c r="F798" s="19"/>
      <c r="G798" s="19"/>
      <c r="H798" s="20"/>
      <c r="I798" s="8"/>
    </row>
    <row r="799" spans="4:9">
      <c r="D799" s="2"/>
      <c r="F799" s="19"/>
      <c r="G799" s="19"/>
      <c r="H799" s="20"/>
      <c r="I799" s="8"/>
    </row>
    <row r="800" spans="4:9">
      <c r="D800" s="2"/>
      <c r="F800" s="19"/>
      <c r="G800" s="19"/>
      <c r="H800" s="20"/>
      <c r="I800" s="8"/>
    </row>
    <row r="801" spans="4:9">
      <c r="D801" s="2"/>
      <c r="F801" s="19"/>
      <c r="G801" s="19"/>
      <c r="H801" s="20"/>
      <c r="I801" s="8"/>
    </row>
    <row r="802" spans="4:9">
      <c r="D802" s="2"/>
      <c r="F802" s="19"/>
      <c r="G802" s="19"/>
      <c r="H802" s="20"/>
      <c r="I802" s="8"/>
    </row>
    <row r="803" spans="4:9">
      <c r="D803" s="2"/>
      <c r="F803" s="19"/>
      <c r="G803" s="19"/>
      <c r="H803" s="20"/>
      <c r="I803" s="8"/>
    </row>
    <row r="804" spans="4:9">
      <c r="D804" s="2"/>
      <c r="F804" s="19"/>
      <c r="G804" s="19"/>
      <c r="H804" s="20"/>
      <c r="I804" s="8"/>
    </row>
    <row r="805" spans="4:9">
      <c r="D805" s="2"/>
      <c r="F805" s="19"/>
      <c r="G805" s="19"/>
      <c r="H805" s="20"/>
      <c r="I805" s="8"/>
    </row>
    <row r="806" spans="4:9">
      <c r="D806" s="2"/>
      <c r="F806" s="19"/>
      <c r="G806" s="19"/>
      <c r="H806" s="20"/>
      <c r="I806" s="8"/>
    </row>
    <row r="807" spans="4:9">
      <c r="D807" s="2"/>
      <c r="F807" s="19"/>
      <c r="G807" s="19"/>
      <c r="H807" s="20"/>
      <c r="I807" s="8"/>
    </row>
    <row r="808" spans="4:9">
      <c r="D808" s="2"/>
      <c r="F808" s="19"/>
      <c r="G808" s="19"/>
      <c r="H808" s="20"/>
      <c r="I808" s="8"/>
    </row>
    <row r="809" spans="4:9">
      <c r="D809" s="2"/>
      <c r="F809" s="19"/>
      <c r="G809" s="19"/>
      <c r="H809" s="20"/>
      <c r="I809" s="8"/>
    </row>
    <row r="810" spans="4:9">
      <c r="D810" s="2"/>
      <c r="F810" s="19"/>
      <c r="G810" s="19"/>
      <c r="H810" s="20"/>
      <c r="I810" s="8"/>
    </row>
    <row r="811" spans="4:9">
      <c r="D811" s="2"/>
      <c r="F811" s="19"/>
      <c r="G811" s="19"/>
      <c r="H811" s="20"/>
      <c r="I811" s="8"/>
    </row>
    <row r="812" spans="4:9">
      <c r="D812" s="2"/>
      <c r="F812" s="19"/>
      <c r="G812" s="19"/>
      <c r="H812" s="20"/>
      <c r="I812" s="8"/>
    </row>
    <row r="813" spans="4:9">
      <c r="D813" s="2"/>
      <c r="F813" s="19"/>
      <c r="G813" s="19"/>
      <c r="H813" s="20"/>
      <c r="I813" s="8"/>
    </row>
    <row r="814" spans="4:9">
      <c r="D814" s="2"/>
      <c r="F814" s="19"/>
      <c r="G814" s="19"/>
      <c r="H814" s="20"/>
      <c r="I814" s="8"/>
    </row>
    <row r="815" spans="4:9">
      <c r="D815" s="2"/>
      <c r="F815" s="19"/>
      <c r="G815" s="19"/>
      <c r="H815" s="20"/>
      <c r="I815" s="8"/>
    </row>
    <row r="816" spans="4:9">
      <c r="D816" s="2"/>
      <c r="F816" s="19"/>
      <c r="G816" s="19"/>
      <c r="H816" s="20"/>
      <c r="I816" s="8"/>
    </row>
    <row r="817" spans="4:9">
      <c r="D817" s="2"/>
      <c r="F817" s="19"/>
      <c r="G817" s="19"/>
      <c r="H817" s="20"/>
      <c r="I817" s="8"/>
    </row>
    <row r="818" spans="4:9">
      <c r="D818" s="2"/>
      <c r="F818" s="19"/>
      <c r="G818" s="19"/>
      <c r="H818" s="20"/>
      <c r="I818" s="8"/>
    </row>
    <row r="819" spans="4:9">
      <c r="D819" s="2"/>
      <c r="F819" s="19"/>
      <c r="G819" s="19"/>
      <c r="H819" s="20"/>
      <c r="I819" s="8"/>
    </row>
    <row r="820" spans="4:9">
      <c r="D820" s="2"/>
      <c r="F820" s="19"/>
      <c r="G820" s="19"/>
      <c r="H820" s="20"/>
      <c r="I820" s="8"/>
    </row>
    <row r="821" spans="4:9">
      <c r="D821" s="2"/>
      <c r="F821" s="19"/>
      <c r="G821" s="19"/>
      <c r="H821" s="20"/>
      <c r="I821" s="8"/>
    </row>
    <row r="822" spans="4:9">
      <c r="D822" s="2"/>
      <c r="F822" s="19"/>
      <c r="G822" s="19"/>
      <c r="H822" s="20"/>
      <c r="I822" s="8"/>
    </row>
    <row r="823" spans="4:9">
      <c r="D823" s="2"/>
      <c r="F823" s="19"/>
      <c r="G823" s="19"/>
      <c r="H823" s="20"/>
      <c r="I823" s="8"/>
    </row>
    <row r="824" spans="4:9">
      <c r="D824" s="2"/>
      <c r="F824" s="19"/>
      <c r="G824" s="19"/>
      <c r="H824" s="20"/>
      <c r="I824" s="8"/>
    </row>
    <row r="825" spans="4:9">
      <c r="D825" s="2"/>
      <c r="F825" s="19"/>
      <c r="G825" s="19"/>
      <c r="H825" s="20"/>
      <c r="I825" s="8"/>
    </row>
    <row r="826" spans="4:9">
      <c r="D826" s="2"/>
      <c r="F826" s="19"/>
      <c r="G826" s="19"/>
      <c r="H826" s="20"/>
      <c r="I826" s="8"/>
    </row>
    <row r="827" spans="4:9">
      <c r="D827" s="2"/>
      <c r="F827" s="19"/>
      <c r="G827" s="19"/>
      <c r="H827" s="20"/>
      <c r="I827" s="8"/>
    </row>
    <row r="828" spans="4:9">
      <c r="D828" s="2"/>
      <c r="F828" s="19"/>
      <c r="G828" s="19"/>
      <c r="H828" s="20"/>
      <c r="I828" s="8"/>
    </row>
    <row r="829" spans="4:9">
      <c r="D829" s="2"/>
      <c r="F829" s="19"/>
      <c r="G829" s="19"/>
      <c r="H829" s="20"/>
      <c r="I829" s="8"/>
    </row>
    <row r="830" spans="4:9">
      <c r="D830" s="2"/>
      <c r="F830" s="19"/>
      <c r="G830" s="19"/>
      <c r="H830" s="20"/>
      <c r="I830" s="8"/>
    </row>
    <row r="831" spans="4:9">
      <c r="D831" s="2"/>
      <c r="F831" s="19"/>
      <c r="G831" s="19"/>
      <c r="H831" s="20"/>
      <c r="I831" s="8"/>
    </row>
    <row r="832" spans="4:9">
      <c r="D832" s="2"/>
      <c r="F832" s="19"/>
      <c r="G832" s="19"/>
      <c r="H832" s="20"/>
      <c r="I832" s="8"/>
    </row>
    <row r="833" spans="4:9">
      <c r="D833" s="2"/>
      <c r="F833" s="19"/>
      <c r="G833" s="19"/>
      <c r="H833" s="20"/>
      <c r="I833" s="8"/>
    </row>
    <row r="834" spans="4:9">
      <c r="D834" s="2"/>
      <c r="F834" s="19"/>
      <c r="G834" s="19"/>
      <c r="H834" s="20"/>
      <c r="I834" s="8"/>
    </row>
    <row r="835" spans="4:9">
      <c r="D835" s="2"/>
      <c r="F835" s="19"/>
      <c r="G835" s="19"/>
      <c r="H835" s="20"/>
      <c r="I835" s="8"/>
    </row>
    <row r="836" spans="4:9">
      <c r="D836" s="2"/>
      <c r="F836" s="19"/>
      <c r="G836" s="19"/>
      <c r="H836" s="20"/>
      <c r="I836" s="8"/>
    </row>
    <row r="837" spans="4:9">
      <c r="D837" s="2"/>
      <c r="F837" s="19"/>
      <c r="G837" s="19"/>
      <c r="H837" s="20"/>
      <c r="I837" s="8"/>
    </row>
    <row r="838" spans="4:9">
      <c r="D838" s="2"/>
      <c r="F838" s="19"/>
      <c r="G838" s="19"/>
      <c r="H838" s="20"/>
      <c r="I838" s="8"/>
    </row>
    <row r="839" spans="4:9">
      <c r="D839" s="2"/>
      <c r="F839" s="19"/>
      <c r="G839" s="19"/>
      <c r="H839" s="20"/>
      <c r="I839" s="8"/>
    </row>
    <row r="840" spans="4:9">
      <c r="D840" s="2"/>
      <c r="F840" s="19"/>
      <c r="G840" s="19"/>
      <c r="H840" s="20"/>
      <c r="I840" s="8"/>
    </row>
    <row r="841" spans="4:9">
      <c r="D841" s="2"/>
      <c r="F841" s="19"/>
      <c r="G841" s="19"/>
      <c r="H841" s="20"/>
      <c r="I841" s="8"/>
    </row>
    <row r="842" spans="4:9">
      <c r="D842" s="2"/>
      <c r="F842" s="19"/>
      <c r="G842" s="19"/>
      <c r="H842" s="20"/>
      <c r="I842" s="8"/>
    </row>
    <row r="843" spans="4:9">
      <c r="D843" s="2"/>
      <c r="F843" s="19"/>
      <c r="G843" s="19"/>
      <c r="H843" s="20"/>
      <c r="I843" s="8"/>
    </row>
    <row r="844" spans="4:9">
      <c r="D844" s="2"/>
      <c r="F844" s="19"/>
      <c r="G844" s="19"/>
      <c r="H844" s="20"/>
      <c r="I844" s="8"/>
    </row>
    <row r="845" spans="4:9">
      <c r="D845" s="2"/>
      <c r="F845" s="19"/>
      <c r="G845" s="19"/>
      <c r="H845" s="20"/>
      <c r="I845" s="8"/>
    </row>
    <row r="846" spans="4:9">
      <c r="D846" s="2"/>
      <c r="F846" s="19"/>
      <c r="G846" s="19"/>
      <c r="H846" s="20"/>
      <c r="I846" s="8"/>
    </row>
    <row r="847" spans="4:9">
      <c r="D847" s="2"/>
      <c r="F847" s="19"/>
      <c r="G847" s="19"/>
      <c r="H847" s="20"/>
      <c r="I847" s="8"/>
    </row>
    <row r="848" spans="4:9">
      <c r="D848" s="2"/>
      <c r="F848" s="19"/>
      <c r="G848" s="19"/>
      <c r="H848" s="20"/>
      <c r="I848" s="8"/>
    </row>
    <row r="849" spans="4:9">
      <c r="D849" s="2"/>
      <c r="F849" s="19"/>
      <c r="G849" s="19"/>
      <c r="H849" s="20"/>
      <c r="I849" s="8"/>
    </row>
    <row r="850" spans="4:9">
      <c r="D850" s="2"/>
      <c r="F850" s="19"/>
      <c r="G850" s="19"/>
      <c r="H850" s="20"/>
      <c r="I850" s="8"/>
    </row>
    <row r="851" spans="4:9">
      <c r="D851" s="2"/>
      <c r="F851" s="19"/>
      <c r="G851" s="19"/>
      <c r="H851" s="20"/>
      <c r="I851" s="8"/>
    </row>
    <row r="852" spans="4:9">
      <c r="D852" s="2"/>
      <c r="F852" s="19"/>
      <c r="G852" s="19"/>
      <c r="H852" s="20"/>
      <c r="I852" s="8"/>
    </row>
    <row r="853" spans="4:9">
      <c r="D853" s="2"/>
      <c r="F853" s="19"/>
      <c r="G853" s="19"/>
      <c r="H853" s="20"/>
      <c r="I853" s="8"/>
    </row>
    <row r="854" spans="4:9">
      <c r="D854" s="2"/>
      <c r="F854" s="19"/>
      <c r="G854" s="19"/>
      <c r="H854" s="20"/>
      <c r="I854" s="8"/>
    </row>
    <row r="855" spans="4:9">
      <c r="D855" s="2"/>
      <c r="F855" s="19"/>
      <c r="G855" s="19"/>
      <c r="H855" s="20"/>
      <c r="I855" s="8"/>
    </row>
    <row r="856" spans="4:9">
      <c r="D856" s="2"/>
      <c r="F856" s="19"/>
      <c r="G856" s="19"/>
      <c r="H856" s="20"/>
      <c r="I856" s="8"/>
    </row>
    <row r="857" spans="4:9">
      <c r="D857" s="2"/>
      <c r="F857" s="19"/>
      <c r="G857" s="19"/>
      <c r="H857" s="20"/>
      <c r="I857" s="8"/>
    </row>
    <row r="858" spans="4:9">
      <c r="D858" s="2"/>
      <c r="F858" s="19"/>
      <c r="G858" s="19"/>
      <c r="H858" s="20"/>
      <c r="I858" s="8"/>
    </row>
    <row r="859" spans="4:9">
      <c r="D859" s="2"/>
      <c r="F859" s="19"/>
      <c r="G859" s="19"/>
      <c r="H859" s="20"/>
      <c r="I859" s="8"/>
    </row>
    <row r="860" spans="4:9">
      <c r="D860" s="2"/>
      <c r="F860" s="19"/>
      <c r="G860" s="19"/>
      <c r="H860" s="20"/>
      <c r="I860" s="8"/>
    </row>
    <row r="861" spans="4:9">
      <c r="D861" s="2"/>
      <c r="F861" s="19"/>
      <c r="G861" s="19"/>
      <c r="H861" s="20"/>
      <c r="I861" s="8"/>
    </row>
    <row r="862" spans="4:9">
      <c r="D862" s="2"/>
      <c r="F862" s="19"/>
      <c r="G862" s="19"/>
      <c r="H862" s="20"/>
      <c r="I862" s="8"/>
    </row>
    <row r="863" spans="4:9">
      <c r="D863" s="2"/>
      <c r="F863" s="19"/>
      <c r="G863" s="19"/>
      <c r="H863" s="20"/>
      <c r="I863" s="8"/>
    </row>
    <row r="864" spans="4:9">
      <c r="D864" s="2"/>
      <c r="F864" s="19"/>
      <c r="G864" s="19"/>
      <c r="H864" s="20"/>
      <c r="I864" s="8"/>
    </row>
    <row r="865" spans="4:9">
      <c r="D865" s="2"/>
      <c r="F865" s="19"/>
      <c r="G865" s="19"/>
      <c r="H865" s="20"/>
      <c r="I865" s="8"/>
    </row>
    <row r="866" spans="4:9">
      <c r="D866" s="2"/>
      <c r="F866" s="19"/>
      <c r="G866" s="19"/>
      <c r="H866" s="20"/>
      <c r="I866" s="8"/>
    </row>
    <row r="867" spans="4:9">
      <c r="D867" s="2"/>
      <c r="F867" s="19"/>
      <c r="G867" s="19"/>
      <c r="H867" s="20"/>
      <c r="I867" s="8"/>
    </row>
    <row r="868" spans="4:9">
      <c r="D868" s="2"/>
      <c r="F868" s="19"/>
      <c r="G868" s="19"/>
      <c r="H868" s="20"/>
      <c r="I868" s="8"/>
    </row>
    <row r="869" spans="4:9">
      <c r="D869" s="2"/>
      <c r="F869" s="19"/>
      <c r="G869" s="19"/>
      <c r="H869" s="20"/>
      <c r="I869" s="8"/>
    </row>
    <row r="870" spans="4:9">
      <c r="D870" s="2"/>
      <c r="F870" s="19"/>
      <c r="G870" s="19"/>
      <c r="H870" s="20"/>
      <c r="I870" s="8"/>
    </row>
    <row r="871" spans="4:9">
      <c r="D871" s="2"/>
      <c r="F871" s="19"/>
      <c r="G871" s="19"/>
      <c r="H871" s="20"/>
      <c r="I871" s="8"/>
    </row>
    <row r="872" spans="4:9">
      <c r="D872" s="2"/>
      <c r="F872" s="19"/>
      <c r="G872" s="19"/>
      <c r="H872" s="20"/>
      <c r="I872" s="8"/>
    </row>
    <row r="873" spans="4:9">
      <c r="D873" s="2"/>
      <c r="F873" s="19"/>
      <c r="G873" s="19"/>
      <c r="H873" s="20"/>
      <c r="I873" s="8"/>
    </row>
    <row r="874" spans="4:9">
      <c r="D874" s="2"/>
      <c r="F874" s="19"/>
      <c r="G874" s="19"/>
      <c r="H874" s="20"/>
      <c r="I874" s="8"/>
    </row>
    <row r="875" spans="4:9">
      <c r="D875" s="2"/>
      <c r="F875" s="19"/>
      <c r="G875" s="19"/>
      <c r="H875" s="20"/>
      <c r="I875" s="8"/>
    </row>
    <row r="876" spans="4:9">
      <c r="D876" s="2"/>
      <c r="F876" s="19"/>
      <c r="G876" s="19"/>
      <c r="H876" s="20"/>
      <c r="I876" s="8"/>
    </row>
    <row r="877" spans="4:9">
      <c r="D877" s="2"/>
      <c r="F877" s="19"/>
      <c r="G877" s="19"/>
      <c r="H877" s="20"/>
      <c r="I877" s="8"/>
    </row>
    <row r="878" spans="4:9">
      <c r="D878" s="2"/>
      <c r="F878" s="19"/>
      <c r="G878" s="19"/>
      <c r="H878" s="20"/>
      <c r="I878" s="8"/>
    </row>
    <row r="879" spans="4:9">
      <c r="D879" s="2"/>
      <c r="F879" s="19"/>
      <c r="G879" s="19"/>
      <c r="H879" s="20"/>
      <c r="I879" s="8"/>
    </row>
    <row r="880" spans="4:9">
      <c r="D880" s="2"/>
      <c r="F880" s="19"/>
      <c r="G880" s="19"/>
      <c r="H880" s="20"/>
      <c r="I880" s="8"/>
    </row>
    <row r="881" spans="4:9">
      <c r="D881" s="2"/>
      <c r="F881" s="19"/>
      <c r="G881" s="19"/>
      <c r="H881" s="20"/>
      <c r="I881" s="8"/>
    </row>
    <row r="882" spans="4:9">
      <c r="D882" s="2"/>
      <c r="F882" s="19"/>
      <c r="G882" s="19"/>
      <c r="H882" s="20"/>
      <c r="I882" s="8"/>
    </row>
    <row r="883" spans="4:9">
      <c r="D883" s="2"/>
      <c r="F883" s="19"/>
      <c r="G883" s="19"/>
      <c r="H883" s="20"/>
      <c r="I883" s="8"/>
    </row>
    <row r="884" spans="4:9">
      <c r="D884" s="2"/>
      <c r="F884" s="19"/>
      <c r="G884" s="19"/>
      <c r="H884" s="20"/>
      <c r="I884" s="8"/>
    </row>
    <row r="885" spans="4:9">
      <c r="D885" s="2"/>
      <c r="F885" s="19"/>
      <c r="G885" s="19"/>
      <c r="H885" s="20"/>
      <c r="I885" s="8"/>
    </row>
    <row r="886" spans="4:9">
      <c r="D886" s="2"/>
      <c r="F886" s="19"/>
      <c r="G886" s="19"/>
      <c r="H886" s="20"/>
      <c r="I886" s="8"/>
    </row>
    <row r="887" spans="4:9">
      <c r="D887" s="2"/>
      <c r="F887" s="19"/>
      <c r="G887" s="19"/>
      <c r="H887" s="20"/>
      <c r="I887" s="8"/>
    </row>
    <row r="888" spans="4:9">
      <c r="D888" s="2"/>
      <c r="F888" s="19"/>
      <c r="G888" s="19"/>
      <c r="H888" s="20"/>
      <c r="I888" s="8"/>
    </row>
    <row r="889" spans="4:9">
      <c r="D889" s="2"/>
      <c r="F889" s="19"/>
      <c r="G889" s="19"/>
      <c r="H889" s="20"/>
      <c r="I889" s="8"/>
    </row>
    <row r="890" spans="4:9">
      <c r="D890" s="2"/>
      <c r="F890" s="19"/>
      <c r="G890" s="19"/>
      <c r="H890" s="20"/>
      <c r="I890" s="8"/>
    </row>
    <row r="891" spans="4:9">
      <c r="D891" s="2"/>
      <c r="F891" s="19"/>
      <c r="G891" s="19"/>
      <c r="H891" s="20"/>
      <c r="I891" s="8"/>
    </row>
    <row r="892" spans="4:9">
      <c r="D892" s="2"/>
      <c r="F892" s="19"/>
      <c r="G892" s="19"/>
      <c r="H892" s="20"/>
      <c r="I892" s="8"/>
    </row>
    <row r="893" spans="4:9">
      <c r="D893" s="2"/>
      <c r="F893" s="19"/>
      <c r="G893" s="19"/>
      <c r="H893" s="20"/>
      <c r="I893" s="8"/>
    </row>
    <row r="894" spans="4:9">
      <c r="D894" s="2"/>
      <c r="F894" s="19"/>
      <c r="G894" s="19"/>
      <c r="H894" s="20"/>
      <c r="I894" s="8"/>
    </row>
    <row r="895" spans="4:9">
      <c r="D895" s="2"/>
      <c r="F895" s="19"/>
      <c r="G895" s="19"/>
      <c r="H895" s="20"/>
      <c r="I895" s="8"/>
    </row>
    <row r="896" spans="4:9">
      <c r="D896" s="2"/>
      <c r="F896" s="19"/>
      <c r="G896" s="19"/>
      <c r="H896" s="20"/>
      <c r="I896" s="8"/>
    </row>
    <row r="897" spans="4:9">
      <c r="D897" s="2"/>
      <c r="F897" s="19"/>
      <c r="G897" s="19"/>
      <c r="H897" s="20"/>
      <c r="I897" s="8"/>
    </row>
    <row r="898" spans="4:9">
      <c r="D898" s="2"/>
      <c r="F898" s="19"/>
      <c r="G898" s="19"/>
      <c r="H898" s="20"/>
      <c r="I898" s="8"/>
    </row>
    <row r="899" spans="4:9">
      <c r="D899" s="2"/>
      <c r="F899" s="19"/>
      <c r="G899" s="19"/>
      <c r="H899" s="20"/>
      <c r="I899" s="8"/>
    </row>
    <row r="900" spans="4:9">
      <c r="D900" s="2"/>
      <c r="F900" s="19"/>
      <c r="G900" s="19"/>
      <c r="H900" s="20"/>
      <c r="I900" s="8"/>
    </row>
    <row r="901" spans="4:9">
      <c r="D901" s="2"/>
      <c r="F901" s="19"/>
      <c r="G901" s="19"/>
      <c r="H901" s="20"/>
      <c r="I901" s="8"/>
    </row>
    <row r="902" spans="4:9">
      <c r="D902" s="2"/>
      <c r="F902" s="19"/>
      <c r="G902" s="19"/>
      <c r="H902" s="20"/>
      <c r="I902" s="8"/>
    </row>
    <row r="903" spans="4:9">
      <c r="D903" s="2"/>
      <c r="F903" s="19"/>
      <c r="G903" s="19"/>
      <c r="H903" s="20"/>
      <c r="I903" s="8"/>
    </row>
    <row r="904" spans="4:9">
      <c r="D904" s="2"/>
      <c r="F904" s="19"/>
      <c r="G904" s="19"/>
      <c r="H904" s="20"/>
      <c r="I904" s="8"/>
    </row>
    <row r="905" spans="4:9">
      <c r="D905" s="2"/>
      <c r="F905" s="19"/>
      <c r="G905" s="19"/>
      <c r="H905" s="20"/>
      <c r="I905" s="8"/>
    </row>
    <row r="906" spans="4:9">
      <c r="D906" s="2"/>
      <c r="F906" s="19"/>
      <c r="G906" s="19"/>
      <c r="H906" s="20"/>
      <c r="I906" s="8"/>
    </row>
    <row r="907" spans="4:9">
      <c r="D907" s="2"/>
      <c r="F907" s="19"/>
      <c r="G907" s="19"/>
      <c r="H907" s="20"/>
      <c r="I907" s="8"/>
    </row>
    <row r="908" spans="4:9">
      <c r="D908" s="2"/>
      <c r="F908" s="19"/>
      <c r="G908" s="19"/>
      <c r="H908" s="20"/>
      <c r="I908" s="8"/>
    </row>
    <row r="909" spans="4:9">
      <c r="D909" s="2"/>
      <c r="F909" s="19"/>
      <c r="G909" s="19"/>
      <c r="H909" s="20"/>
      <c r="I909" s="8"/>
    </row>
    <row r="910" spans="4:9">
      <c r="D910" s="2"/>
      <c r="F910" s="19"/>
      <c r="G910" s="19"/>
      <c r="H910" s="20"/>
      <c r="I910" s="8"/>
    </row>
    <row r="911" spans="4:9">
      <c r="D911" s="2"/>
      <c r="F911" s="19"/>
      <c r="G911" s="19"/>
      <c r="H911" s="20"/>
      <c r="I911" s="8"/>
    </row>
    <row r="912" spans="4:9">
      <c r="D912" s="2"/>
      <c r="F912" s="19"/>
      <c r="G912" s="19"/>
      <c r="H912" s="20"/>
      <c r="I912" s="8"/>
    </row>
    <row r="913" spans="4:9">
      <c r="D913" s="2"/>
      <c r="F913" s="19"/>
      <c r="G913" s="19"/>
      <c r="H913" s="20"/>
      <c r="I913" s="8"/>
    </row>
    <row r="914" spans="4:9">
      <c r="D914" s="2"/>
      <c r="F914" s="19"/>
      <c r="G914" s="19"/>
      <c r="H914" s="20"/>
      <c r="I914" s="8"/>
    </row>
    <row r="915" spans="4:9">
      <c r="D915" s="2"/>
      <c r="F915" s="19"/>
      <c r="G915" s="19"/>
      <c r="H915" s="20"/>
      <c r="I915" s="8"/>
    </row>
    <row r="916" spans="4:9">
      <c r="D916" s="2"/>
      <c r="F916" s="19"/>
      <c r="G916" s="19"/>
      <c r="H916" s="20"/>
      <c r="I916" s="8"/>
    </row>
    <row r="917" spans="4:9">
      <c r="D917" s="2"/>
      <c r="F917" s="19"/>
      <c r="G917" s="19"/>
      <c r="H917" s="20"/>
      <c r="I917" s="8"/>
    </row>
    <row r="918" spans="4:9">
      <c r="D918" s="2"/>
      <c r="F918" s="19"/>
      <c r="G918" s="19"/>
      <c r="H918" s="20"/>
      <c r="I918" s="8"/>
    </row>
    <row r="919" spans="4:9">
      <c r="D919" s="2"/>
      <c r="F919" s="19"/>
      <c r="G919" s="19"/>
      <c r="H919" s="20"/>
      <c r="I919" s="8"/>
    </row>
    <row r="920" spans="4:9">
      <c r="D920" s="2"/>
      <c r="F920" s="19"/>
      <c r="G920" s="19"/>
      <c r="H920" s="20"/>
      <c r="I920" s="8"/>
    </row>
    <row r="921" spans="4:9">
      <c r="D921" s="2"/>
      <c r="F921" s="19"/>
      <c r="G921" s="19"/>
      <c r="H921" s="20"/>
      <c r="I921" s="8"/>
    </row>
    <row r="922" spans="4:9">
      <c r="D922" s="2"/>
      <c r="F922" s="19"/>
      <c r="G922" s="19"/>
      <c r="H922" s="20"/>
      <c r="I922" s="8"/>
    </row>
    <row r="923" spans="4:9">
      <c r="D923" s="2"/>
      <c r="F923" s="19"/>
      <c r="G923" s="19"/>
      <c r="H923" s="20"/>
      <c r="I923" s="8"/>
    </row>
    <row r="924" spans="4:9">
      <c r="D924" s="2"/>
      <c r="F924" s="19"/>
      <c r="G924" s="19"/>
      <c r="H924" s="20"/>
      <c r="I924" s="8"/>
    </row>
    <row r="925" spans="4:9">
      <c r="D925" s="2"/>
      <c r="F925" s="19"/>
      <c r="G925" s="19"/>
      <c r="H925" s="20"/>
      <c r="I925" s="8"/>
    </row>
    <row r="926" spans="4:9">
      <c r="D926" s="2"/>
      <c r="F926" s="19"/>
      <c r="G926" s="19"/>
      <c r="H926" s="20"/>
      <c r="I926" s="8"/>
    </row>
    <row r="927" spans="4:9">
      <c r="D927" s="2"/>
      <c r="F927" s="19"/>
      <c r="G927" s="19"/>
      <c r="H927" s="20"/>
      <c r="I927" s="8"/>
    </row>
    <row r="928" spans="4:9">
      <c r="D928" s="2"/>
      <c r="F928" s="19"/>
      <c r="G928" s="19"/>
      <c r="H928" s="20"/>
      <c r="I928" s="8"/>
    </row>
    <row r="929" spans="4:9">
      <c r="D929" s="2"/>
      <c r="F929" s="19"/>
      <c r="G929" s="19"/>
      <c r="H929" s="20"/>
      <c r="I929" s="8"/>
    </row>
    <row r="930" spans="4:9">
      <c r="D930" s="2"/>
      <c r="F930" s="19"/>
      <c r="G930" s="19"/>
      <c r="H930" s="20"/>
      <c r="I930" s="8"/>
    </row>
    <row r="931" spans="4:9">
      <c r="D931" s="2"/>
      <c r="F931" s="19"/>
      <c r="G931" s="19"/>
      <c r="H931" s="20"/>
      <c r="I931" s="8"/>
    </row>
    <row r="932" spans="4:9">
      <c r="D932" s="2"/>
      <c r="F932" s="19"/>
      <c r="G932" s="19"/>
      <c r="H932" s="20"/>
      <c r="I932" s="8"/>
    </row>
    <row r="933" spans="4:9">
      <c r="D933" s="2"/>
      <c r="F933" s="19"/>
      <c r="G933" s="19"/>
      <c r="H933" s="20"/>
      <c r="I933" s="8"/>
    </row>
    <row r="934" spans="4:9">
      <c r="D934" s="2"/>
      <c r="F934" s="19"/>
      <c r="G934" s="19"/>
      <c r="H934" s="20"/>
      <c r="I934" s="8"/>
    </row>
    <row r="935" spans="4:9">
      <c r="D935" s="2"/>
      <c r="F935" s="19"/>
      <c r="G935" s="19"/>
      <c r="H935" s="20"/>
      <c r="I935" s="8"/>
    </row>
    <row r="936" spans="4:9">
      <c r="D936" s="2"/>
      <c r="F936" s="19"/>
      <c r="G936" s="19"/>
      <c r="H936" s="20"/>
      <c r="I936" s="8"/>
    </row>
    <row r="937" spans="4:9">
      <c r="D937" s="2"/>
      <c r="F937" s="19"/>
      <c r="G937" s="19"/>
      <c r="H937" s="20"/>
      <c r="I937" s="8"/>
    </row>
    <row r="938" spans="4:9">
      <c r="D938" s="2"/>
      <c r="F938" s="19"/>
      <c r="G938" s="19"/>
      <c r="H938" s="20"/>
      <c r="I938" s="8"/>
    </row>
    <row r="939" spans="4:9">
      <c r="D939" s="2"/>
      <c r="F939" s="19"/>
      <c r="G939" s="19"/>
      <c r="H939" s="20"/>
      <c r="I939" s="8"/>
    </row>
    <row r="940" spans="4:9">
      <c r="D940" s="2"/>
      <c r="F940" s="19"/>
      <c r="G940" s="19"/>
      <c r="H940" s="20"/>
      <c r="I940" s="8"/>
    </row>
    <row r="941" spans="4:9">
      <c r="D941" s="2"/>
      <c r="F941" s="19"/>
      <c r="G941" s="19"/>
      <c r="H941" s="20"/>
      <c r="I941" s="8"/>
    </row>
    <row r="942" spans="4:9">
      <c r="D942" s="2"/>
      <c r="F942" s="19"/>
      <c r="G942" s="19"/>
      <c r="H942" s="20"/>
      <c r="I942" s="8"/>
    </row>
    <row r="943" spans="4:9">
      <c r="D943" s="2"/>
      <c r="F943" s="19"/>
      <c r="G943" s="19"/>
      <c r="H943" s="20"/>
      <c r="I943" s="8"/>
    </row>
    <row r="944" spans="4:9">
      <c r="D944" s="2"/>
      <c r="F944" s="19"/>
      <c r="G944" s="19"/>
      <c r="H944" s="20"/>
      <c r="I944" s="8"/>
    </row>
    <row r="945" spans="4:9">
      <c r="D945" s="2"/>
      <c r="F945" s="19"/>
      <c r="G945" s="19"/>
      <c r="H945" s="20"/>
      <c r="I945" s="8"/>
    </row>
    <row r="946" spans="4:9">
      <c r="D946" s="2"/>
      <c r="F946" s="19"/>
      <c r="G946" s="19"/>
      <c r="H946" s="20"/>
      <c r="I946" s="8"/>
    </row>
    <row r="947" spans="4:9">
      <c r="D947" s="2"/>
      <c r="F947" s="19"/>
      <c r="G947" s="19"/>
      <c r="H947" s="20"/>
      <c r="I947" s="8"/>
    </row>
    <row r="948" spans="4:9">
      <c r="D948" s="2"/>
      <c r="F948" s="19"/>
      <c r="G948" s="19"/>
      <c r="H948" s="20"/>
      <c r="I948" s="8"/>
    </row>
    <row r="949" spans="4:9">
      <c r="D949" s="2"/>
      <c r="F949" s="19"/>
      <c r="G949" s="19"/>
      <c r="H949" s="20"/>
      <c r="I949" s="8"/>
    </row>
    <row r="950" spans="4:9">
      <c r="D950" s="2"/>
      <c r="F950" s="19"/>
      <c r="G950" s="19"/>
      <c r="H950" s="20"/>
      <c r="I950" s="8"/>
    </row>
    <row r="951" spans="4:9">
      <c r="D951" s="2"/>
      <c r="F951" s="19"/>
      <c r="G951" s="19"/>
      <c r="H951" s="20"/>
      <c r="I951" s="8"/>
    </row>
    <row r="952" spans="4:9">
      <c r="D952" s="2"/>
      <c r="F952" s="19"/>
      <c r="G952" s="19"/>
      <c r="H952" s="20"/>
      <c r="I952" s="8"/>
    </row>
    <row r="953" spans="4:9">
      <c r="D953" s="2"/>
      <c r="F953" s="19"/>
      <c r="G953" s="19"/>
      <c r="H953" s="20"/>
      <c r="I953" s="8"/>
    </row>
    <row r="954" spans="4:9">
      <c r="D954" s="2"/>
      <c r="F954" s="19"/>
      <c r="G954" s="19"/>
      <c r="H954" s="20"/>
      <c r="I954" s="8"/>
    </row>
    <row r="955" spans="4:9">
      <c r="D955" s="2"/>
      <c r="F955" s="19"/>
      <c r="G955" s="19"/>
      <c r="H955" s="20"/>
      <c r="I955" s="8"/>
    </row>
    <row r="956" spans="4:9">
      <c r="D956" s="2"/>
      <c r="F956" s="19"/>
      <c r="G956" s="19"/>
      <c r="H956" s="20"/>
      <c r="I956" s="8"/>
    </row>
    <row r="957" spans="4:9">
      <c r="D957" s="2"/>
      <c r="F957" s="19"/>
      <c r="G957" s="19"/>
      <c r="H957" s="20"/>
      <c r="I957" s="8"/>
    </row>
    <row r="958" spans="4:9">
      <c r="D958" s="2"/>
      <c r="F958" s="19"/>
      <c r="G958" s="19"/>
      <c r="H958" s="20"/>
      <c r="I958" s="8"/>
    </row>
    <row r="959" spans="4:9">
      <c r="D959" s="2"/>
      <c r="F959" s="19"/>
      <c r="G959" s="19"/>
      <c r="H959" s="20"/>
      <c r="I959" s="8"/>
    </row>
    <row r="960" spans="4:9">
      <c r="D960" s="2"/>
      <c r="F960" s="19"/>
      <c r="G960" s="19"/>
      <c r="H960" s="20"/>
      <c r="I960" s="8"/>
    </row>
    <row r="961" spans="4:9">
      <c r="D961" s="2"/>
      <c r="F961" s="19"/>
      <c r="G961" s="19"/>
      <c r="H961" s="20"/>
      <c r="I961" s="8"/>
    </row>
    <row r="962" spans="4:9">
      <c r="D962" s="2"/>
      <c r="F962" s="19"/>
      <c r="G962" s="19"/>
      <c r="H962" s="20"/>
      <c r="I962" s="8"/>
    </row>
    <row r="963" spans="4:9">
      <c r="D963" s="2"/>
      <c r="F963" s="19"/>
      <c r="G963" s="19"/>
      <c r="H963" s="20"/>
      <c r="I963" s="8"/>
    </row>
    <row r="964" spans="4:9">
      <c r="D964" s="2"/>
      <c r="F964" s="19"/>
      <c r="G964" s="19"/>
      <c r="H964" s="20"/>
      <c r="I964" s="8"/>
    </row>
    <row r="965" spans="4:9">
      <c r="D965" s="2"/>
      <c r="F965" s="19"/>
      <c r="G965" s="19"/>
      <c r="H965" s="20"/>
      <c r="I965" s="8"/>
    </row>
    <row r="966" spans="4:9">
      <c r="D966" s="2"/>
      <c r="F966" s="19"/>
      <c r="G966" s="19"/>
      <c r="H966" s="20"/>
      <c r="I966" s="8"/>
    </row>
    <row r="967" spans="4:9">
      <c r="D967" s="2"/>
      <c r="F967" s="19"/>
      <c r="G967" s="19"/>
      <c r="H967" s="20"/>
      <c r="I967" s="8"/>
    </row>
    <row r="968" spans="4:9">
      <c r="D968" s="2"/>
      <c r="F968" s="19"/>
      <c r="G968" s="19"/>
      <c r="H968" s="20"/>
      <c r="I968" s="8"/>
    </row>
    <row r="969" spans="4:9">
      <c r="D969" s="2"/>
      <c r="F969" s="19"/>
      <c r="G969" s="19"/>
      <c r="H969" s="20"/>
      <c r="I969" s="8"/>
    </row>
    <row r="970" spans="4:9">
      <c r="D970" s="2"/>
      <c r="F970" s="19"/>
      <c r="G970" s="19"/>
      <c r="H970" s="20"/>
      <c r="I970" s="8"/>
    </row>
    <row r="971" spans="4:9">
      <c r="D971" s="2"/>
      <c r="F971" s="19"/>
      <c r="G971" s="19"/>
      <c r="H971" s="20"/>
      <c r="I971" s="8"/>
    </row>
    <row r="972" spans="4:9">
      <c r="D972" s="2"/>
      <c r="F972" s="19"/>
      <c r="G972" s="19"/>
      <c r="H972" s="20"/>
      <c r="I972" s="8"/>
    </row>
    <row r="973" spans="4:9">
      <c r="D973" s="2"/>
      <c r="F973" s="19"/>
      <c r="G973" s="19"/>
      <c r="H973" s="20"/>
      <c r="I973" s="8"/>
    </row>
    <row r="974" spans="4:9">
      <c r="D974" s="2"/>
      <c r="F974" s="19"/>
      <c r="G974" s="19"/>
      <c r="H974" s="20"/>
      <c r="I974" s="8"/>
    </row>
    <row r="975" spans="4:9">
      <c r="D975" s="2"/>
      <c r="F975" s="19"/>
      <c r="G975" s="19"/>
      <c r="H975" s="20"/>
      <c r="I975" s="8"/>
    </row>
    <row r="976" spans="4:9">
      <c r="D976" s="2"/>
      <c r="F976" s="19"/>
      <c r="G976" s="19"/>
      <c r="H976" s="20"/>
      <c r="I976" s="8"/>
    </row>
    <row r="977" spans="4:9">
      <c r="D977" s="2"/>
      <c r="F977" s="19"/>
      <c r="G977" s="19"/>
      <c r="H977" s="20"/>
      <c r="I977" s="8"/>
    </row>
    <row r="978" spans="4:9">
      <c r="D978" s="2"/>
      <c r="F978" s="19"/>
      <c r="G978" s="19"/>
      <c r="H978" s="20"/>
      <c r="I978" s="8"/>
    </row>
    <row r="979" spans="4:9">
      <c r="D979" s="2"/>
      <c r="F979" s="19"/>
      <c r="G979" s="19"/>
      <c r="H979" s="20"/>
      <c r="I979" s="8"/>
    </row>
    <row r="980" spans="4:9">
      <c r="D980" s="2"/>
      <c r="F980" s="19"/>
      <c r="G980" s="19"/>
      <c r="H980" s="20"/>
      <c r="I980" s="8"/>
    </row>
    <row r="981" spans="4:9">
      <c r="D981" s="2"/>
      <c r="F981" s="19"/>
      <c r="G981" s="19"/>
      <c r="H981" s="20"/>
      <c r="I981" s="8"/>
    </row>
    <row r="982" spans="4:9">
      <c r="D982" s="2"/>
      <c r="F982" s="19"/>
      <c r="G982" s="19"/>
      <c r="H982" s="20"/>
      <c r="I982" s="8"/>
    </row>
    <row r="983" spans="4:9">
      <c r="D983" s="2"/>
      <c r="F983" s="19"/>
      <c r="G983" s="19"/>
      <c r="H983" s="20"/>
      <c r="I983" s="8"/>
    </row>
    <row r="984" spans="4:9">
      <c r="D984" s="2"/>
      <c r="F984" s="19"/>
      <c r="G984" s="19"/>
      <c r="H984" s="20"/>
      <c r="I984" s="8"/>
    </row>
    <row r="985" spans="4:9">
      <c r="D985" s="2"/>
      <c r="F985" s="19"/>
      <c r="G985" s="19"/>
      <c r="H985" s="20"/>
      <c r="I985" s="8"/>
    </row>
    <row r="986" spans="4:9">
      <c r="D986" s="2"/>
      <c r="F986" s="19"/>
      <c r="G986" s="19"/>
      <c r="H986" s="20"/>
      <c r="I986" s="8"/>
    </row>
    <row r="987" spans="4:9">
      <c r="D987" s="2"/>
      <c r="F987" s="19"/>
      <c r="G987" s="19"/>
      <c r="H987" s="20"/>
      <c r="I987" s="8"/>
    </row>
    <row r="988" spans="4:9">
      <c r="D988" s="2"/>
      <c r="F988" s="19"/>
      <c r="G988" s="19"/>
      <c r="H988" s="20"/>
      <c r="I988" s="8"/>
    </row>
    <row r="989" spans="4:9">
      <c r="D989" s="2"/>
      <c r="F989" s="19"/>
      <c r="G989" s="19"/>
      <c r="H989" s="20"/>
      <c r="I989" s="8"/>
    </row>
    <row r="990" spans="4:9">
      <c r="D990" s="2"/>
      <c r="F990" s="19"/>
      <c r="G990" s="19"/>
      <c r="H990" s="20"/>
      <c r="I990" s="8"/>
    </row>
    <row r="991" spans="4:9">
      <c r="D991" s="2"/>
      <c r="F991" s="19"/>
      <c r="G991" s="19"/>
      <c r="H991" s="20"/>
      <c r="I991" s="8"/>
    </row>
    <row r="992" spans="4:9">
      <c r="D992" s="2"/>
      <c r="F992" s="19"/>
      <c r="G992" s="19"/>
      <c r="H992" s="20"/>
      <c r="I992" s="8"/>
    </row>
    <row r="993" spans="4:9">
      <c r="D993" s="2"/>
      <c r="F993" s="19"/>
      <c r="G993" s="19"/>
      <c r="H993" s="20"/>
      <c r="I993" s="8"/>
    </row>
    <row r="994" spans="4:9">
      <c r="D994" s="2"/>
      <c r="F994" s="19"/>
      <c r="G994" s="19"/>
      <c r="H994" s="20"/>
      <c r="I994" s="8"/>
    </row>
    <row r="995" spans="4:9">
      <c r="D995" s="2"/>
      <c r="F995" s="19"/>
      <c r="G995" s="19"/>
      <c r="H995" s="20"/>
      <c r="I995" s="8"/>
    </row>
    <row r="996" spans="4:9">
      <c r="D996" s="2"/>
      <c r="F996" s="19"/>
      <c r="G996" s="19"/>
      <c r="H996" s="20"/>
      <c r="I996" s="8"/>
    </row>
    <row r="997" spans="4:9">
      <c r="D997" s="2"/>
      <c r="F997" s="19"/>
      <c r="G997" s="19"/>
      <c r="H997" s="20"/>
      <c r="I997" s="8"/>
    </row>
    <row r="998" spans="4:9">
      <c r="D998" s="2"/>
      <c r="F998" s="19"/>
      <c r="G998" s="19"/>
      <c r="H998" s="20"/>
      <c r="I998" s="8"/>
    </row>
    <row r="999" spans="4:9">
      <c r="D999" s="2"/>
      <c r="F999" s="19"/>
      <c r="G999" s="19"/>
      <c r="H999" s="20"/>
      <c r="I999" s="8"/>
    </row>
    <row r="1000" spans="4:9">
      <c r="D1000" s="2"/>
      <c r="F1000" s="19"/>
      <c r="G1000" s="19"/>
      <c r="H1000" s="20"/>
      <c r="I1000" s="8"/>
    </row>
    <row r="1001" spans="4:9">
      <c r="D1001" s="2"/>
      <c r="F1001" s="19"/>
      <c r="G1001" s="19"/>
      <c r="H1001" s="20"/>
      <c r="I1001" s="8"/>
    </row>
    <row r="1002" spans="4:9">
      <c r="D1002" s="2"/>
      <c r="F1002" s="19"/>
      <c r="G1002" s="19"/>
      <c r="H1002" s="20"/>
      <c r="I1002" s="8"/>
    </row>
    <row r="1003" spans="4:9">
      <c r="D1003" s="2"/>
      <c r="F1003" s="19"/>
      <c r="G1003" s="19"/>
      <c r="H1003" s="20"/>
      <c r="I1003" s="8"/>
    </row>
    <row r="1004" spans="4:9">
      <c r="D1004" s="2"/>
      <c r="F1004" s="19"/>
      <c r="G1004" s="19"/>
      <c r="H1004" s="20"/>
      <c r="I1004" s="8"/>
    </row>
    <row r="1005" spans="4:9">
      <c r="D1005" s="2"/>
      <c r="F1005" s="19"/>
      <c r="G1005" s="19"/>
      <c r="H1005" s="20"/>
      <c r="I1005" s="8"/>
    </row>
    <row r="1006" spans="4:9">
      <c r="D1006" s="2"/>
      <c r="F1006" s="19"/>
      <c r="G1006" s="19"/>
      <c r="H1006" s="20"/>
      <c r="I1006" s="8"/>
    </row>
    <row r="1007" spans="4:9">
      <c r="D1007" s="2"/>
      <c r="F1007" s="19"/>
      <c r="G1007" s="19"/>
      <c r="H1007" s="20"/>
      <c r="I1007" s="8"/>
    </row>
    <row r="1008" spans="4:9">
      <c r="D1008" s="2"/>
      <c r="F1008" s="19"/>
      <c r="G1008" s="19"/>
      <c r="H1008" s="20"/>
      <c r="I1008" s="8"/>
    </row>
    <row r="1009" spans="4:9">
      <c r="D1009" s="2"/>
      <c r="F1009" s="19"/>
      <c r="G1009" s="19"/>
      <c r="H1009" s="20"/>
      <c r="I1009" s="8"/>
    </row>
    <row r="1010" spans="4:9">
      <c r="D1010" s="2"/>
      <c r="F1010" s="19"/>
      <c r="G1010" s="19"/>
      <c r="H1010" s="20"/>
      <c r="I1010" s="8"/>
    </row>
    <row r="1011" spans="4:9">
      <c r="D1011" s="2"/>
      <c r="F1011" s="19"/>
      <c r="G1011" s="19"/>
      <c r="H1011" s="20"/>
      <c r="I1011" s="8"/>
    </row>
    <row r="1012" spans="4:9">
      <c r="D1012" s="2"/>
      <c r="F1012" s="19"/>
      <c r="G1012" s="19"/>
      <c r="H1012" s="20"/>
      <c r="I1012" s="8"/>
    </row>
    <row r="1013" spans="4:9">
      <c r="D1013" s="2"/>
      <c r="F1013" s="19"/>
      <c r="G1013" s="19"/>
      <c r="H1013" s="20"/>
      <c r="I1013" s="8"/>
    </row>
    <row r="1014" spans="4:9">
      <c r="D1014" s="2"/>
      <c r="F1014" s="19"/>
      <c r="G1014" s="19"/>
      <c r="H1014" s="20"/>
      <c r="I1014" s="8"/>
    </row>
    <row r="1015" spans="4:9">
      <c r="D1015" s="2"/>
      <c r="F1015" s="19"/>
      <c r="G1015" s="19"/>
      <c r="H1015" s="20"/>
      <c r="I1015" s="8"/>
    </row>
    <row r="1016" spans="4:9">
      <c r="D1016" s="2"/>
      <c r="F1016" s="19"/>
      <c r="G1016" s="19"/>
      <c r="H1016" s="20"/>
      <c r="I1016" s="8"/>
    </row>
    <row r="1017" spans="4:9">
      <c r="D1017" s="2"/>
      <c r="F1017" s="19"/>
      <c r="G1017" s="19"/>
      <c r="H1017" s="20"/>
      <c r="I1017" s="8"/>
    </row>
    <row r="1018" spans="4:9">
      <c r="D1018" s="2"/>
      <c r="F1018" s="19"/>
      <c r="G1018" s="19"/>
      <c r="H1018" s="20"/>
      <c r="I1018" s="8"/>
    </row>
    <row r="1019" spans="4:9">
      <c r="D1019" s="2"/>
      <c r="F1019" s="19"/>
      <c r="G1019" s="19"/>
      <c r="H1019" s="20"/>
      <c r="I1019" s="8"/>
    </row>
    <row r="1020" spans="4:9">
      <c r="D1020" s="2"/>
      <c r="F1020" s="19"/>
      <c r="G1020" s="19"/>
      <c r="H1020" s="20"/>
      <c r="I1020" s="8"/>
    </row>
    <row r="1021" spans="4:9">
      <c r="D1021" s="2"/>
      <c r="F1021" s="19"/>
      <c r="G1021" s="19"/>
      <c r="H1021" s="20"/>
      <c r="I1021" s="8"/>
    </row>
    <row r="1022" spans="4:9">
      <c r="D1022" s="2"/>
      <c r="F1022" s="19"/>
      <c r="G1022" s="19"/>
      <c r="H1022" s="20"/>
      <c r="I1022" s="8"/>
    </row>
    <row r="1023" spans="4:9">
      <c r="D1023" s="2"/>
      <c r="F1023" s="19"/>
      <c r="G1023" s="19"/>
      <c r="H1023" s="20"/>
      <c r="I1023" s="8"/>
    </row>
    <row r="1024" spans="4:9">
      <c r="D1024" s="2"/>
      <c r="F1024" s="19"/>
      <c r="G1024" s="19"/>
      <c r="H1024" s="20"/>
      <c r="I1024" s="8"/>
    </row>
    <row r="1025" spans="4:9">
      <c r="D1025" s="2"/>
      <c r="F1025" s="19"/>
      <c r="G1025" s="19"/>
      <c r="H1025" s="20"/>
      <c r="I1025" s="8"/>
    </row>
    <row r="1026" spans="4:9">
      <c r="D1026" s="2"/>
      <c r="F1026" s="19"/>
      <c r="G1026" s="19"/>
      <c r="H1026" s="20"/>
      <c r="I1026" s="8"/>
    </row>
    <row r="1027" spans="4:9">
      <c r="D1027" s="2"/>
      <c r="F1027" s="19"/>
      <c r="G1027" s="19"/>
      <c r="H1027" s="20"/>
      <c r="I1027" s="8"/>
    </row>
    <row r="1028" spans="4:9">
      <c r="D1028" s="2"/>
      <c r="F1028" s="19"/>
      <c r="G1028" s="19"/>
      <c r="H1028" s="20"/>
      <c r="I1028" s="8"/>
    </row>
    <row r="1029" spans="4:9">
      <c r="D1029" s="2"/>
      <c r="F1029" s="19"/>
      <c r="G1029" s="19"/>
      <c r="H1029" s="20"/>
      <c r="I1029" s="8"/>
    </row>
    <row r="1030" spans="4:9">
      <c r="D1030" s="2"/>
      <c r="F1030" s="19"/>
      <c r="G1030" s="19"/>
      <c r="H1030" s="20"/>
      <c r="I1030" s="8"/>
    </row>
    <row r="1031" spans="4:9">
      <c r="D1031" s="2"/>
      <c r="F1031" s="19"/>
      <c r="G1031" s="19"/>
      <c r="H1031" s="20"/>
      <c r="I1031" s="8"/>
    </row>
    <row r="1032" spans="4:9">
      <c r="D1032" s="2"/>
      <c r="F1032" s="19"/>
      <c r="G1032" s="19"/>
      <c r="H1032" s="20"/>
      <c r="I1032" s="8"/>
    </row>
    <row r="1033" spans="4:9">
      <c r="D1033" s="2"/>
      <c r="F1033" s="19"/>
      <c r="G1033" s="19"/>
      <c r="H1033" s="20"/>
      <c r="I1033" s="8"/>
    </row>
    <row r="1034" spans="4:9">
      <c r="D1034" s="2"/>
      <c r="F1034" s="19"/>
      <c r="G1034" s="19"/>
      <c r="H1034" s="20"/>
      <c r="I1034" s="8"/>
    </row>
    <row r="1035" spans="4:9">
      <c r="D1035" s="2"/>
      <c r="F1035" s="19"/>
      <c r="G1035" s="19"/>
      <c r="H1035" s="20"/>
      <c r="I1035" s="8"/>
    </row>
    <row r="1036" spans="4:9">
      <c r="D1036" s="2"/>
      <c r="F1036" s="19"/>
      <c r="G1036" s="19"/>
      <c r="H1036" s="20"/>
      <c r="I1036" s="8"/>
    </row>
    <row r="1037" spans="4:9">
      <c r="D1037" s="2"/>
      <c r="F1037" s="19"/>
      <c r="G1037" s="19"/>
      <c r="H1037" s="20"/>
      <c r="I1037" s="8"/>
    </row>
    <row r="1038" spans="4:9">
      <c r="D1038" s="2"/>
      <c r="F1038" s="19"/>
      <c r="G1038" s="19"/>
      <c r="H1038" s="20"/>
      <c r="I1038" s="8"/>
    </row>
    <row r="1039" spans="4:9">
      <c r="D1039" s="2"/>
      <c r="F1039" s="19"/>
      <c r="G1039" s="19"/>
      <c r="H1039" s="20"/>
      <c r="I1039" s="8"/>
    </row>
    <row r="1040" spans="4:9">
      <c r="D1040" s="2"/>
      <c r="F1040" s="19"/>
      <c r="G1040" s="19"/>
      <c r="H1040" s="20"/>
      <c r="I1040" s="8"/>
    </row>
    <row r="1041" spans="4:9">
      <c r="D1041" s="2"/>
      <c r="F1041" s="19"/>
      <c r="G1041" s="19"/>
      <c r="H1041" s="20"/>
      <c r="I1041" s="8"/>
    </row>
    <row r="1042" spans="4:9">
      <c r="D1042" s="2"/>
      <c r="F1042" s="19"/>
      <c r="G1042" s="19"/>
      <c r="H1042" s="20"/>
      <c r="I1042" s="8"/>
    </row>
    <row r="1043" spans="4:9">
      <c r="D1043" s="2"/>
      <c r="F1043" s="19"/>
      <c r="G1043" s="19"/>
      <c r="H1043" s="20"/>
      <c r="I1043" s="8"/>
    </row>
    <row r="1044" spans="4:9">
      <c r="D1044" s="2"/>
      <c r="F1044" s="19"/>
      <c r="G1044" s="19"/>
      <c r="H1044" s="20"/>
      <c r="I1044" s="8"/>
    </row>
    <row r="1045" spans="4:9">
      <c r="D1045" s="2"/>
      <c r="F1045" s="19"/>
      <c r="G1045" s="19"/>
      <c r="H1045" s="20"/>
      <c r="I1045" s="8"/>
    </row>
    <row r="1046" spans="4:9">
      <c r="D1046" s="2"/>
      <c r="F1046" s="19"/>
      <c r="G1046" s="19"/>
      <c r="H1046" s="20"/>
      <c r="I1046" s="8"/>
    </row>
    <row r="1047" spans="4:9">
      <c r="D1047" s="2"/>
      <c r="F1047" s="19"/>
      <c r="G1047" s="19"/>
      <c r="H1047" s="20"/>
      <c r="I1047" s="8"/>
    </row>
    <row r="1048" spans="4:9">
      <c r="D1048" s="2"/>
      <c r="F1048" s="19"/>
      <c r="G1048" s="19"/>
      <c r="H1048" s="20"/>
      <c r="I1048" s="8"/>
    </row>
    <row r="1049" spans="4:9">
      <c r="D1049" s="2"/>
      <c r="F1049" s="19"/>
      <c r="G1049" s="19"/>
      <c r="H1049" s="20"/>
      <c r="I1049" s="8"/>
    </row>
    <row r="1050" spans="4:9">
      <c r="D1050" s="2"/>
      <c r="F1050" s="19"/>
      <c r="G1050" s="19"/>
      <c r="H1050" s="20"/>
      <c r="I1050" s="8"/>
    </row>
    <row r="1051" spans="4:9">
      <c r="D1051" s="2"/>
      <c r="F1051" s="19"/>
      <c r="G1051" s="19"/>
      <c r="H1051" s="20"/>
      <c r="I1051" s="8"/>
    </row>
    <row r="1052" spans="4:9">
      <c r="D1052" s="2"/>
      <c r="F1052" s="19"/>
      <c r="G1052" s="19"/>
      <c r="H1052" s="20"/>
      <c r="I1052" s="8"/>
    </row>
    <row r="1053" spans="4:9">
      <c r="D1053" s="2"/>
      <c r="F1053" s="19"/>
      <c r="G1053" s="19"/>
      <c r="H1053" s="20"/>
      <c r="I1053" s="8"/>
    </row>
    <row r="1054" spans="4:9">
      <c r="D1054" s="2"/>
      <c r="F1054" s="19"/>
      <c r="G1054" s="19"/>
      <c r="H1054" s="20"/>
      <c r="I1054" s="8"/>
    </row>
    <row r="1055" spans="4:9">
      <c r="D1055" s="2"/>
      <c r="F1055" s="19"/>
      <c r="G1055" s="19"/>
      <c r="H1055" s="20"/>
      <c r="I1055" s="8"/>
    </row>
    <row r="1056" spans="4:9">
      <c r="D1056" s="2"/>
      <c r="F1056" s="19"/>
      <c r="G1056" s="19"/>
      <c r="H1056" s="20"/>
      <c r="I1056" s="8"/>
    </row>
    <row r="1057" spans="4:9">
      <c r="D1057" s="2"/>
      <c r="F1057" s="19"/>
      <c r="G1057" s="19"/>
      <c r="H1057" s="20"/>
      <c r="I1057" s="8"/>
    </row>
    <row r="1058" spans="4:9">
      <c r="D1058" s="2"/>
      <c r="F1058" s="19"/>
      <c r="G1058" s="19"/>
      <c r="H1058" s="20"/>
      <c r="I1058" s="8"/>
    </row>
    <row r="1059" spans="4:9">
      <c r="D1059" s="2"/>
      <c r="F1059" s="19"/>
      <c r="G1059" s="19"/>
      <c r="H1059" s="20"/>
      <c r="I1059" s="8"/>
    </row>
    <row r="1060" spans="4:9">
      <c r="D1060" s="2"/>
      <c r="F1060" s="19"/>
      <c r="G1060" s="19"/>
      <c r="H1060" s="20"/>
      <c r="I1060" s="8"/>
    </row>
    <row r="1061" spans="4:9">
      <c r="D1061" s="2"/>
      <c r="F1061" s="19"/>
      <c r="G1061" s="19"/>
      <c r="H1061" s="20"/>
      <c r="I1061" s="8"/>
    </row>
    <row r="1062" spans="4:9">
      <c r="D1062" s="2"/>
      <c r="F1062" s="19"/>
      <c r="G1062" s="19"/>
      <c r="H1062" s="20"/>
      <c r="I1062" s="8"/>
    </row>
    <row r="1063" spans="4:9">
      <c r="D1063" s="2"/>
      <c r="F1063" s="19"/>
      <c r="G1063" s="19"/>
      <c r="H1063" s="20"/>
      <c r="I1063" s="8"/>
    </row>
    <row r="1064" spans="4:9">
      <c r="D1064" s="2"/>
      <c r="F1064" s="19"/>
      <c r="G1064" s="19"/>
      <c r="H1064" s="20"/>
      <c r="I1064" s="8"/>
    </row>
    <row r="1065" spans="4:9">
      <c r="D1065" s="2"/>
      <c r="F1065" s="19"/>
      <c r="G1065" s="19"/>
      <c r="H1065" s="20"/>
      <c r="I1065" s="8"/>
    </row>
    <row r="1066" spans="4:9">
      <c r="D1066" s="2"/>
      <c r="F1066" s="19"/>
      <c r="G1066" s="19"/>
      <c r="H1066" s="20"/>
      <c r="I1066" s="8"/>
    </row>
    <row r="1067" spans="4:9">
      <c r="D1067" s="2"/>
      <c r="F1067" s="19"/>
      <c r="G1067" s="19"/>
      <c r="H1067" s="20"/>
      <c r="I1067" s="8"/>
    </row>
    <row r="1068" spans="4:9">
      <c r="D1068" s="2"/>
      <c r="F1068" s="19"/>
      <c r="G1068" s="19"/>
      <c r="H1068" s="20"/>
      <c r="I1068" s="8"/>
    </row>
    <row r="1069" spans="4:9">
      <c r="D1069" s="2"/>
      <c r="F1069" s="19"/>
      <c r="G1069" s="19"/>
      <c r="H1069" s="20"/>
      <c r="I1069" s="8"/>
    </row>
    <row r="1070" spans="4:9">
      <c r="D1070" s="2"/>
      <c r="F1070" s="19"/>
      <c r="G1070" s="19"/>
      <c r="H1070" s="20"/>
      <c r="I1070" s="8"/>
    </row>
    <row r="1071" spans="4:9">
      <c r="D1071" s="2"/>
      <c r="F1071" s="19"/>
      <c r="G1071" s="19"/>
      <c r="H1071" s="20"/>
      <c r="I1071" s="8"/>
    </row>
    <row r="1072" spans="4:9">
      <c r="D1072" s="2"/>
      <c r="F1072" s="19"/>
      <c r="G1072" s="19"/>
      <c r="H1072" s="20"/>
      <c r="I1072" s="8"/>
    </row>
    <row r="1073" spans="4:9">
      <c r="D1073" s="2"/>
      <c r="F1073" s="19"/>
      <c r="G1073" s="19"/>
      <c r="H1073" s="20"/>
      <c r="I1073" s="8"/>
    </row>
    <row r="1074" spans="4:9">
      <c r="D1074" s="2"/>
      <c r="F1074" s="19"/>
      <c r="G1074" s="19"/>
      <c r="H1074" s="20"/>
      <c r="I1074" s="8"/>
    </row>
    <row r="1075" spans="4:9">
      <c r="D1075" s="2"/>
      <c r="F1075" s="19"/>
      <c r="G1075" s="19"/>
      <c r="H1075" s="20"/>
      <c r="I1075" s="8"/>
    </row>
    <row r="1076" spans="4:9">
      <c r="D1076" s="2"/>
      <c r="F1076" s="19"/>
      <c r="G1076" s="19"/>
      <c r="H1076" s="20"/>
      <c r="I1076" s="8"/>
    </row>
    <row r="1077" spans="4:9">
      <c r="D1077" s="2"/>
      <c r="F1077" s="19"/>
      <c r="G1077" s="19"/>
      <c r="H1077" s="20"/>
      <c r="I1077" s="8"/>
    </row>
    <row r="1078" spans="4:9">
      <c r="D1078" s="2"/>
      <c r="F1078" s="19"/>
      <c r="G1078" s="19"/>
      <c r="H1078" s="20"/>
      <c r="I1078" s="8"/>
    </row>
    <row r="1079" spans="4:9">
      <c r="D1079" s="2"/>
      <c r="F1079" s="19"/>
      <c r="G1079" s="19"/>
      <c r="H1079" s="20"/>
      <c r="I1079" s="8"/>
    </row>
    <row r="1080" spans="4:9">
      <c r="D1080" s="2"/>
      <c r="F1080" s="19"/>
      <c r="G1080" s="19"/>
      <c r="H1080" s="20"/>
      <c r="I1080" s="8"/>
    </row>
    <row r="1081" spans="4:9">
      <c r="D1081" s="2"/>
      <c r="F1081" s="19"/>
      <c r="G1081" s="19"/>
      <c r="H1081" s="20"/>
      <c r="I1081" s="8"/>
    </row>
    <row r="1082" spans="4:9">
      <c r="D1082" s="2"/>
      <c r="F1082" s="19"/>
      <c r="G1082" s="19"/>
      <c r="H1082" s="20"/>
      <c r="I1082" s="8"/>
    </row>
    <row r="1083" spans="4:9">
      <c r="D1083" s="2"/>
      <c r="F1083" s="19"/>
      <c r="G1083" s="19"/>
      <c r="H1083" s="20"/>
      <c r="I1083" s="8"/>
    </row>
    <row r="1084" spans="4:9">
      <c r="D1084" s="2"/>
      <c r="F1084" s="19"/>
      <c r="G1084" s="19"/>
      <c r="H1084" s="20"/>
      <c r="I1084" s="8"/>
    </row>
    <row r="1085" spans="4:9">
      <c r="D1085" s="2"/>
      <c r="F1085" s="19"/>
      <c r="G1085" s="19"/>
      <c r="H1085" s="20"/>
      <c r="I1085" s="8"/>
    </row>
    <row r="1086" spans="4:9">
      <c r="D1086" s="2"/>
      <c r="F1086" s="19"/>
      <c r="G1086" s="19"/>
      <c r="H1086" s="20"/>
      <c r="I1086" s="8"/>
    </row>
    <row r="1087" spans="4:9">
      <c r="D1087" s="2"/>
      <c r="F1087" s="19"/>
      <c r="G1087" s="19"/>
      <c r="H1087" s="20"/>
      <c r="I1087" s="8"/>
    </row>
    <row r="1088" spans="4:9">
      <c r="D1088" s="2"/>
      <c r="F1088" s="19"/>
      <c r="G1088" s="19"/>
      <c r="H1088" s="20"/>
      <c r="I1088" s="8"/>
    </row>
    <row r="1089" spans="4:9">
      <c r="D1089" s="2"/>
      <c r="F1089" s="19"/>
      <c r="G1089" s="19"/>
      <c r="H1089" s="20"/>
      <c r="I1089" s="8"/>
    </row>
    <row r="1090" spans="4:9">
      <c r="D1090" s="2"/>
      <c r="F1090" s="19"/>
      <c r="G1090" s="19"/>
      <c r="H1090" s="20"/>
      <c r="I1090" s="8"/>
    </row>
    <row r="1091" spans="4:9">
      <c r="D1091" s="2"/>
      <c r="F1091" s="19"/>
      <c r="G1091" s="19"/>
      <c r="H1091" s="20"/>
      <c r="I1091" s="8"/>
    </row>
    <row r="1092" spans="4:9">
      <c r="D1092" s="2"/>
      <c r="F1092" s="19"/>
      <c r="G1092" s="19"/>
      <c r="H1092" s="20"/>
      <c r="I1092" s="8"/>
    </row>
    <row r="1093" spans="4:9">
      <c r="D1093" s="2"/>
      <c r="F1093" s="19"/>
      <c r="G1093" s="19"/>
      <c r="H1093" s="20"/>
      <c r="I1093" s="8"/>
    </row>
    <row r="1094" spans="4:9">
      <c r="D1094" s="2"/>
      <c r="F1094" s="19"/>
      <c r="G1094" s="19"/>
      <c r="H1094" s="20"/>
      <c r="I1094" s="8"/>
    </row>
    <row r="1095" spans="4:9">
      <c r="D1095" s="2"/>
      <c r="F1095" s="19"/>
      <c r="G1095" s="19"/>
      <c r="H1095" s="20"/>
      <c r="I1095" s="8"/>
    </row>
    <row r="1096" spans="4:9">
      <c r="D1096" s="2"/>
      <c r="F1096" s="19"/>
      <c r="G1096" s="19"/>
      <c r="H1096" s="20"/>
      <c r="I1096" s="8"/>
    </row>
    <row r="1097" spans="4:9">
      <c r="D1097" s="2"/>
      <c r="F1097" s="19"/>
      <c r="G1097" s="19"/>
      <c r="H1097" s="20"/>
      <c r="I1097" s="8"/>
    </row>
    <row r="1098" spans="4:9">
      <c r="D1098" s="2"/>
      <c r="F1098" s="19"/>
      <c r="G1098" s="19"/>
      <c r="H1098" s="20"/>
      <c r="I1098" s="8"/>
    </row>
    <row r="1099" spans="4:9">
      <c r="D1099" s="2"/>
      <c r="F1099" s="19"/>
      <c r="G1099" s="19"/>
      <c r="H1099" s="20"/>
      <c r="I1099" s="8"/>
    </row>
    <row r="1100" spans="4:9">
      <c r="D1100" s="2"/>
      <c r="F1100" s="19"/>
      <c r="G1100" s="19"/>
      <c r="H1100" s="20"/>
      <c r="I1100" s="8"/>
    </row>
    <row r="1101" spans="4:9">
      <c r="D1101" s="2"/>
      <c r="F1101" s="19"/>
      <c r="G1101" s="19"/>
      <c r="H1101" s="20"/>
      <c r="I1101" s="8"/>
    </row>
    <row r="1102" spans="4:9">
      <c r="D1102" s="2"/>
      <c r="F1102" s="19"/>
      <c r="G1102" s="19"/>
      <c r="H1102" s="20"/>
      <c r="I1102" s="8"/>
    </row>
    <row r="1103" spans="4:9">
      <c r="D1103" s="2"/>
      <c r="F1103" s="19"/>
      <c r="G1103" s="19"/>
      <c r="H1103" s="20"/>
      <c r="I1103" s="8"/>
    </row>
    <row r="1104" spans="4:9">
      <c r="D1104" s="2"/>
      <c r="F1104" s="19"/>
      <c r="G1104" s="19"/>
      <c r="H1104" s="20"/>
      <c r="I1104" s="8"/>
    </row>
    <row r="1105" spans="4:9">
      <c r="D1105" s="2"/>
      <c r="F1105" s="19"/>
      <c r="G1105" s="19"/>
      <c r="H1105" s="20"/>
      <c r="I1105" s="8"/>
    </row>
    <row r="1106" spans="4:9">
      <c r="D1106" s="2"/>
      <c r="F1106" s="19"/>
      <c r="G1106" s="19"/>
      <c r="H1106" s="20"/>
      <c r="I1106" s="8"/>
    </row>
    <row r="1107" spans="4:9">
      <c r="D1107" s="2"/>
      <c r="F1107" s="19"/>
      <c r="G1107" s="19"/>
      <c r="H1107" s="20"/>
      <c r="I1107" s="8"/>
    </row>
    <row r="1108" spans="4:9">
      <c r="D1108" s="2"/>
      <c r="F1108" s="19"/>
      <c r="G1108" s="19"/>
      <c r="H1108" s="20"/>
      <c r="I1108" s="8"/>
    </row>
    <row r="1109" spans="4:9">
      <c r="D1109" s="2"/>
      <c r="F1109" s="19"/>
      <c r="G1109" s="19"/>
      <c r="H1109" s="20"/>
      <c r="I1109" s="8"/>
    </row>
    <row r="1110" spans="4:9">
      <c r="D1110" s="2"/>
      <c r="F1110" s="19"/>
      <c r="G1110" s="19"/>
      <c r="H1110" s="20"/>
      <c r="I1110" s="8"/>
    </row>
    <row r="1111" spans="4:9">
      <c r="D1111" s="2"/>
      <c r="F1111" s="19"/>
      <c r="G1111" s="19"/>
      <c r="H1111" s="20"/>
      <c r="I1111" s="8"/>
    </row>
    <row r="1112" spans="4:9">
      <c r="D1112" s="2"/>
      <c r="F1112" s="19"/>
      <c r="G1112" s="19"/>
      <c r="H1112" s="20"/>
      <c r="I1112" s="8"/>
    </row>
    <row r="1113" spans="4:9">
      <c r="D1113" s="2"/>
      <c r="F1113" s="19"/>
      <c r="G1113" s="19"/>
      <c r="H1113" s="20"/>
      <c r="I1113" s="8"/>
    </row>
    <row r="1114" spans="4:9">
      <c r="D1114" s="2"/>
      <c r="F1114" s="19"/>
      <c r="G1114" s="19"/>
      <c r="H1114" s="20"/>
      <c r="I1114" s="8"/>
    </row>
    <row r="1115" spans="4:9">
      <c r="D1115" s="2"/>
      <c r="F1115" s="19"/>
      <c r="G1115" s="19"/>
      <c r="H1115" s="20"/>
      <c r="I1115" s="8"/>
    </row>
    <row r="1116" spans="4:9">
      <c r="D1116" s="2"/>
      <c r="F1116" s="19"/>
      <c r="G1116" s="19"/>
      <c r="H1116" s="20"/>
      <c r="I1116" s="8"/>
    </row>
    <row r="1117" spans="4:9">
      <c r="D1117" s="2"/>
      <c r="F1117" s="19"/>
      <c r="G1117" s="19"/>
      <c r="H1117" s="20"/>
      <c r="I1117" s="8"/>
    </row>
    <row r="1118" spans="4:9">
      <c r="D1118" s="2"/>
      <c r="F1118" s="19"/>
      <c r="G1118" s="19"/>
      <c r="H1118" s="20"/>
      <c r="I1118" s="8"/>
    </row>
    <row r="1119" spans="4:9">
      <c r="D1119" s="2"/>
      <c r="F1119" s="19"/>
      <c r="G1119" s="19"/>
      <c r="H1119" s="20"/>
      <c r="I1119" s="8"/>
    </row>
    <row r="1120" spans="4:9">
      <c r="D1120" s="2"/>
      <c r="F1120" s="19"/>
      <c r="G1120" s="19"/>
      <c r="H1120" s="20"/>
      <c r="I1120" s="8"/>
    </row>
    <row r="1121" spans="4:9">
      <c r="D1121" s="2"/>
      <c r="F1121" s="19"/>
      <c r="G1121" s="19"/>
      <c r="H1121" s="20"/>
      <c r="I1121" s="8"/>
    </row>
    <row r="1122" spans="4:9">
      <c r="D1122" s="2"/>
      <c r="F1122" s="19"/>
      <c r="G1122" s="19"/>
      <c r="H1122" s="20"/>
      <c r="I1122" s="8"/>
    </row>
    <row r="1123" spans="4:9">
      <c r="D1123" s="2"/>
      <c r="F1123" s="19"/>
      <c r="G1123" s="19"/>
      <c r="H1123" s="20"/>
      <c r="I1123" s="8"/>
    </row>
    <row r="1124" spans="4:9">
      <c r="D1124" s="2"/>
      <c r="F1124" s="19"/>
      <c r="G1124" s="19"/>
      <c r="H1124" s="20"/>
      <c r="I1124" s="8"/>
    </row>
    <row r="1125" spans="4:9">
      <c r="D1125" s="2"/>
      <c r="F1125" s="19"/>
      <c r="G1125" s="19"/>
      <c r="H1125" s="20"/>
      <c r="I1125" s="8"/>
    </row>
    <row r="1126" spans="4:9">
      <c r="D1126" s="2"/>
      <c r="F1126" s="19"/>
      <c r="G1126" s="19"/>
      <c r="H1126" s="20"/>
      <c r="I1126" s="8"/>
    </row>
    <row r="1127" spans="4:9">
      <c r="D1127" s="2"/>
      <c r="F1127" s="19"/>
      <c r="G1127" s="19"/>
      <c r="H1127" s="20"/>
      <c r="I1127" s="8"/>
    </row>
    <row r="1128" spans="4:9">
      <c r="D1128" s="2"/>
      <c r="F1128" s="19"/>
      <c r="G1128" s="19"/>
      <c r="H1128" s="20"/>
      <c r="I1128" s="8"/>
    </row>
    <row r="1129" spans="4:9">
      <c r="D1129" s="2"/>
      <c r="F1129" s="19"/>
      <c r="G1129" s="19"/>
      <c r="H1129" s="20"/>
      <c r="I1129" s="8"/>
    </row>
    <row r="1130" spans="4:9">
      <c r="D1130" s="2"/>
      <c r="F1130" s="19"/>
      <c r="G1130" s="19"/>
      <c r="H1130" s="20"/>
      <c r="I1130" s="8"/>
    </row>
    <row r="1131" spans="4:9">
      <c r="D1131" s="2"/>
      <c r="F1131" s="19"/>
      <c r="G1131" s="19"/>
      <c r="H1131" s="20"/>
      <c r="I1131" s="8"/>
    </row>
    <row r="1132" spans="4:9">
      <c r="D1132" s="2"/>
      <c r="F1132" s="19"/>
      <c r="G1132" s="19"/>
      <c r="H1132" s="20"/>
      <c r="I1132" s="8"/>
    </row>
    <row r="1133" spans="4:9">
      <c r="D1133" s="2"/>
      <c r="F1133" s="19"/>
      <c r="G1133" s="19"/>
      <c r="H1133" s="20"/>
      <c r="I1133" s="8"/>
    </row>
    <row r="1134" spans="4:9">
      <c r="D1134" s="2"/>
      <c r="F1134" s="19"/>
      <c r="G1134" s="19"/>
      <c r="H1134" s="20"/>
      <c r="I1134" s="8"/>
    </row>
    <row r="1135" spans="4:9">
      <c r="D1135" s="2"/>
      <c r="F1135" s="19"/>
      <c r="G1135" s="19"/>
      <c r="H1135" s="20"/>
      <c r="I1135" s="8"/>
    </row>
    <row r="1136" spans="4:9">
      <c r="D1136" s="2"/>
      <c r="F1136" s="19"/>
      <c r="G1136" s="19"/>
      <c r="H1136" s="20"/>
      <c r="I1136" s="8"/>
    </row>
    <row r="1137" spans="4:9">
      <c r="D1137" s="2"/>
      <c r="F1137" s="19"/>
      <c r="G1137" s="19"/>
      <c r="H1137" s="20"/>
      <c r="I1137" s="8"/>
    </row>
    <row r="1138" spans="4:9">
      <c r="D1138" s="2"/>
      <c r="F1138" s="19"/>
      <c r="G1138" s="19"/>
      <c r="H1138" s="20"/>
      <c r="I1138" s="8"/>
    </row>
    <row r="1139" spans="4:9">
      <c r="D1139" s="2"/>
      <c r="F1139" s="19"/>
      <c r="G1139" s="19"/>
      <c r="H1139" s="20"/>
      <c r="I1139" s="8"/>
    </row>
  </sheetData>
  <mergeCells count="64">
    <mergeCell ref="B34:B38"/>
    <mergeCell ref="A1:J1"/>
    <mergeCell ref="A2:B3"/>
    <mergeCell ref="C2:C3"/>
    <mergeCell ref="D2:D3"/>
    <mergeCell ref="E2:E3"/>
    <mergeCell ref="F2:F3"/>
    <mergeCell ref="G2:G3"/>
    <mergeCell ref="H2:H3"/>
    <mergeCell ref="I2:I3"/>
    <mergeCell ref="J2:J3"/>
    <mergeCell ref="B132:B136"/>
    <mergeCell ref="B6:B10"/>
    <mergeCell ref="B11:B16"/>
    <mergeCell ref="A61:A64"/>
    <mergeCell ref="B61:B64"/>
    <mergeCell ref="B66:B70"/>
    <mergeCell ref="B44:B48"/>
    <mergeCell ref="B49:B53"/>
    <mergeCell ref="B54:B58"/>
    <mergeCell ref="B39:B43"/>
    <mergeCell ref="B90:B95"/>
    <mergeCell ref="B96:B101"/>
    <mergeCell ref="B102:B105"/>
    <mergeCell ref="B19:B23"/>
    <mergeCell ref="B24:B28"/>
    <mergeCell ref="B29:B33"/>
    <mergeCell ref="B122:B126"/>
    <mergeCell ref="B106:B110"/>
    <mergeCell ref="B127:B131"/>
    <mergeCell ref="B117:B121"/>
    <mergeCell ref="B71:B85"/>
    <mergeCell ref="B113:B116"/>
    <mergeCell ref="B137:B141"/>
    <mergeCell ref="B251:B255"/>
    <mergeCell ref="B256:B261"/>
    <mergeCell ref="B235:B239"/>
    <mergeCell ref="B142:B145"/>
    <mergeCell ref="B146:B150"/>
    <mergeCell ref="B240:B243"/>
    <mergeCell ref="B151:B155"/>
    <mergeCell ref="B156:B160"/>
    <mergeCell ref="B202:B204"/>
    <mergeCell ref="B161:B164"/>
    <mergeCell ref="B165:B168"/>
    <mergeCell ref="B169:B174"/>
    <mergeCell ref="B178:B179"/>
    <mergeCell ref="B181:B184"/>
    <mergeCell ref="A292:J292"/>
    <mergeCell ref="B185:B188"/>
    <mergeCell ref="B214:B222"/>
    <mergeCell ref="B189:B192"/>
    <mergeCell ref="B195:B199"/>
    <mergeCell ref="B200:B201"/>
    <mergeCell ref="B205:B208"/>
    <mergeCell ref="B209:B213"/>
    <mergeCell ref="B262:B266"/>
    <mergeCell ref="B267:B272"/>
    <mergeCell ref="B230:B234"/>
    <mergeCell ref="B273:B278"/>
    <mergeCell ref="B285:B290"/>
    <mergeCell ref="B244:B248"/>
    <mergeCell ref="B279:B284"/>
    <mergeCell ref="B225:B227"/>
  </mergeCells>
  <phoneticPr fontId="2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775C0-041B-4893-8BA9-CE35A1F3D708}">
  <dimension ref="A1:BJ64"/>
  <sheetViews>
    <sheetView topLeftCell="A43" workbookViewId="0">
      <pane xSplit="1" topLeftCell="B1" activePane="topRight" state="frozen"/>
      <selection pane="topRight"/>
    </sheetView>
  </sheetViews>
  <sheetFormatPr defaultColWidth="8.7890625" defaultRowHeight="14.4"/>
  <cols>
    <col min="1" max="1" width="18.15625" customWidth="1"/>
    <col min="2" max="15" width="8.7890625" style="316"/>
    <col min="16" max="20" width="8.7890625" style="316" customWidth="1"/>
    <col min="21" max="21" width="8.7890625" style="316"/>
    <col min="22" max="24" width="8.7890625" style="316" customWidth="1"/>
    <col min="25" max="62" width="8.7890625" style="316"/>
  </cols>
  <sheetData>
    <row r="1" spans="1:62">
      <c r="A1" s="196" t="s">
        <v>1553</v>
      </c>
    </row>
    <row r="2" spans="1:62">
      <c r="A2" s="82"/>
      <c r="B2" s="82" t="s">
        <v>467</v>
      </c>
      <c r="C2" s="82" t="s">
        <v>112</v>
      </c>
      <c r="D2" s="82" t="s">
        <v>575</v>
      </c>
      <c r="E2" s="82" t="s">
        <v>137</v>
      </c>
      <c r="F2" s="82" t="s">
        <v>171</v>
      </c>
      <c r="G2" s="82" t="s">
        <v>159</v>
      </c>
      <c r="H2" s="82" t="s">
        <v>188</v>
      </c>
      <c r="I2" s="82" t="s">
        <v>33</v>
      </c>
      <c r="J2" s="82" t="s">
        <v>193</v>
      </c>
      <c r="K2" s="82" t="s">
        <v>198</v>
      </c>
      <c r="L2" s="82" t="s">
        <v>210</v>
      </c>
      <c r="M2" s="82" t="s">
        <v>218</v>
      </c>
      <c r="N2" s="82" t="s">
        <v>221</v>
      </c>
      <c r="O2" s="82" t="s">
        <v>224</v>
      </c>
      <c r="P2" s="82" t="s">
        <v>234</v>
      </c>
      <c r="Q2" s="82" t="s">
        <v>245</v>
      </c>
      <c r="R2" s="82" t="s">
        <v>251</v>
      </c>
      <c r="S2" s="82" t="s">
        <v>258</v>
      </c>
      <c r="T2" s="82" t="s">
        <v>264</v>
      </c>
      <c r="U2" s="82" t="s">
        <v>269</v>
      </c>
      <c r="V2" s="82" t="s">
        <v>279</v>
      </c>
      <c r="W2" s="82" t="s">
        <v>285</v>
      </c>
      <c r="X2" s="8" t="s">
        <v>7</v>
      </c>
      <c r="Y2" s="82" t="s">
        <v>583</v>
      </c>
      <c r="Z2" s="82" t="s">
        <v>303</v>
      </c>
      <c r="AA2" s="82" t="s">
        <v>46</v>
      </c>
      <c r="AB2" s="82" t="s">
        <v>589</v>
      </c>
      <c r="AC2" s="82" t="s">
        <v>50</v>
      </c>
      <c r="AD2" s="82" t="s">
        <v>332</v>
      </c>
      <c r="AE2" s="82" t="s">
        <v>584</v>
      </c>
      <c r="AF2" s="82" t="s">
        <v>348</v>
      </c>
      <c r="AG2" s="82" t="s">
        <v>364</v>
      </c>
      <c r="AH2" s="82" t="s">
        <v>65</v>
      </c>
      <c r="AI2" s="82" t="s">
        <v>372</v>
      </c>
      <c r="AJ2" s="82" t="s">
        <v>473</v>
      </c>
      <c r="AK2" s="82" t="s">
        <v>379</v>
      </c>
      <c r="AL2" s="147" t="s">
        <v>19</v>
      </c>
      <c r="AM2" s="82" t="s">
        <v>107</v>
      </c>
      <c r="AN2" s="82" t="s">
        <v>384</v>
      </c>
      <c r="AO2" s="82" t="s">
        <v>391</v>
      </c>
      <c r="AP2" s="82" t="s">
        <v>478</v>
      </c>
      <c r="AQ2" s="82" t="s">
        <v>480</v>
      </c>
      <c r="AR2" s="82" t="s">
        <v>486</v>
      </c>
      <c r="AS2" s="82" t="s">
        <v>397</v>
      </c>
      <c r="AT2" s="82" t="s">
        <v>493</v>
      </c>
      <c r="AU2" s="82" t="s">
        <v>588</v>
      </c>
      <c r="AV2" s="82" t="s">
        <v>500</v>
      </c>
      <c r="AW2" s="82" t="s">
        <v>407</v>
      </c>
      <c r="AX2" s="82" t="s">
        <v>502</v>
      </c>
      <c r="AY2" s="82" t="s">
        <v>582</v>
      </c>
      <c r="AZ2" s="82" t="s">
        <v>516</v>
      </c>
      <c r="BA2" s="82" t="s">
        <v>418</v>
      </c>
      <c r="BB2" s="82" t="s">
        <v>422</v>
      </c>
      <c r="BC2" s="82" t="s">
        <v>587</v>
      </c>
      <c r="BD2" s="82" t="s">
        <v>527</v>
      </c>
      <c r="BE2" s="82" t="s">
        <v>439</v>
      </c>
      <c r="BF2" s="82" t="s">
        <v>449</v>
      </c>
      <c r="BG2" s="82" t="s">
        <v>109</v>
      </c>
      <c r="BH2" s="82" t="s">
        <v>431</v>
      </c>
      <c r="BI2" s="9" t="s">
        <v>535</v>
      </c>
      <c r="BJ2" s="82" t="s">
        <v>454</v>
      </c>
    </row>
    <row r="3" spans="1:62">
      <c r="A3" s="82" t="s">
        <v>467</v>
      </c>
      <c r="B3" s="317">
        <v>1</v>
      </c>
      <c r="C3" s="317">
        <v>-4.82E-2</v>
      </c>
      <c r="D3" s="317">
        <v>0.126</v>
      </c>
      <c r="E3" s="317">
        <v>-0.31430000000000002</v>
      </c>
      <c r="F3" s="317">
        <v>-8.1799999999999998E-2</v>
      </c>
      <c r="G3" s="317">
        <v>0.28420000000000001</v>
      </c>
      <c r="H3" s="317">
        <v>-1.5299999999999999E-2</v>
      </c>
      <c r="I3" s="317">
        <v>3.4000000000000002E-2</v>
      </c>
      <c r="J3" s="317">
        <v>-4.5400000000000003E-2</v>
      </c>
      <c r="K3" s="317">
        <v>4.7800000000000002E-2</v>
      </c>
      <c r="L3" s="317">
        <v>-3.3500000000000002E-2</v>
      </c>
      <c r="M3" s="317">
        <v>0.24929999999999999</v>
      </c>
      <c r="N3" s="317">
        <v>-5.2499999999999998E-2</v>
      </c>
      <c r="O3" s="317">
        <v>0.1638</v>
      </c>
      <c r="P3" s="317">
        <v>3.9E-2</v>
      </c>
      <c r="Q3" s="317">
        <v>1.34E-2</v>
      </c>
      <c r="R3" s="317">
        <v>-8.3999999999999995E-3</v>
      </c>
      <c r="S3" s="317">
        <v>1.7899999999999999E-2</v>
      </c>
      <c r="T3" s="317">
        <v>-4.65E-2</v>
      </c>
      <c r="U3" s="317">
        <v>-0.10929999999999999</v>
      </c>
      <c r="V3" s="317">
        <v>-0.14680000000000001</v>
      </c>
      <c r="W3" s="317">
        <v>-0.15429999999999999</v>
      </c>
      <c r="X3" s="317">
        <v>-2.18E-2</v>
      </c>
      <c r="Y3" s="317">
        <v>-5.5100000000000003E-2</v>
      </c>
      <c r="Z3" s="317">
        <v>0.42399999999999999</v>
      </c>
      <c r="AA3" s="317">
        <v>-0.17269999999999999</v>
      </c>
      <c r="AB3" s="317">
        <v>-1.29E-2</v>
      </c>
      <c r="AC3" s="317">
        <v>-7.17E-2</v>
      </c>
      <c r="AD3" s="317">
        <v>0.107</v>
      </c>
      <c r="AE3" s="317">
        <v>-1.2E-2</v>
      </c>
      <c r="AF3" s="317">
        <v>-0.11890000000000001</v>
      </c>
      <c r="AG3" s="317">
        <v>0.30259999999999998</v>
      </c>
      <c r="AH3" s="317">
        <v>7.46E-2</v>
      </c>
      <c r="AI3" s="317">
        <v>0.22439999999999999</v>
      </c>
      <c r="AJ3" s="317">
        <v>0.55259999999999998</v>
      </c>
      <c r="AK3" s="317">
        <v>-3.39E-2</v>
      </c>
      <c r="AL3" s="317">
        <v>1.7899999999999999E-2</v>
      </c>
      <c r="AM3" s="317">
        <v>5.62E-2</v>
      </c>
      <c r="AN3" s="317">
        <v>-6.3100000000000003E-2</v>
      </c>
      <c r="AO3" s="317">
        <v>-3.3099999999999997E-2</v>
      </c>
      <c r="AP3" s="317">
        <v>0.35289999999999999</v>
      </c>
      <c r="AQ3" s="317">
        <v>-3.4200000000000001E-2</v>
      </c>
      <c r="AR3" s="317">
        <v>0.11700000000000001</v>
      </c>
      <c r="AS3" s="317">
        <v>-6.6699999999999995E-2</v>
      </c>
      <c r="AT3" s="317">
        <v>-2.1600000000000001E-2</v>
      </c>
      <c r="AU3" s="317">
        <v>2.18E-2</v>
      </c>
      <c r="AV3" s="317">
        <v>-0.25440000000000002</v>
      </c>
      <c r="AW3" s="317">
        <v>-0.10440000000000001</v>
      </c>
      <c r="AX3" s="317">
        <v>-0.30680000000000002</v>
      </c>
      <c r="AY3" s="317">
        <v>0.16170000000000001</v>
      </c>
      <c r="AZ3" s="317">
        <v>0.38229999999999997</v>
      </c>
      <c r="BA3" s="317">
        <v>0.35549999999999998</v>
      </c>
      <c r="BB3" s="317">
        <v>3.0300000000000001E-2</v>
      </c>
      <c r="BC3" s="317">
        <v>-0.13070000000000001</v>
      </c>
      <c r="BD3" s="317">
        <v>0.83520000000000005</v>
      </c>
      <c r="BE3" s="317">
        <v>7.8399999999999997E-2</v>
      </c>
      <c r="BF3" s="317">
        <v>0.2198</v>
      </c>
      <c r="BG3" s="317">
        <v>7.7700000000000005E-2</v>
      </c>
      <c r="BH3" s="317">
        <v>-7.5499999999999998E-2</v>
      </c>
      <c r="BI3" s="317">
        <v>0.27150000000000002</v>
      </c>
      <c r="BJ3" s="317">
        <v>-4.7199999999999999E-2</v>
      </c>
    </row>
    <row r="4" spans="1:62">
      <c r="A4" s="82" t="s">
        <v>112</v>
      </c>
      <c r="B4" s="317">
        <v>-4.82E-2</v>
      </c>
      <c r="C4" s="317">
        <v>1</v>
      </c>
      <c r="D4" s="317">
        <v>0.16600000000000001</v>
      </c>
      <c r="E4" s="317">
        <v>0.81059999999999999</v>
      </c>
      <c r="F4" s="317">
        <v>0.69259999999999999</v>
      </c>
      <c r="G4" s="317">
        <v>-8.5000000000000006E-3</v>
      </c>
      <c r="H4" s="317">
        <v>-3.7600000000000001E-2</v>
      </c>
      <c r="I4" s="317">
        <v>1.9400000000000001E-2</v>
      </c>
      <c r="J4" s="317">
        <v>0.12180000000000001</v>
      </c>
      <c r="K4" s="317">
        <v>-0.22839999999999999</v>
      </c>
      <c r="L4" s="317">
        <v>-4.5100000000000001E-2</v>
      </c>
      <c r="M4" s="317">
        <v>-0.63770000000000004</v>
      </c>
      <c r="N4" s="317">
        <v>2.2700000000000001E-2</v>
      </c>
      <c r="O4" s="317">
        <v>-4.9299999999999997E-2</v>
      </c>
      <c r="P4" s="317">
        <v>0.2319</v>
      </c>
      <c r="Q4" s="317">
        <v>-7.1400000000000005E-2</v>
      </c>
      <c r="R4" s="317">
        <v>-0.1215</v>
      </c>
      <c r="S4" s="317">
        <v>-5.6399999999999999E-2</v>
      </c>
      <c r="T4" s="317">
        <v>-0.22670000000000001</v>
      </c>
      <c r="U4" s="317">
        <v>-4.7600000000000003E-2</v>
      </c>
      <c r="V4" s="317">
        <v>-0.1053</v>
      </c>
      <c r="W4" s="317">
        <v>-9.7199999999999995E-2</v>
      </c>
      <c r="X4" s="317">
        <v>-0.3619</v>
      </c>
      <c r="Y4" s="317">
        <v>-4.48E-2</v>
      </c>
      <c r="Z4" s="317">
        <v>0.1116</v>
      </c>
      <c r="AA4" s="317">
        <v>4.7300000000000002E-2</v>
      </c>
      <c r="AB4" s="317">
        <v>-0.36109999999999998</v>
      </c>
      <c r="AC4" s="317">
        <v>0.4577</v>
      </c>
      <c r="AD4" s="317">
        <v>-0.57220000000000004</v>
      </c>
      <c r="AE4" s="317">
        <v>-0.3397</v>
      </c>
      <c r="AF4" s="317">
        <v>-0.3765</v>
      </c>
      <c r="AG4" s="317">
        <v>-6.6E-3</v>
      </c>
      <c r="AH4" s="317">
        <v>0.76090000000000002</v>
      </c>
      <c r="AI4" s="317">
        <v>-0.47670000000000001</v>
      </c>
      <c r="AJ4" s="317">
        <v>-0.1535</v>
      </c>
      <c r="AK4" s="317">
        <v>0.13880000000000001</v>
      </c>
      <c r="AL4" s="317">
        <v>0.1802</v>
      </c>
      <c r="AM4" s="317">
        <v>0.60250000000000004</v>
      </c>
      <c r="AN4" s="317">
        <v>-8.6999999999999994E-2</v>
      </c>
      <c r="AO4" s="317">
        <v>-0.40639999999999998</v>
      </c>
      <c r="AP4" s="317">
        <v>7.0800000000000002E-2</v>
      </c>
      <c r="AQ4" s="317">
        <v>-1.5900000000000001E-2</v>
      </c>
      <c r="AR4" s="317">
        <v>-0.12809999999999999</v>
      </c>
      <c r="AS4" s="317">
        <v>-0.14729999999999999</v>
      </c>
      <c r="AT4" s="317">
        <v>-8.6699999999999999E-2</v>
      </c>
      <c r="AU4" s="317">
        <v>-4.7500000000000001E-2</v>
      </c>
      <c r="AV4" s="317">
        <v>-0.1651</v>
      </c>
      <c r="AW4" s="317">
        <v>0.20430000000000001</v>
      </c>
      <c r="AX4" s="317">
        <v>-0.17829999999999999</v>
      </c>
      <c r="AY4" s="317">
        <v>-0.6492</v>
      </c>
      <c r="AZ4" s="317">
        <v>5.9200000000000003E-2</v>
      </c>
      <c r="BA4" s="317">
        <v>0.40029999999999999</v>
      </c>
      <c r="BB4" s="317">
        <v>6.5500000000000003E-2</v>
      </c>
      <c r="BC4" s="317">
        <v>0.49320000000000003</v>
      </c>
      <c r="BD4" s="317">
        <v>-0.1003</v>
      </c>
      <c r="BE4" s="317">
        <v>-4.36E-2</v>
      </c>
      <c r="BF4" s="317">
        <v>0.5423</v>
      </c>
      <c r="BG4" s="317">
        <v>0.28510000000000002</v>
      </c>
      <c r="BH4" s="317">
        <v>0.495</v>
      </c>
      <c r="BI4" s="317">
        <v>0.2034</v>
      </c>
      <c r="BJ4" s="317">
        <v>-0.30890000000000001</v>
      </c>
    </row>
    <row r="5" spans="1:62">
      <c r="A5" s="82" t="s">
        <v>575</v>
      </c>
      <c r="B5" s="317">
        <v>0.126</v>
      </c>
      <c r="C5" s="317">
        <v>0.16600000000000001</v>
      </c>
      <c r="D5" s="317">
        <v>1</v>
      </c>
      <c r="E5" s="317">
        <v>0.1736</v>
      </c>
      <c r="F5" s="317">
        <v>0.20880000000000001</v>
      </c>
      <c r="G5" s="317">
        <v>4.6399999999999997E-2</v>
      </c>
      <c r="H5" s="317">
        <v>-1.4500000000000001E-2</v>
      </c>
      <c r="I5" s="317">
        <v>6.08E-2</v>
      </c>
      <c r="J5" s="317">
        <v>-5.7999999999999996E-3</v>
      </c>
      <c r="K5" s="317">
        <v>-8.3500000000000005E-2</v>
      </c>
      <c r="L5" s="317">
        <v>-4.2700000000000002E-2</v>
      </c>
      <c r="M5" s="317">
        <v>-6.5799999999999997E-2</v>
      </c>
      <c r="N5" s="317">
        <v>-9.8599999999999993E-2</v>
      </c>
      <c r="O5" s="317">
        <v>2.5999999999999999E-3</v>
      </c>
      <c r="P5" s="317">
        <v>0.14050000000000001</v>
      </c>
      <c r="Q5" s="317">
        <v>8.8999999999999999E-3</v>
      </c>
      <c r="R5" s="317">
        <v>-4.5100000000000001E-2</v>
      </c>
      <c r="S5" s="317">
        <v>1.5599999999999999E-2</v>
      </c>
      <c r="T5" s="317">
        <v>-0.13109999999999999</v>
      </c>
      <c r="U5" s="317">
        <v>-3.3E-3</v>
      </c>
      <c r="V5" s="317">
        <v>-4.3700000000000003E-2</v>
      </c>
      <c r="W5" s="317">
        <v>-3.0200000000000001E-2</v>
      </c>
      <c r="X5" s="317">
        <v>-0.33289999999999997</v>
      </c>
      <c r="Y5" s="317">
        <v>-3.6700000000000003E-2</v>
      </c>
      <c r="Z5" s="317">
        <v>7.1199999999999999E-2</v>
      </c>
      <c r="AA5" s="317">
        <v>-2.7699999999999999E-2</v>
      </c>
      <c r="AB5" s="317">
        <v>-9.5200000000000007E-2</v>
      </c>
      <c r="AC5" s="317">
        <v>-1.6899999999999998E-2</v>
      </c>
      <c r="AD5" s="317">
        <v>-8.7800000000000003E-2</v>
      </c>
      <c r="AE5" s="317">
        <v>-0.13800000000000001</v>
      </c>
      <c r="AF5" s="317">
        <v>-0.1179</v>
      </c>
      <c r="AG5" s="317">
        <v>0.1066</v>
      </c>
      <c r="AH5" s="317">
        <v>6.1499999999999999E-2</v>
      </c>
      <c r="AI5" s="317">
        <v>-2.7000000000000001E-3</v>
      </c>
      <c r="AJ5" s="317">
        <v>1.2E-2</v>
      </c>
      <c r="AK5" s="317">
        <v>-5.1999999999999998E-3</v>
      </c>
      <c r="AL5" s="317">
        <v>0.13919999999999999</v>
      </c>
      <c r="AM5" s="317">
        <v>6.5000000000000002E-2</v>
      </c>
      <c r="AN5" s="317">
        <v>2.64E-2</v>
      </c>
      <c r="AO5" s="317">
        <v>-8.3500000000000005E-2</v>
      </c>
      <c r="AP5" s="317">
        <v>0.1021</v>
      </c>
      <c r="AQ5" s="317">
        <v>5.2600000000000001E-2</v>
      </c>
      <c r="AR5" s="317">
        <v>6.6199999999999995E-2</v>
      </c>
      <c r="AS5" s="317">
        <v>1.2500000000000001E-2</v>
      </c>
      <c r="AT5" s="317">
        <v>-1.7000000000000001E-2</v>
      </c>
      <c r="AU5" s="317">
        <v>-8.3999999999999995E-3</v>
      </c>
      <c r="AV5" s="317">
        <v>-5.0799999999999998E-2</v>
      </c>
      <c r="AW5" s="317">
        <v>-1.6199999999999999E-2</v>
      </c>
      <c r="AX5" s="317">
        <v>-2.92E-2</v>
      </c>
      <c r="AY5" s="317">
        <v>2.7699999999999999E-2</v>
      </c>
      <c r="AZ5" s="317">
        <v>-5.5100000000000003E-2</v>
      </c>
      <c r="BA5" s="317">
        <v>9.35E-2</v>
      </c>
      <c r="BB5" s="317">
        <v>-3.3500000000000002E-2</v>
      </c>
      <c r="BC5" s="317">
        <v>-3.4200000000000001E-2</v>
      </c>
      <c r="BD5" s="317">
        <v>5.8799999999999998E-2</v>
      </c>
      <c r="BE5" s="317">
        <v>2.8899999999999999E-2</v>
      </c>
      <c r="BF5" s="317">
        <v>0.2175</v>
      </c>
      <c r="BG5" s="317">
        <v>2.46E-2</v>
      </c>
      <c r="BH5" s="317">
        <v>3.0499999999999999E-2</v>
      </c>
      <c r="BI5" s="317">
        <v>0.1242</v>
      </c>
      <c r="BJ5" s="317">
        <v>-0.22900000000000001</v>
      </c>
    </row>
    <row r="6" spans="1:62">
      <c r="A6" s="82" t="s">
        <v>137</v>
      </c>
      <c r="B6" s="317">
        <v>-0.31430000000000002</v>
      </c>
      <c r="C6" s="317">
        <v>0.81059999999999999</v>
      </c>
      <c r="D6" s="317">
        <v>0.1736</v>
      </c>
      <c r="E6" s="317">
        <v>1</v>
      </c>
      <c r="F6" s="317">
        <v>0.71330000000000005</v>
      </c>
      <c r="G6" s="317">
        <v>-0.2409</v>
      </c>
      <c r="H6" s="317">
        <v>-5.5999999999999999E-3</v>
      </c>
      <c r="I6" s="317">
        <v>-1.3299999999999999E-2</v>
      </c>
      <c r="J6" s="317">
        <v>0.10290000000000001</v>
      </c>
      <c r="K6" s="317">
        <v>-0.20430000000000001</v>
      </c>
      <c r="L6" s="317">
        <v>1.5E-3</v>
      </c>
      <c r="M6" s="317">
        <v>-0.6522</v>
      </c>
      <c r="N6" s="317">
        <v>1.5599999999999999E-2</v>
      </c>
      <c r="O6" s="317">
        <v>-0.12759999999999999</v>
      </c>
      <c r="P6" s="317">
        <v>0.1719</v>
      </c>
      <c r="Q6" s="317">
        <v>-4.6199999999999998E-2</v>
      </c>
      <c r="R6" s="317">
        <v>-8.9300000000000004E-2</v>
      </c>
      <c r="S6" s="317">
        <v>-4.3700000000000003E-2</v>
      </c>
      <c r="T6" s="317">
        <v>-0.19639999999999999</v>
      </c>
      <c r="U6" s="317">
        <v>-3.5000000000000001E-3</v>
      </c>
      <c r="V6" s="317">
        <v>4.1000000000000003E-3</v>
      </c>
      <c r="W6" s="317">
        <v>-1.4E-3</v>
      </c>
      <c r="X6" s="317">
        <v>-0.32179999999999997</v>
      </c>
      <c r="Y6" s="317">
        <v>-6.1000000000000004E-3</v>
      </c>
      <c r="Z6" s="317">
        <v>-0.24360000000000001</v>
      </c>
      <c r="AA6" s="317">
        <v>0.1623</v>
      </c>
      <c r="AB6" s="317">
        <v>-0.27979999999999999</v>
      </c>
      <c r="AC6" s="317">
        <v>0.43619999999999998</v>
      </c>
      <c r="AD6" s="317">
        <v>-0.54890000000000005</v>
      </c>
      <c r="AE6" s="317">
        <v>-0.2903</v>
      </c>
      <c r="AF6" s="317">
        <v>-0.33050000000000002</v>
      </c>
      <c r="AG6" s="317">
        <v>-0.20699999999999999</v>
      </c>
      <c r="AH6" s="317">
        <v>0.64910000000000001</v>
      </c>
      <c r="AI6" s="317">
        <v>-0.62429999999999997</v>
      </c>
      <c r="AJ6" s="317">
        <v>-0.30530000000000002</v>
      </c>
      <c r="AK6" s="317">
        <v>0.18060000000000001</v>
      </c>
      <c r="AL6" s="317">
        <v>0.1232</v>
      </c>
      <c r="AM6" s="317">
        <v>0.54579999999999995</v>
      </c>
      <c r="AN6" s="317">
        <v>-3.95E-2</v>
      </c>
      <c r="AO6" s="317">
        <v>-0.33739999999999998</v>
      </c>
      <c r="AP6" s="317">
        <v>-9.7500000000000003E-2</v>
      </c>
      <c r="AQ6" s="317">
        <v>0.1134</v>
      </c>
      <c r="AR6" s="317">
        <v>-7.6999999999999999E-2</v>
      </c>
      <c r="AS6" s="317">
        <v>-5.6099999999999997E-2</v>
      </c>
      <c r="AT6" s="317">
        <v>-3.6900000000000002E-2</v>
      </c>
      <c r="AU6" s="317">
        <v>-6.8500000000000005E-2</v>
      </c>
      <c r="AV6" s="317">
        <v>3.8300000000000001E-2</v>
      </c>
      <c r="AW6" s="317">
        <v>0.21779999999999999</v>
      </c>
      <c r="AX6" s="317">
        <v>-9.69E-2</v>
      </c>
      <c r="AY6" s="317">
        <v>-0.46060000000000001</v>
      </c>
      <c r="AZ6" s="317">
        <v>-5.0000000000000001E-3</v>
      </c>
      <c r="BA6" s="317">
        <v>0.23769999999999999</v>
      </c>
      <c r="BB6" s="317">
        <v>1.52E-2</v>
      </c>
      <c r="BC6" s="317">
        <v>0.62309999999999999</v>
      </c>
      <c r="BD6" s="317">
        <v>-0.30759999999999998</v>
      </c>
      <c r="BE6" s="317">
        <v>-0.1106</v>
      </c>
      <c r="BF6" s="317">
        <v>0.40229999999999999</v>
      </c>
      <c r="BG6" s="317">
        <v>0.28179999999999999</v>
      </c>
      <c r="BH6" s="317">
        <v>0.46660000000000001</v>
      </c>
      <c r="BI6" s="317">
        <v>0.1545</v>
      </c>
      <c r="BJ6" s="317">
        <v>-0.26840000000000003</v>
      </c>
    </row>
    <row r="7" spans="1:62">
      <c r="A7" s="82" t="s">
        <v>171</v>
      </c>
      <c r="B7" s="317">
        <v>-8.1799999999999998E-2</v>
      </c>
      <c r="C7" s="317">
        <v>0.69259999999999999</v>
      </c>
      <c r="D7" s="317">
        <v>0.20880000000000001</v>
      </c>
      <c r="E7" s="317">
        <v>0.71330000000000005</v>
      </c>
      <c r="F7" s="317">
        <v>1</v>
      </c>
      <c r="G7" s="317">
        <v>-0.16159999999999999</v>
      </c>
      <c r="H7" s="317">
        <v>-9.4899999999999998E-2</v>
      </c>
      <c r="I7" s="317">
        <v>-0.04</v>
      </c>
      <c r="J7" s="317">
        <v>0.1429</v>
      </c>
      <c r="K7" s="317">
        <v>-0.19620000000000001</v>
      </c>
      <c r="L7" s="317">
        <v>-5.62E-2</v>
      </c>
      <c r="M7" s="317">
        <v>-0.63770000000000004</v>
      </c>
      <c r="N7" s="317">
        <v>-5.9700000000000003E-2</v>
      </c>
      <c r="O7" s="317">
        <v>-0.1197</v>
      </c>
      <c r="P7" s="317">
        <v>0.20200000000000001</v>
      </c>
      <c r="Q7" s="317">
        <v>-3.4099999999999998E-2</v>
      </c>
      <c r="R7" s="317">
        <v>-8.48E-2</v>
      </c>
      <c r="S7" s="317">
        <v>-2.6200000000000001E-2</v>
      </c>
      <c r="T7" s="317">
        <v>-0.22289999999999999</v>
      </c>
      <c r="U7" s="317">
        <v>5.4000000000000003E-3</v>
      </c>
      <c r="V7" s="317">
        <v>1.7600000000000001E-2</v>
      </c>
      <c r="W7" s="317">
        <v>1.1900000000000001E-2</v>
      </c>
      <c r="X7" s="317">
        <v>-0.27260000000000001</v>
      </c>
      <c r="Y7" s="317">
        <v>-4.4999999999999998E-2</v>
      </c>
      <c r="Z7" s="317">
        <v>-0.1419</v>
      </c>
      <c r="AA7" s="317">
        <v>7.4899999999999994E-2</v>
      </c>
      <c r="AB7" s="317">
        <v>-0.36449999999999999</v>
      </c>
      <c r="AC7" s="317">
        <v>0.2722</v>
      </c>
      <c r="AD7" s="317">
        <v>-0.53979999999999995</v>
      </c>
      <c r="AE7" s="317">
        <v>-0.25650000000000001</v>
      </c>
      <c r="AF7" s="317">
        <v>-0.30630000000000002</v>
      </c>
      <c r="AG7" s="317">
        <v>-0.14130000000000001</v>
      </c>
      <c r="AH7" s="317">
        <v>0.58340000000000003</v>
      </c>
      <c r="AI7" s="317">
        <v>-0.66349999999999998</v>
      </c>
      <c r="AJ7" s="317">
        <v>-0.1943</v>
      </c>
      <c r="AK7" s="317">
        <v>7.8899999999999998E-2</v>
      </c>
      <c r="AL7" s="317">
        <v>8.3500000000000005E-2</v>
      </c>
      <c r="AM7" s="317">
        <v>0.48149999999999998</v>
      </c>
      <c r="AN7" s="317">
        <v>-2.3999999999999998E-3</v>
      </c>
      <c r="AO7" s="317">
        <v>-0.39200000000000002</v>
      </c>
      <c r="AP7" s="317">
        <v>4.2700000000000002E-2</v>
      </c>
      <c r="AQ7" s="317">
        <v>5.6800000000000003E-2</v>
      </c>
      <c r="AR7" s="317">
        <v>-2.3800000000000002E-2</v>
      </c>
      <c r="AS7" s="317">
        <v>-0.1123</v>
      </c>
      <c r="AT7" s="317">
        <v>-2.1000000000000001E-2</v>
      </c>
      <c r="AU7" s="317">
        <v>-2.3400000000000001E-2</v>
      </c>
      <c r="AV7" s="317">
        <v>1.29E-2</v>
      </c>
      <c r="AW7" s="317">
        <v>0.1336</v>
      </c>
      <c r="AX7" s="317">
        <v>-0.1318</v>
      </c>
      <c r="AY7" s="317">
        <v>-0.28299999999999997</v>
      </c>
      <c r="AZ7" s="317">
        <v>7.85E-2</v>
      </c>
      <c r="BA7" s="317">
        <v>0.3407</v>
      </c>
      <c r="BB7" s="317">
        <v>8.0799999999999997E-2</v>
      </c>
      <c r="BC7" s="317">
        <v>0.43340000000000001</v>
      </c>
      <c r="BD7" s="317">
        <v>-0.13300000000000001</v>
      </c>
      <c r="BE7" s="317">
        <v>-5.5300000000000002E-2</v>
      </c>
      <c r="BF7" s="317">
        <v>0.41499999999999998</v>
      </c>
      <c r="BG7" s="317">
        <v>0.19650000000000001</v>
      </c>
      <c r="BH7" s="317">
        <v>0.31690000000000002</v>
      </c>
      <c r="BI7" s="317">
        <v>0.1762</v>
      </c>
      <c r="BJ7" s="317">
        <v>-0.23150000000000001</v>
      </c>
    </row>
    <row r="8" spans="1:62">
      <c r="A8" s="82" t="s">
        <v>159</v>
      </c>
      <c r="B8" s="317">
        <v>0.28420000000000001</v>
      </c>
      <c r="C8" s="317">
        <v>-8.5000000000000006E-3</v>
      </c>
      <c r="D8" s="317">
        <v>4.6399999999999997E-2</v>
      </c>
      <c r="E8" s="317">
        <v>-0.2409</v>
      </c>
      <c r="F8" s="317">
        <v>-0.16159999999999999</v>
      </c>
      <c r="G8" s="317">
        <v>1</v>
      </c>
      <c r="H8" s="317">
        <v>-0.1444</v>
      </c>
      <c r="I8" s="317">
        <v>5.5599999999999997E-2</v>
      </c>
      <c r="J8" s="317">
        <v>4.9599999999999998E-2</v>
      </c>
      <c r="K8" s="317">
        <v>2.0000000000000001E-4</v>
      </c>
      <c r="L8" s="317">
        <v>-6.3700000000000007E-2</v>
      </c>
      <c r="M8" s="317">
        <v>0.1366</v>
      </c>
      <c r="N8" s="317">
        <v>-1.4999999999999999E-2</v>
      </c>
      <c r="O8" s="317">
        <v>0.20730000000000001</v>
      </c>
      <c r="P8" s="317">
        <v>0.19500000000000001</v>
      </c>
      <c r="Q8" s="317">
        <v>2.7000000000000001E-3</v>
      </c>
      <c r="R8" s="317">
        <v>-2.7799999999999998E-2</v>
      </c>
      <c r="S8" s="317">
        <v>5.5199999999999999E-2</v>
      </c>
      <c r="T8" s="317">
        <v>-0.1032</v>
      </c>
      <c r="U8" s="317">
        <v>3.4799999999999998E-2</v>
      </c>
      <c r="V8" s="317">
        <v>-1.4999999999999999E-2</v>
      </c>
      <c r="W8" s="317">
        <v>1.11E-2</v>
      </c>
      <c r="X8" s="317">
        <v>-1.7399999999999999E-2</v>
      </c>
      <c r="Y8" s="317">
        <v>3.8999999999999998E-3</v>
      </c>
      <c r="Z8" s="317">
        <v>0.45129999999999998</v>
      </c>
      <c r="AA8" s="317">
        <v>-0.05</v>
      </c>
      <c r="AB8" s="317">
        <v>5.28E-2</v>
      </c>
      <c r="AC8" s="317">
        <v>5.4399999999999997E-2</v>
      </c>
      <c r="AD8" s="317">
        <v>0.19939999999999999</v>
      </c>
      <c r="AE8" s="317">
        <v>3.1E-2</v>
      </c>
      <c r="AF8" s="317">
        <v>0.1169</v>
      </c>
      <c r="AG8" s="317">
        <v>0.93789999999999996</v>
      </c>
      <c r="AH8" s="317">
        <v>2.3099999999999999E-2</v>
      </c>
      <c r="AI8" s="317">
        <v>0.46810000000000002</v>
      </c>
      <c r="AJ8" s="317">
        <v>0.14249999999999999</v>
      </c>
      <c r="AK8" s="317">
        <v>-6.3E-2</v>
      </c>
      <c r="AL8" s="317">
        <v>1.7399999999999999E-2</v>
      </c>
      <c r="AM8" s="317">
        <v>-1.3100000000000001E-2</v>
      </c>
      <c r="AN8" s="317">
        <v>1.15E-2</v>
      </c>
      <c r="AO8" s="317">
        <v>0.11559999999999999</v>
      </c>
      <c r="AP8" s="317">
        <v>0.1275</v>
      </c>
      <c r="AQ8" s="317">
        <v>-6.6500000000000004E-2</v>
      </c>
      <c r="AR8" s="317">
        <v>-4.9799999999999997E-2</v>
      </c>
      <c r="AS8" s="317">
        <v>-0.20669999999999999</v>
      </c>
      <c r="AT8" s="317">
        <v>-0.1057</v>
      </c>
      <c r="AU8" s="317">
        <v>6.1999999999999998E-3</v>
      </c>
      <c r="AV8" s="317">
        <v>-0.28449999999999998</v>
      </c>
      <c r="AW8" s="317">
        <v>-3.1800000000000002E-2</v>
      </c>
      <c r="AX8" s="317">
        <v>8.0399999999999999E-2</v>
      </c>
      <c r="AY8" s="317">
        <v>7.1400000000000005E-2</v>
      </c>
      <c r="AZ8" s="317">
        <v>8.1500000000000003E-2</v>
      </c>
      <c r="BA8" s="317">
        <v>0.1048</v>
      </c>
      <c r="BB8" s="317">
        <v>1.52E-2</v>
      </c>
      <c r="BC8" s="317">
        <v>-5.57E-2</v>
      </c>
      <c r="BD8" s="317">
        <v>0.20480000000000001</v>
      </c>
      <c r="BE8" s="317">
        <v>0.1414</v>
      </c>
      <c r="BF8" s="317">
        <v>1.46E-2</v>
      </c>
      <c r="BG8" s="317">
        <v>-6.8785E-5</v>
      </c>
      <c r="BH8" s="317">
        <v>-0.159</v>
      </c>
      <c r="BI8" s="317">
        <v>-4.5699999999999998E-2</v>
      </c>
      <c r="BJ8" s="317">
        <v>-9.6000000000000002E-2</v>
      </c>
    </row>
    <row r="9" spans="1:62">
      <c r="A9" s="82" t="s">
        <v>188</v>
      </c>
      <c r="B9" s="317">
        <v>-1.5299999999999999E-2</v>
      </c>
      <c r="C9" s="317">
        <v>-3.7600000000000001E-2</v>
      </c>
      <c r="D9" s="317">
        <v>-1.4500000000000001E-2</v>
      </c>
      <c r="E9" s="317">
        <v>-5.5999999999999999E-3</v>
      </c>
      <c r="F9" s="317">
        <v>-9.4899999999999998E-2</v>
      </c>
      <c r="G9" s="317">
        <v>-0.1444</v>
      </c>
      <c r="H9" s="317">
        <v>1</v>
      </c>
      <c r="I9" s="317">
        <v>-1.7999999999999999E-2</v>
      </c>
      <c r="J9" s="317">
        <v>-0.10680000000000001</v>
      </c>
      <c r="K9" s="317">
        <v>0.64659999999999995</v>
      </c>
      <c r="L9" s="317">
        <v>0.89449999999999996</v>
      </c>
      <c r="M9" s="317">
        <v>7.9500000000000001E-2</v>
      </c>
      <c r="N9" s="317">
        <v>7.1900000000000006E-2</v>
      </c>
      <c r="O9" s="317">
        <v>-1.0800000000000001E-2</v>
      </c>
      <c r="P9" s="317">
        <v>-3.1600000000000003E-2</v>
      </c>
      <c r="Q9" s="317">
        <v>1.1999999999999999E-3</v>
      </c>
      <c r="R9" s="317">
        <v>5.3E-3</v>
      </c>
      <c r="S9" s="317">
        <v>-2.5000000000000001E-3</v>
      </c>
      <c r="T9" s="317">
        <v>4.5400000000000003E-2</v>
      </c>
      <c r="U9" s="317">
        <v>1.6899999999999998E-2</v>
      </c>
      <c r="V9" s="317">
        <v>-3.0999999999999999E-3</v>
      </c>
      <c r="W9" s="317">
        <v>7.1999999999999998E-3</v>
      </c>
      <c r="X9" s="317">
        <v>2.8000000000000001E-2</v>
      </c>
      <c r="Y9" s="317">
        <v>6.2600000000000003E-2</v>
      </c>
      <c r="Z9" s="317">
        <v>1.9E-2</v>
      </c>
      <c r="AA9" s="317">
        <v>-4.9799999999999997E-2</v>
      </c>
      <c r="AB9" s="317">
        <v>1.4E-3</v>
      </c>
      <c r="AC9" s="317">
        <v>2.2200000000000001E-2</v>
      </c>
      <c r="AD9" s="317">
        <v>0.23089999999999999</v>
      </c>
      <c r="AE9" s="317">
        <v>2.35E-2</v>
      </c>
      <c r="AF9" s="317">
        <v>0.16550000000000001</v>
      </c>
      <c r="AG9" s="317">
        <v>-0.10539999999999999</v>
      </c>
      <c r="AH9" s="317">
        <v>-3.4000000000000002E-2</v>
      </c>
      <c r="AI9" s="317">
        <v>2.3800000000000002E-2</v>
      </c>
      <c r="AJ9" s="317">
        <v>3.6900000000000002E-2</v>
      </c>
      <c r="AK9" s="317">
        <v>0.91169999999999995</v>
      </c>
      <c r="AL9" s="317">
        <v>-6.1899999999999997E-2</v>
      </c>
      <c r="AM9" s="317">
        <v>-3.9899999999999998E-2</v>
      </c>
      <c r="AN9" s="317">
        <v>0.16800000000000001</v>
      </c>
      <c r="AO9" s="317">
        <v>0.24030000000000001</v>
      </c>
      <c r="AP9" s="317">
        <v>-8.48E-2</v>
      </c>
      <c r="AQ9" s="317">
        <v>-4.07E-2</v>
      </c>
      <c r="AR9" s="317">
        <v>-2.0000000000000001E-4</v>
      </c>
      <c r="AS9" s="317">
        <v>0.1346</v>
      </c>
      <c r="AT9" s="317">
        <v>-6.1100000000000002E-2</v>
      </c>
      <c r="AU9" s="317">
        <v>6.9900000000000004E-2</v>
      </c>
      <c r="AV9" s="317">
        <v>3.3300000000000003E-2</v>
      </c>
      <c r="AW9" s="317">
        <v>-2.1000000000000001E-2</v>
      </c>
      <c r="AX9" s="317">
        <v>7.4099999999999999E-2</v>
      </c>
      <c r="AY9" s="317">
        <v>6.9000000000000006E-2</v>
      </c>
      <c r="AZ9" s="317">
        <v>7.9600000000000004E-2</v>
      </c>
      <c r="BA9" s="317">
        <v>-6.7100000000000007E-2</v>
      </c>
      <c r="BB9" s="317">
        <v>3.4200000000000001E-2</v>
      </c>
      <c r="BC9" s="317">
        <v>2.5999999999999999E-3</v>
      </c>
      <c r="BD9" s="317">
        <v>-4.07E-2</v>
      </c>
      <c r="BE9" s="317">
        <v>-1.5E-3</v>
      </c>
      <c r="BF9" s="317">
        <v>-0.1948</v>
      </c>
      <c r="BG9" s="317">
        <v>-0.02</v>
      </c>
      <c r="BH9" s="317">
        <v>3.8899999999999997E-2</v>
      </c>
      <c r="BI9" s="317">
        <v>-0.10199999999999999</v>
      </c>
      <c r="BJ9" s="317">
        <v>4.7399999999999998E-2</v>
      </c>
    </row>
    <row r="10" spans="1:62">
      <c r="A10" s="82" t="s">
        <v>33</v>
      </c>
      <c r="B10" s="317">
        <v>3.4000000000000002E-2</v>
      </c>
      <c r="C10" s="317">
        <v>1.9400000000000001E-2</v>
      </c>
      <c r="D10" s="317">
        <v>6.08E-2</v>
      </c>
      <c r="E10" s="317">
        <v>-1.3299999999999999E-2</v>
      </c>
      <c r="F10" s="317">
        <v>-0.04</v>
      </c>
      <c r="G10" s="317">
        <v>5.5599999999999997E-2</v>
      </c>
      <c r="H10" s="317">
        <v>-1.7999999999999999E-2</v>
      </c>
      <c r="I10" s="317">
        <v>1</v>
      </c>
      <c r="J10" s="317">
        <v>2.5899999999999999E-2</v>
      </c>
      <c r="K10" s="317">
        <v>-2.0299999999999999E-2</v>
      </c>
      <c r="L10" s="317">
        <v>7.0000000000000001E-3</v>
      </c>
      <c r="M10" s="317">
        <v>-1.34E-2</v>
      </c>
      <c r="N10" s="317">
        <v>-4.5499999999999999E-2</v>
      </c>
      <c r="O10" s="317">
        <v>1.5699999999999999E-2</v>
      </c>
      <c r="P10" s="317">
        <v>9.2700000000000005E-2</v>
      </c>
      <c r="Q10" s="317">
        <v>1.2800000000000001E-2</v>
      </c>
      <c r="R10" s="317">
        <v>-1.06E-2</v>
      </c>
      <c r="S10" s="317">
        <v>-4.0000000000000001E-3</v>
      </c>
      <c r="T10" s="317">
        <v>-5.0500000000000003E-2</v>
      </c>
      <c r="U10" s="317">
        <v>-7.9200000000000007E-2</v>
      </c>
      <c r="V10" s="317">
        <v>-7.7899999999999997E-2</v>
      </c>
      <c r="W10" s="317">
        <v>-9.9500000000000005E-2</v>
      </c>
      <c r="X10" s="317">
        <v>-7.2900000000000006E-2</v>
      </c>
      <c r="Y10" s="317">
        <v>-9.1999999999999998E-3</v>
      </c>
      <c r="Z10" s="317">
        <v>-7.9000000000000001E-2</v>
      </c>
      <c r="AA10" s="317">
        <v>0.1158</v>
      </c>
      <c r="AB10" s="317">
        <v>-4.7800000000000002E-2</v>
      </c>
      <c r="AC10" s="317">
        <v>-0.1052</v>
      </c>
      <c r="AD10" s="317">
        <v>-0.1014</v>
      </c>
      <c r="AE10" s="317">
        <v>-0.14410000000000001</v>
      </c>
      <c r="AF10" s="317">
        <v>4.1999999999999997E-3</v>
      </c>
      <c r="AG10" s="317">
        <v>4.58E-2</v>
      </c>
      <c r="AH10" s="317">
        <v>-2.4E-2</v>
      </c>
      <c r="AI10" s="317">
        <v>-8.0000000000000002E-3</v>
      </c>
      <c r="AJ10" s="317">
        <v>3.32E-2</v>
      </c>
      <c r="AK10" s="317">
        <v>2.53E-2</v>
      </c>
      <c r="AL10" s="317">
        <v>-7.2400000000000006E-2</v>
      </c>
      <c r="AM10" s="317">
        <v>-2.7300000000000001E-2</v>
      </c>
      <c r="AN10" s="317">
        <v>-2.1399999999999999E-2</v>
      </c>
      <c r="AO10" s="317">
        <v>-4.8999999999999998E-3</v>
      </c>
      <c r="AP10" s="317">
        <v>3.4000000000000002E-2</v>
      </c>
      <c r="AQ10" s="317">
        <v>2.8E-3</v>
      </c>
      <c r="AR10" s="317">
        <v>2.0299999999999999E-2</v>
      </c>
      <c r="AS10" s="317">
        <v>6.7000000000000002E-3</v>
      </c>
      <c r="AT10" s="317">
        <v>-1.23E-2</v>
      </c>
      <c r="AU10" s="317">
        <v>1.1299999999999999E-2</v>
      </c>
      <c r="AV10" s="317">
        <v>-1.6899999999999998E-2</v>
      </c>
      <c r="AW10" s="317">
        <v>-4.3400000000000001E-2</v>
      </c>
      <c r="AX10" s="317">
        <v>5.3999999999999999E-2</v>
      </c>
      <c r="AY10" s="317">
        <v>8.9999999999999998E-4</v>
      </c>
      <c r="AZ10" s="317">
        <v>-4.36E-2</v>
      </c>
      <c r="BA10" s="317">
        <v>1.17E-2</v>
      </c>
      <c r="BB10" s="317">
        <v>3.5799999999999998E-2</v>
      </c>
      <c r="BC10" s="317">
        <v>-1.1999999999999999E-3</v>
      </c>
      <c r="BD10" s="317">
        <v>3.0999999999999999E-3</v>
      </c>
      <c r="BE10" s="317">
        <v>7.7700000000000005E-2</v>
      </c>
      <c r="BF10" s="317">
        <v>5.9299999999999999E-2</v>
      </c>
      <c r="BG10" s="317">
        <v>-6.1100000000000002E-2</v>
      </c>
      <c r="BH10" s="317">
        <v>-1.7399999999999999E-2</v>
      </c>
      <c r="BI10" s="317">
        <v>1.9800000000000002E-2</v>
      </c>
      <c r="BJ10" s="317">
        <v>-4.41E-2</v>
      </c>
    </row>
    <row r="11" spans="1:62">
      <c r="A11" s="82" t="s">
        <v>193</v>
      </c>
      <c r="B11" s="317">
        <v>-4.5400000000000003E-2</v>
      </c>
      <c r="C11" s="317">
        <v>0.12180000000000001</v>
      </c>
      <c r="D11" s="317">
        <v>-5.7999999999999996E-3</v>
      </c>
      <c r="E11" s="317">
        <v>0.10290000000000001</v>
      </c>
      <c r="F11" s="317">
        <v>0.1429</v>
      </c>
      <c r="G11" s="317">
        <v>4.9599999999999998E-2</v>
      </c>
      <c r="H11" s="317">
        <v>-0.10680000000000001</v>
      </c>
      <c r="I11" s="317">
        <v>2.5899999999999999E-2</v>
      </c>
      <c r="J11" s="317">
        <v>1</v>
      </c>
      <c r="K11" s="317">
        <v>-3.8100000000000002E-2</v>
      </c>
      <c r="L11" s="317">
        <v>-4.6699999999999998E-2</v>
      </c>
      <c r="M11" s="317">
        <v>5.16E-2</v>
      </c>
      <c r="N11" s="317">
        <v>0.1144</v>
      </c>
      <c r="O11" s="317">
        <v>0.23719999999999999</v>
      </c>
      <c r="P11" s="317">
        <v>0.19520000000000001</v>
      </c>
      <c r="Q11" s="317">
        <v>-5.8700000000000002E-2</v>
      </c>
      <c r="R11" s="317">
        <v>-0.1031</v>
      </c>
      <c r="S11" s="317">
        <v>-1.7299999999999999E-2</v>
      </c>
      <c r="T11" s="317">
        <v>-0.16919999999999999</v>
      </c>
      <c r="U11" s="317">
        <v>-1.8200000000000001E-2</v>
      </c>
      <c r="V11" s="317">
        <v>-5.5500000000000001E-2</v>
      </c>
      <c r="W11" s="317">
        <v>-4.3900000000000002E-2</v>
      </c>
      <c r="X11" s="317">
        <v>-0.28370000000000001</v>
      </c>
      <c r="Y11" s="317">
        <v>-1.0699999999999999E-2</v>
      </c>
      <c r="Z11" s="317">
        <v>0.20830000000000001</v>
      </c>
      <c r="AA11" s="317">
        <v>-4.6800000000000001E-2</v>
      </c>
      <c r="AB11" s="317">
        <v>-0.10920000000000001</v>
      </c>
      <c r="AC11" s="317">
        <v>8.4199999999999997E-2</v>
      </c>
      <c r="AD11" s="317">
        <v>-5.96E-2</v>
      </c>
      <c r="AE11" s="317">
        <v>-5.5199999999999999E-2</v>
      </c>
      <c r="AF11" s="317">
        <v>0.2462</v>
      </c>
      <c r="AG11" s="317">
        <v>-2.8299999999999999E-2</v>
      </c>
      <c r="AH11" s="317">
        <v>0.25440000000000002</v>
      </c>
      <c r="AI11" s="317">
        <v>-2.3599999999999999E-2</v>
      </c>
      <c r="AJ11" s="317">
        <v>-4.0599999999999997E-2</v>
      </c>
      <c r="AK11" s="317">
        <v>-3.9199999999999999E-2</v>
      </c>
      <c r="AL11" s="317">
        <v>1.6000000000000001E-3</v>
      </c>
      <c r="AM11" s="317">
        <v>0.12239999999999999</v>
      </c>
      <c r="AN11" s="317">
        <v>-1.6799999999999999E-2</v>
      </c>
      <c r="AO11" s="317">
        <v>7.3300000000000004E-2</v>
      </c>
      <c r="AP11" s="317">
        <v>-2.4799999999999999E-2</v>
      </c>
      <c r="AQ11" s="317">
        <v>-0.20419999999999999</v>
      </c>
      <c r="AR11" s="317">
        <v>-0.2089</v>
      </c>
      <c r="AS11" s="317">
        <v>6.8999999999999999E-3</v>
      </c>
      <c r="AT11" s="317">
        <v>7.1999999999999998E-3</v>
      </c>
      <c r="AU11" s="317">
        <v>-2.1100000000000001E-2</v>
      </c>
      <c r="AV11" s="317">
        <v>-0.1842</v>
      </c>
      <c r="AW11" s="317">
        <v>4.5400000000000003E-2</v>
      </c>
      <c r="AX11" s="317">
        <v>0.24779999999999999</v>
      </c>
      <c r="AY11" s="317">
        <v>-6.9500000000000006E-2</v>
      </c>
      <c r="AZ11" s="317">
        <v>0.2036</v>
      </c>
      <c r="BA11" s="317">
        <v>0.26340000000000002</v>
      </c>
      <c r="BB11" s="317">
        <v>9.4999999999999998E-3</v>
      </c>
      <c r="BC11" s="317">
        <v>0.15820000000000001</v>
      </c>
      <c r="BD11" s="317">
        <v>-6.0100000000000001E-2</v>
      </c>
      <c r="BE11" s="317">
        <v>0.22539999999999999</v>
      </c>
      <c r="BF11" s="317">
        <v>0.1353</v>
      </c>
      <c r="BG11" s="317">
        <v>2.1100000000000001E-2</v>
      </c>
      <c r="BH11" s="317">
        <v>0.1041</v>
      </c>
      <c r="BI11" s="317">
        <v>-0.15379999999999999</v>
      </c>
      <c r="BJ11" s="317">
        <v>-0.21590000000000001</v>
      </c>
    </row>
    <row r="12" spans="1:62">
      <c r="A12" s="82" t="s">
        <v>198</v>
      </c>
      <c r="B12" s="317">
        <v>4.7800000000000002E-2</v>
      </c>
      <c r="C12" s="317">
        <v>-0.22839999999999999</v>
      </c>
      <c r="D12" s="317">
        <v>-8.3500000000000005E-2</v>
      </c>
      <c r="E12" s="317">
        <v>-0.20430000000000001</v>
      </c>
      <c r="F12" s="317">
        <v>-0.19620000000000001</v>
      </c>
      <c r="G12" s="317">
        <v>2.0000000000000001E-4</v>
      </c>
      <c r="H12" s="317">
        <v>0.64659999999999995</v>
      </c>
      <c r="I12" s="317">
        <v>-2.0299999999999999E-2</v>
      </c>
      <c r="J12" s="317">
        <v>-3.8100000000000002E-2</v>
      </c>
      <c r="K12" s="317">
        <v>1</v>
      </c>
      <c r="L12" s="317">
        <v>0.81330000000000002</v>
      </c>
      <c r="M12" s="317">
        <v>0.30509999999999998</v>
      </c>
      <c r="N12" s="317">
        <v>0.1111</v>
      </c>
      <c r="O12" s="317">
        <v>0.1008</v>
      </c>
      <c r="P12" s="317">
        <v>-0.104</v>
      </c>
      <c r="Q12" s="317">
        <v>-3.0000000000000001E-3</v>
      </c>
      <c r="R12" s="317">
        <v>1.38E-2</v>
      </c>
      <c r="S12" s="317">
        <v>-6.1000000000000004E-3</v>
      </c>
      <c r="T12" s="317">
        <v>9.7900000000000001E-2</v>
      </c>
      <c r="U12" s="317">
        <v>5.7999999999999996E-3</v>
      </c>
      <c r="V12" s="317">
        <v>-6.6E-3</v>
      </c>
      <c r="W12" s="317">
        <v>2.0000000000000001E-4</v>
      </c>
      <c r="X12" s="317">
        <v>0.22209999999999999</v>
      </c>
      <c r="Y12" s="317">
        <v>7.7999999999999996E-3</v>
      </c>
      <c r="Z12" s="317">
        <v>4.7500000000000001E-2</v>
      </c>
      <c r="AA12" s="317">
        <v>-7.6100000000000001E-2</v>
      </c>
      <c r="AB12" s="317">
        <v>0.1875</v>
      </c>
      <c r="AC12" s="317">
        <v>-7.3899999999999993E-2</v>
      </c>
      <c r="AD12" s="317">
        <v>0.62109999999999999</v>
      </c>
      <c r="AE12" s="317">
        <v>0.104</v>
      </c>
      <c r="AF12" s="317">
        <v>0.27379999999999999</v>
      </c>
      <c r="AG12" s="317">
        <v>-6.0100000000000001E-2</v>
      </c>
      <c r="AH12" s="317">
        <v>-0.1673</v>
      </c>
      <c r="AI12" s="317">
        <v>0.16189999999999999</v>
      </c>
      <c r="AJ12" s="317">
        <v>0.11600000000000001</v>
      </c>
      <c r="AK12" s="317">
        <v>0.61629999999999996</v>
      </c>
      <c r="AL12" s="317">
        <v>-5.5800000000000002E-2</v>
      </c>
      <c r="AM12" s="317">
        <v>-0.1249</v>
      </c>
      <c r="AN12" s="317">
        <v>8.2900000000000001E-2</v>
      </c>
      <c r="AO12" s="317">
        <v>0.30890000000000001</v>
      </c>
      <c r="AP12" s="317">
        <v>-9.8299999999999998E-2</v>
      </c>
      <c r="AQ12" s="317">
        <v>-7.3499999999999996E-2</v>
      </c>
      <c r="AR12" s="317">
        <v>-1.0500000000000001E-2</v>
      </c>
      <c r="AS12" s="317">
        <v>0.13070000000000001</v>
      </c>
      <c r="AT12" s="317">
        <v>-4.3E-3</v>
      </c>
      <c r="AU12" s="317">
        <v>-1.2E-2</v>
      </c>
      <c r="AV12" s="317">
        <v>6.1100000000000002E-2</v>
      </c>
      <c r="AW12" s="317">
        <v>-2.23E-2</v>
      </c>
      <c r="AX12" s="317">
        <v>0.14319999999999999</v>
      </c>
      <c r="AY12" s="317">
        <v>0.14929999999999999</v>
      </c>
      <c r="AZ12" s="317">
        <v>0.10589999999999999</v>
      </c>
      <c r="BA12" s="317">
        <v>-0.1399</v>
      </c>
      <c r="BB12" s="317">
        <v>-5.0299999999999997E-2</v>
      </c>
      <c r="BC12" s="317">
        <v>-6.1800000000000001E-2</v>
      </c>
      <c r="BD12" s="317">
        <v>5.0700000000000002E-2</v>
      </c>
      <c r="BE12" s="317">
        <v>5.5100000000000003E-2</v>
      </c>
      <c r="BF12" s="317">
        <v>-0.35410000000000003</v>
      </c>
      <c r="BG12" s="317">
        <v>-4.2299999999999997E-2</v>
      </c>
      <c r="BH12" s="317">
        <v>-7.4700000000000003E-2</v>
      </c>
      <c r="BI12" s="317">
        <v>-0.1406</v>
      </c>
      <c r="BJ12" s="317">
        <v>0.1943</v>
      </c>
    </row>
    <row r="13" spans="1:62">
      <c r="A13" s="82" t="s">
        <v>210</v>
      </c>
      <c r="B13" s="317">
        <v>-3.3500000000000002E-2</v>
      </c>
      <c r="C13" s="317">
        <v>-4.5100000000000001E-2</v>
      </c>
      <c r="D13" s="317">
        <v>-4.2700000000000002E-2</v>
      </c>
      <c r="E13" s="317">
        <v>1.5E-3</v>
      </c>
      <c r="F13" s="317">
        <v>-5.62E-2</v>
      </c>
      <c r="G13" s="317">
        <v>-6.3700000000000007E-2</v>
      </c>
      <c r="H13" s="317">
        <v>0.89449999999999996</v>
      </c>
      <c r="I13" s="317">
        <v>7.0000000000000001E-3</v>
      </c>
      <c r="J13" s="317">
        <v>-4.6699999999999998E-2</v>
      </c>
      <c r="K13" s="317">
        <v>0.81330000000000002</v>
      </c>
      <c r="L13" s="317">
        <v>1</v>
      </c>
      <c r="M13" s="317">
        <v>0.10580000000000001</v>
      </c>
      <c r="N13" s="317">
        <v>0.12640000000000001</v>
      </c>
      <c r="O13" s="317">
        <v>7.8E-2</v>
      </c>
      <c r="P13" s="317">
        <v>-3.0800000000000001E-2</v>
      </c>
      <c r="Q13" s="317">
        <v>-7.7000000000000002E-3</v>
      </c>
      <c r="R13" s="317">
        <v>-8.6E-3</v>
      </c>
      <c r="S13" s="317">
        <v>-1.09E-2</v>
      </c>
      <c r="T13" s="317">
        <v>2.35E-2</v>
      </c>
      <c r="U13" s="317">
        <v>-8.8999999999999999E-3</v>
      </c>
      <c r="V13" s="317">
        <v>-1.84E-2</v>
      </c>
      <c r="W13" s="317">
        <v>-1.7600000000000001E-2</v>
      </c>
      <c r="X13" s="317">
        <v>6.9000000000000006E-2</v>
      </c>
      <c r="Y13" s="317">
        <v>2.1999999999999999E-2</v>
      </c>
      <c r="Z13" s="317">
        <v>3.78E-2</v>
      </c>
      <c r="AA13" s="317">
        <v>-5.0900000000000001E-2</v>
      </c>
      <c r="AB13" s="317">
        <v>4.4400000000000002E-2</v>
      </c>
      <c r="AC13" s="317">
        <v>5.5100000000000003E-2</v>
      </c>
      <c r="AD13" s="317">
        <v>0.31109999999999999</v>
      </c>
      <c r="AE13" s="317">
        <v>-5.0000000000000001E-4</v>
      </c>
      <c r="AF13" s="317">
        <v>0.20610000000000001</v>
      </c>
      <c r="AG13" s="317">
        <v>-9.2899999999999996E-2</v>
      </c>
      <c r="AH13" s="317">
        <v>1.4999999999999999E-2</v>
      </c>
      <c r="AI13" s="317">
        <v>1.5699999999999999E-2</v>
      </c>
      <c r="AJ13" s="317">
        <v>2.8500000000000001E-2</v>
      </c>
      <c r="AK13" s="317">
        <v>0.92710000000000004</v>
      </c>
      <c r="AL13" s="317">
        <v>-4.3299999999999998E-2</v>
      </c>
      <c r="AM13" s="317">
        <v>2.5000000000000001E-3</v>
      </c>
      <c r="AN13" s="317">
        <v>0.1217</v>
      </c>
      <c r="AO13" s="317">
        <v>0.2303</v>
      </c>
      <c r="AP13" s="317">
        <v>-0.1152</v>
      </c>
      <c r="AQ13" s="317">
        <v>-0.11650000000000001</v>
      </c>
      <c r="AR13" s="317">
        <v>-7.6399999999999996E-2</v>
      </c>
      <c r="AS13" s="317">
        <v>0.15279999999999999</v>
      </c>
      <c r="AT13" s="317">
        <v>-6.7500000000000004E-2</v>
      </c>
      <c r="AU13" s="317">
        <v>-5.9999999999999995E-4</v>
      </c>
      <c r="AV13" s="317">
        <v>4.7000000000000002E-3</v>
      </c>
      <c r="AW13" s="317">
        <v>6.4999999999999997E-3</v>
      </c>
      <c r="AX13" s="317">
        <v>0.1091</v>
      </c>
      <c r="AY13" s="317">
        <v>3.09E-2</v>
      </c>
      <c r="AZ13" s="317">
        <v>0.13919999999999999</v>
      </c>
      <c r="BA13" s="317">
        <v>-6.2300000000000001E-2</v>
      </c>
      <c r="BB13" s="317">
        <v>-1.1299999999999999E-2</v>
      </c>
      <c r="BC13" s="317">
        <v>6.5000000000000002E-2</v>
      </c>
      <c r="BD13" s="317">
        <v>-3.4299999999999997E-2</v>
      </c>
      <c r="BE13" s="317">
        <v>4.9000000000000002E-2</v>
      </c>
      <c r="BF13" s="317">
        <v>-0.20810000000000001</v>
      </c>
      <c r="BG13" s="317">
        <v>3.1199999999999999E-2</v>
      </c>
      <c r="BH13" s="317">
        <v>6.7799999999999999E-2</v>
      </c>
      <c r="BI13" s="317">
        <v>-0.1426</v>
      </c>
      <c r="BJ13" s="317">
        <v>7.3499999999999996E-2</v>
      </c>
    </row>
    <row r="14" spans="1:62">
      <c r="A14" s="82" t="s">
        <v>218</v>
      </c>
      <c r="B14" s="317">
        <v>0.24929999999999999</v>
      </c>
      <c r="C14" s="317">
        <v>-0.63770000000000004</v>
      </c>
      <c r="D14" s="317">
        <v>-6.5799999999999997E-2</v>
      </c>
      <c r="E14" s="317">
        <v>-0.6522</v>
      </c>
      <c r="F14" s="317">
        <v>-0.63770000000000004</v>
      </c>
      <c r="G14" s="317">
        <v>0.1366</v>
      </c>
      <c r="H14" s="317">
        <v>7.9500000000000001E-2</v>
      </c>
      <c r="I14" s="317">
        <v>-1.34E-2</v>
      </c>
      <c r="J14" s="317">
        <v>5.16E-2</v>
      </c>
      <c r="K14" s="317">
        <v>0.30509999999999998</v>
      </c>
      <c r="L14" s="317">
        <v>0.10580000000000001</v>
      </c>
      <c r="M14" s="317">
        <v>1</v>
      </c>
      <c r="N14" s="317">
        <v>0.46820000000000001</v>
      </c>
      <c r="O14" s="317">
        <v>0.25519999999999998</v>
      </c>
      <c r="P14" s="317">
        <v>-0.2298</v>
      </c>
      <c r="Q14" s="317">
        <v>4.4299999999999999E-2</v>
      </c>
      <c r="R14" s="317">
        <v>8.43E-2</v>
      </c>
      <c r="S14" s="317">
        <v>3.6700000000000003E-2</v>
      </c>
      <c r="T14" s="317">
        <v>0.2208</v>
      </c>
      <c r="U14" s="317">
        <v>-3.8600000000000002E-2</v>
      </c>
      <c r="V14" s="317">
        <v>-4.1000000000000002E-2</v>
      </c>
      <c r="W14" s="317">
        <v>-4.48E-2</v>
      </c>
      <c r="X14" s="317">
        <v>0.32450000000000001</v>
      </c>
      <c r="Y14" s="317">
        <v>3.3799999999999997E-2</v>
      </c>
      <c r="Z14" s="317">
        <v>0.26340000000000002</v>
      </c>
      <c r="AA14" s="317">
        <v>-6.0999999999999999E-2</v>
      </c>
      <c r="AB14" s="317">
        <v>0.38769999999999999</v>
      </c>
      <c r="AC14" s="317">
        <v>-0.37730000000000002</v>
      </c>
      <c r="AD14" s="317">
        <v>0.59340000000000004</v>
      </c>
      <c r="AE14" s="317">
        <v>0.29249999999999998</v>
      </c>
      <c r="AF14" s="317">
        <v>0.55289999999999995</v>
      </c>
      <c r="AG14" s="317">
        <v>9.9500000000000005E-2</v>
      </c>
      <c r="AH14" s="317">
        <v>-0.58120000000000005</v>
      </c>
      <c r="AI14" s="317">
        <v>0.59909999999999997</v>
      </c>
      <c r="AJ14" s="317">
        <v>0.251</v>
      </c>
      <c r="AK14" s="317">
        <v>-6.4600000000000005E-2</v>
      </c>
      <c r="AL14" s="317">
        <v>-3.6600000000000001E-2</v>
      </c>
      <c r="AM14" s="317">
        <v>-0.53549999999999998</v>
      </c>
      <c r="AN14" s="317">
        <v>6.0900000000000003E-2</v>
      </c>
      <c r="AO14" s="317">
        <v>0.5181</v>
      </c>
      <c r="AP14" s="317">
        <v>-0.1048</v>
      </c>
      <c r="AQ14" s="317">
        <v>-0.12479999999999999</v>
      </c>
      <c r="AR14" s="317">
        <v>1.0999999999999999E-2</v>
      </c>
      <c r="AS14" s="317">
        <v>0.20979999999999999</v>
      </c>
      <c r="AT14" s="317">
        <v>3.2000000000000002E-3</v>
      </c>
      <c r="AU14" s="317">
        <v>3.2399999999999998E-2</v>
      </c>
      <c r="AV14" s="317">
        <v>-6.6900000000000001E-2</v>
      </c>
      <c r="AW14" s="317">
        <v>-0.17879999999999999</v>
      </c>
      <c r="AX14" s="317">
        <v>0.27060000000000001</v>
      </c>
      <c r="AY14" s="317">
        <v>0.35339999999999999</v>
      </c>
      <c r="AZ14" s="317">
        <v>0.1023</v>
      </c>
      <c r="BA14" s="317">
        <v>-0.30570000000000003</v>
      </c>
      <c r="BB14" s="317">
        <v>-1.9099999999999999E-2</v>
      </c>
      <c r="BC14" s="317">
        <v>-0.4214</v>
      </c>
      <c r="BD14" s="317">
        <v>0.2084</v>
      </c>
      <c r="BE14" s="317">
        <v>0.19259999999999999</v>
      </c>
      <c r="BF14" s="317">
        <v>-0.51390000000000002</v>
      </c>
      <c r="BG14" s="317">
        <v>-0.3034</v>
      </c>
      <c r="BH14" s="317">
        <v>-0.39169999999999999</v>
      </c>
      <c r="BI14" s="317">
        <v>-0.33100000000000002</v>
      </c>
      <c r="BJ14" s="317">
        <v>0.30280000000000001</v>
      </c>
    </row>
    <row r="15" spans="1:62">
      <c r="A15" s="82" t="s">
        <v>221</v>
      </c>
      <c r="B15" s="317">
        <v>-5.2499999999999998E-2</v>
      </c>
      <c r="C15" s="317">
        <v>2.2700000000000001E-2</v>
      </c>
      <c r="D15" s="317">
        <v>-9.8599999999999993E-2</v>
      </c>
      <c r="E15" s="317">
        <v>1.5599999999999999E-2</v>
      </c>
      <c r="F15" s="317">
        <v>-5.9700000000000003E-2</v>
      </c>
      <c r="G15" s="317">
        <v>-1.4999999999999999E-2</v>
      </c>
      <c r="H15" s="317">
        <v>7.1900000000000006E-2</v>
      </c>
      <c r="I15" s="317">
        <v>-4.5499999999999999E-2</v>
      </c>
      <c r="J15" s="317">
        <v>0.1144</v>
      </c>
      <c r="K15" s="317">
        <v>0.1111</v>
      </c>
      <c r="L15" s="317">
        <v>0.12640000000000001</v>
      </c>
      <c r="M15" s="317">
        <v>0.46820000000000001</v>
      </c>
      <c r="N15" s="317">
        <v>1</v>
      </c>
      <c r="O15" s="317">
        <v>0.22420000000000001</v>
      </c>
      <c r="P15" s="317">
        <v>-3.56E-2</v>
      </c>
      <c r="Q15" s="317">
        <v>-4.3E-3</v>
      </c>
      <c r="R15" s="317">
        <v>6.9999999999999999E-4</v>
      </c>
      <c r="S15" s="317">
        <v>1.2500000000000001E-2</v>
      </c>
      <c r="T15" s="317">
        <v>6.8099999999999994E-2</v>
      </c>
      <c r="U15" s="317">
        <v>-4.2000000000000003E-2</v>
      </c>
      <c r="V15" s="317">
        <v>-7.7499999999999999E-2</v>
      </c>
      <c r="W15" s="317">
        <v>-6.9400000000000003E-2</v>
      </c>
      <c r="X15" s="317">
        <v>6.59E-2</v>
      </c>
      <c r="Y15" s="317">
        <v>-4.5400000000000003E-2</v>
      </c>
      <c r="Z15" s="317">
        <v>0.28310000000000002</v>
      </c>
      <c r="AA15" s="317">
        <v>-0.1075</v>
      </c>
      <c r="AB15" s="317">
        <v>0.16739999999999999</v>
      </c>
      <c r="AC15" s="317">
        <v>0.20080000000000001</v>
      </c>
      <c r="AD15" s="317">
        <v>7.0000000000000007E-2</v>
      </c>
      <c r="AE15" s="317">
        <v>-1.2999999999999999E-3</v>
      </c>
      <c r="AF15" s="317">
        <v>0.40100000000000002</v>
      </c>
      <c r="AG15" s="317">
        <v>-7.3999999999999996E-2</v>
      </c>
      <c r="AH15" s="317">
        <v>0.1077</v>
      </c>
      <c r="AI15" s="317">
        <v>5.6399999999999999E-2</v>
      </c>
      <c r="AJ15" s="317">
        <v>-0.1298</v>
      </c>
      <c r="AK15" s="317">
        <v>0.1245</v>
      </c>
      <c r="AL15" s="317">
        <v>9.5999999999999992E-3</v>
      </c>
      <c r="AM15" s="317">
        <v>2.9399999999999999E-2</v>
      </c>
      <c r="AN15" s="317">
        <v>-3.5999999999999997E-2</v>
      </c>
      <c r="AO15" s="317">
        <v>0.25109999999999999</v>
      </c>
      <c r="AP15" s="317">
        <v>-0.40289999999999998</v>
      </c>
      <c r="AQ15" s="317">
        <v>-0.38479999999999998</v>
      </c>
      <c r="AR15" s="317">
        <v>-0.35980000000000001</v>
      </c>
      <c r="AS15" s="317">
        <v>0.1285</v>
      </c>
      <c r="AT15" s="317">
        <v>-0.20469999999999999</v>
      </c>
      <c r="AU15" s="317">
        <v>-7.0000000000000001E-3</v>
      </c>
      <c r="AV15" s="317">
        <v>-0.27579999999999999</v>
      </c>
      <c r="AW15" s="317">
        <v>9.0800000000000006E-2</v>
      </c>
      <c r="AX15" s="317">
        <v>0.25209999999999999</v>
      </c>
      <c r="AY15" s="317">
        <v>-1.7100000000000001E-2</v>
      </c>
      <c r="AZ15" s="317">
        <v>0.3422</v>
      </c>
      <c r="BA15" s="317">
        <v>-2.7900000000000001E-2</v>
      </c>
      <c r="BB15" s="317">
        <v>-3.3399999999999999E-2</v>
      </c>
      <c r="BC15" s="317">
        <v>6.2300000000000001E-2</v>
      </c>
      <c r="BD15" s="317">
        <v>-0.10299999999999999</v>
      </c>
      <c r="BE15" s="317">
        <v>0.23930000000000001</v>
      </c>
      <c r="BF15" s="317">
        <v>-0.17630000000000001</v>
      </c>
      <c r="BG15" s="317">
        <v>1.01E-2</v>
      </c>
      <c r="BH15" s="317">
        <v>5.8599999999999999E-2</v>
      </c>
      <c r="BI15" s="317">
        <v>-0.42709999999999998</v>
      </c>
      <c r="BJ15" s="317">
        <v>5.0200000000000002E-2</v>
      </c>
    </row>
    <row r="16" spans="1:62">
      <c r="A16" s="82" t="s">
        <v>224</v>
      </c>
      <c r="B16" s="317">
        <v>0.1638</v>
      </c>
      <c r="C16" s="317">
        <v>-4.9299999999999997E-2</v>
      </c>
      <c r="D16" s="317">
        <v>2.5999999999999999E-3</v>
      </c>
      <c r="E16" s="317">
        <v>-0.12759999999999999</v>
      </c>
      <c r="F16" s="317">
        <v>-0.1197</v>
      </c>
      <c r="G16" s="317">
        <v>0.20730000000000001</v>
      </c>
      <c r="H16" s="317">
        <v>-1.0800000000000001E-2</v>
      </c>
      <c r="I16" s="317">
        <v>1.5699999999999999E-2</v>
      </c>
      <c r="J16" s="317">
        <v>0.23719999999999999</v>
      </c>
      <c r="K16" s="317">
        <v>0.1008</v>
      </c>
      <c r="L16" s="317">
        <v>7.8E-2</v>
      </c>
      <c r="M16" s="317">
        <v>0.25519999999999998</v>
      </c>
      <c r="N16" s="317">
        <v>0.22420000000000001</v>
      </c>
      <c r="O16" s="317">
        <v>1</v>
      </c>
      <c r="P16" s="317">
        <v>2.69E-2</v>
      </c>
      <c r="Q16" s="317">
        <v>3.27E-2</v>
      </c>
      <c r="R16" s="317">
        <v>2.2000000000000001E-3</v>
      </c>
      <c r="S16" s="317">
        <v>3.7999999999999999E-2</v>
      </c>
      <c r="T16" s="317">
        <v>-7.1999999999999998E-3</v>
      </c>
      <c r="U16" s="317">
        <v>1.12E-2</v>
      </c>
      <c r="V16" s="317">
        <v>-3.8199999999999998E-2</v>
      </c>
      <c r="W16" s="317">
        <v>-1.6299999999999999E-2</v>
      </c>
      <c r="X16" s="317">
        <v>-2.86E-2</v>
      </c>
      <c r="Y16" s="317">
        <v>6.4000000000000001E-2</v>
      </c>
      <c r="Z16" s="317">
        <v>0.28849999999999998</v>
      </c>
      <c r="AA16" s="317">
        <v>2.35E-2</v>
      </c>
      <c r="AB16" s="317">
        <v>0.12089999999999999</v>
      </c>
      <c r="AC16" s="317">
        <v>-0.1148</v>
      </c>
      <c r="AD16" s="317">
        <v>0.19589999999999999</v>
      </c>
      <c r="AE16" s="317">
        <v>2.3599999999999999E-2</v>
      </c>
      <c r="AF16" s="317">
        <v>0.41720000000000002</v>
      </c>
      <c r="AG16" s="317">
        <v>7.7899999999999997E-2</v>
      </c>
      <c r="AH16" s="317">
        <v>8.3500000000000005E-2</v>
      </c>
      <c r="AI16" s="317">
        <v>0.1706</v>
      </c>
      <c r="AJ16" s="317">
        <v>0.1585</v>
      </c>
      <c r="AK16" s="317">
        <v>4.8399999999999999E-2</v>
      </c>
      <c r="AL16" s="317">
        <v>-3.0099999999999998E-2</v>
      </c>
      <c r="AM16" s="317">
        <v>5.0000000000000001E-4</v>
      </c>
      <c r="AN16" s="317">
        <v>8.1699999999999995E-2</v>
      </c>
      <c r="AO16" s="317">
        <v>0.22770000000000001</v>
      </c>
      <c r="AP16" s="317">
        <v>-6.9800000000000001E-2</v>
      </c>
      <c r="AQ16" s="317">
        <v>-0.29289999999999999</v>
      </c>
      <c r="AR16" s="317">
        <v>-0.2336</v>
      </c>
      <c r="AS16" s="317">
        <v>4.58E-2</v>
      </c>
      <c r="AT16" s="317">
        <v>-4.6600000000000003E-2</v>
      </c>
      <c r="AU16" s="317">
        <v>-2.5000000000000001E-3</v>
      </c>
      <c r="AV16" s="317">
        <v>-0.26729999999999998</v>
      </c>
      <c r="AW16" s="317">
        <v>3.5000000000000001E-3</v>
      </c>
      <c r="AX16" s="317">
        <v>0.2319</v>
      </c>
      <c r="AY16" s="317">
        <v>9.8500000000000004E-2</v>
      </c>
      <c r="AZ16" s="317">
        <v>0.24099999999999999</v>
      </c>
      <c r="BA16" s="317">
        <v>7.3800000000000004E-2</v>
      </c>
      <c r="BB16" s="317">
        <v>4.1799999999999997E-2</v>
      </c>
      <c r="BC16" s="317">
        <v>3.6999999999999998E-2</v>
      </c>
      <c r="BD16" s="317">
        <v>0.2326</v>
      </c>
      <c r="BE16" s="317">
        <v>0.69169999999999998</v>
      </c>
      <c r="BF16" s="317">
        <v>-0.1124</v>
      </c>
      <c r="BG16" s="317">
        <v>-1.7399999999999999E-2</v>
      </c>
      <c r="BH16" s="317">
        <v>-9.0399999999999994E-2</v>
      </c>
      <c r="BI16" s="317">
        <v>-0.20200000000000001</v>
      </c>
      <c r="BJ16" s="317">
        <v>-2.1000000000000001E-2</v>
      </c>
    </row>
    <row r="17" spans="1:62">
      <c r="A17" s="82" t="s">
        <v>234</v>
      </c>
      <c r="B17" s="317">
        <v>3.9E-2</v>
      </c>
      <c r="C17" s="317">
        <v>0.2319</v>
      </c>
      <c r="D17" s="317">
        <v>0.14050000000000001</v>
      </c>
      <c r="E17" s="317">
        <v>0.1719</v>
      </c>
      <c r="F17" s="317">
        <v>0.20200000000000001</v>
      </c>
      <c r="G17" s="317">
        <v>0.19500000000000001</v>
      </c>
      <c r="H17" s="317">
        <v>-3.1600000000000003E-2</v>
      </c>
      <c r="I17" s="317">
        <v>9.2700000000000005E-2</v>
      </c>
      <c r="J17" s="317">
        <v>0.19520000000000001</v>
      </c>
      <c r="K17" s="317">
        <v>-0.104</v>
      </c>
      <c r="L17" s="317">
        <v>-3.0800000000000001E-2</v>
      </c>
      <c r="M17" s="317">
        <v>-0.2298</v>
      </c>
      <c r="N17" s="317">
        <v>-3.56E-2</v>
      </c>
      <c r="O17" s="317">
        <v>2.69E-2</v>
      </c>
      <c r="P17" s="317">
        <v>1</v>
      </c>
      <c r="Q17" s="317">
        <v>-5.3999999999999999E-2</v>
      </c>
      <c r="R17" s="317">
        <v>-0.23019999999999999</v>
      </c>
      <c r="S17" s="317">
        <v>0.1799</v>
      </c>
      <c r="T17" s="317">
        <v>-0.58950000000000002</v>
      </c>
      <c r="U17" s="317">
        <v>-5.5399999999999998E-2</v>
      </c>
      <c r="V17" s="317">
        <v>-2.7E-2</v>
      </c>
      <c r="W17" s="317">
        <v>-4.99E-2</v>
      </c>
      <c r="X17" s="317">
        <v>-0.3674</v>
      </c>
      <c r="Y17" s="317">
        <v>3.0499999999999999E-2</v>
      </c>
      <c r="Z17" s="317">
        <v>0.1042</v>
      </c>
      <c r="AA17" s="317">
        <v>7.8200000000000006E-2</v>
      </c>
      <c r="AB17" s="317">
        <v>-0.20039999999999999</v>
      </c>
      <c r="AC17" s="317">
        <v>8.2000000000000003E-2</v>
      </c>
      <c r="AD17" s="317">
        <v>-0.15629999999999999</v>
      </c>
      <c r="AE17" s="317">
        <v>-0.27429999999999999</v>
      </c>
      <c r="AF17" s="317">
        <v>-0.1444</v>
      </c>
      <c r="AG17" s="317">
        <v>0.2051</v>
      </c>
      <c r="AH17" s="317">
        <v>0.2011</v>
      </c>
      <c r="AI17" s="317">
        <v>-8.4099999999999994E-2</v>
      </c>
      <c r="AJ17" s="317">
        <v>-5.4899999999999997E-2</v>
      </c>
      <c r="AK17" s="317">
        <v>3.3700000000000001E-2</v>
      </c>
      <c r="AL17" s="317">
        <v>-7.1000000000000004E-3</v>
      </c>
      <c r="AM17" s="317">
        <v>0.122</v>
      </c>
      <c r="AN17" s="317">
        <v>-3.95E-2</v>
      </c>
      <c r="AO17" s="317">
        <v>-0.15260000000000001</v>
      </c>
      <c r="AP17" s="317">
        <v>7.8E-2</v>
      </c>
      <c r="AQ17" s="317">
        <v>-5.0000000000000001E-4</v>
      </c>
      <c r="AR17" s="317">
        <v>-3.9199999999999999E-2</v>
      </c>
      <c r="AS17" s="317">
        <v>-8.2799999999999999E-2</v>
      </c>
      <c r="AT17" s="317">
        <v>1.26E-2</v>
      </c>
      <c r="AU17" s="317">
        <v>3.1199999999999999E-2</v>
      </c>
      <c r="AV17" s="317">
        <v>-9.1600000000000001E-2</v>
      </c>
      <c r="AW17" s="317">
        <v>1.0999999999999999E-2</v>
      </c>
      <c r="AX17" s="317">
        <v>-5.1700000000000003E-2</v>
      </c>
      <c r="AY17" s="317">
        <v>-9.2600000000000002E-2</v>
      </c>
      <c r="AZ17" s="317">
        <v>3.4599999999999999E-2</v>
      </c>
      <c r="BA17" s="317">
        <v>0.21890000000000001</v>
      </c>
      <c r="BB17" s="317">
        <v>3.9100000000000003E-2</v>
      </c>
      <c r="BC17" s="317">
        <v>0.1439</v>
      </c>
      <c r="BD17" s="317">
        <v>-1.1299999999999999E-2</v>
      </c>
      <c r="BE17" s="317">
        <v>4.8000000000000001E-2</v>
      </c>
      <c r="BF17" s="317">
        <v>0.32579999999999998</v>
      </c>
      <c r="BG17" s="317">
        <v>2.6100000000000002E-2</v>
      </c>
      <c r="BH17" s="317">
        <v>0.13539999999999999</v>
      </c>
      <c r="BI17" s="317">
        <v>9.8199999999999996E-2</v>
      </c>
      <c r="BJ17" s="317">
        <v>-0.41489999999999999</v>
      </c>
    </row>
    <row r="18" spans="1:62">
      <c r="A18" s="82" t="s">
        <v>245</v>
      </c>
      <c r="B18" s="317">
        <v>1.34E-2</v>
      </c>
      <c r="C18" s="317">
        <v>-7.1400000000000005E-2</v>
      </c>
      <c r="D18" s="317">
        <v>8.8999999999999999E-3</v>
      </c>
      <c r="E18" s="317">
        <v>-4.6199999999999998E-2</v>
      </c>
      <c r="F18" s="317">
        <v>-3.4099999999999998E-2</v>
      </c>
      <c r="G18" s="317">
        <v>2.7000000000000001E-3</v>
      </c>
      <c r="H18" s="317">
        <v>1.1999999999999999E-3</v>
      </c>
      <c r="I18" s="317">
        <v>1.2800000000000001E-2</v>
      </c>
      <c r="J18" s="317">
        <v>-5.8700000000000002E-2</v>
      </c>
      <c r="K18" s="317">
        <v>-3.0000000000000001E-3</v>
      </c>
      <c r="L18" s="317">
        <v>-7.7000000000000002E-3</v>
      </c>
      <c r="M18" s="317">
        <v>4.4299999999999999E-2</v>
      </c>
      <c r="N18" s="317">
        <v>-4.3E-3</v>
      </c>
      <c r="O18" s="317">
        <v>3.27E-2</v>
      </c>
      <c r="P18" s="317">
        <v>-5.3999999999999999E-2</v>
      </c>
      <c r="Q18" s="317">
        <v>1</v>
      </c>
      <c r="R18" s="317">
        <v>0.96850000000000003</v>
      </c>
      <c r="S18" s="317">
        <v>0.96230000000000004</v>
      </c>
      <c r="T18" s="317">
        <v>0.2104</v>
      </c>
      <c r="U18" s="317">
        <v>-1.4200000000000001E-2</v>
      </c>
      <c r="V18" s="317">
        <v>2.1364000000000001E-5</v>
      </c>
      <c r="W18" s="317">
        <v>-7.0000000000000001E-3</v>
      </c>
      <c r="X18" s="317">
        <v>1.14E-2</v>
      </c>
      <c r="Y18" s="317">
        <v>2.9700000000000001E-2</v>
      </c>
      <c r="Z18" s="317">
        <v>-5.4000000000000003E-3</v>
      </c>
      <c r="AA18" s="317">
        <v>-3.4700000000000002E-2</v>
      </c>
      <c r="AB18" s="317">
        <v>5.11E-2</v>
      </c>
      <c r="AC18" s="317">
        <v>-5.6500000000000002E-2</v>
      </c>
      <c r="AD18" s="317">
        <v>1.1900000000000001E-2</v>
      </c>
      <c r="AE18" s="317">
        <v>0.19539999999999999</v>
      </c>
      <c r="AF18" s="317">
        <v>3.2199999999999999E-2</v>
      </c>
      <c r="AG18" s="317">
        <v>-2.3999999999999998E-3</v>
      </c>
      <c r="AH18" s="317">
        <v>-7.0199999999999999E-2</v>
      </c>
      <c r="AI18" s="317">
        <v>2.3699999999999999E-2</v>
      </c>
      <c r="AJ18" s="317">
        <v>1.7100000000000001E-2</v>
      </c>
      <c r="AK18" s="317">
        <v>-1.26E-2</v>
      </c>
      <c r="AL18" s="317">
        <v>-9.0800000000000006E-2</v>
      </c>
      <c r="AM18" s="317">
        <v>-5.2900000000000003E-2</v>
      </c>
      <c r="AN18" s="317">
        <v>-2.3199999999999998E-2</v>
      </c>
      <c r="AO18" s="317">
        <v>5.3400000000000003E-2</v>
      </c>
      <c r="AP18" s="317">
        <v>-1.9E-2</v>
      </c>
      <c r="AQ18" s="317">
        <v>2.47E-2</v>
      </c>
      <c r="AR18" s="317">
        <v>1.6899999999999998E-2</v>
      </c>
      <c r="AS18" s="317">
        <v>4.19E-2</v>
      </c>
      <c r="AT18" s="317">
        <v>5.7000000000000002E-3</v>
      </c>
      <c r="AU18" s="317">
        <v>3.0469E-6</v>
      </c>
      <c r="AV18" s="317">
        <v>1.2999999999999999E-2</v>
      </c>
      <c r="AW18" s="317">
        <v>-4.6800000000000001E-2</v>
      </c>
      <c r="AX18" s="317">
        <v>-2.7000000000000001E-3</v>
      </c>
      <c r="AY18" s="317">
        <v>2.81E-2</v>
      </c>
      <c r="AZ18" s="317">
        <v>1.5699999999999999E-2</v>
      </c>
      <c r="BA18" s="317">
        <v>-4.3499999999999997E-2</v>
      </c>
      <c r="BB18" s="317">
        <v>5.1999999999999998E-2</v>
      </c>
      <c r="BC18" s="317">
        <v>-2.7300000000000001E-2</v>
      </c>
      <c r="BD18" s="317">
        <v>8.5000000000000006E-3</v>
      </c>
      <c r="BE18" s="317">
        <v>2.3300000000000001E-2</v>
      </c>
      <c r="BF18" s="317">
        <v>-9.5799999999999996E-2</v>
      </c>
      <c r="BG18" s="317">
        <v>-2.7799999999999998E-2</v>
      </c>
      <c r="BH18" s="317">
        <v>-4.8800000000000003E-2</v>
      </c>
      <c r="BI18" s="317">
        <v>-1.6299999999999999E-2</v>
      </c>
      <c r="BJ18" s="317">
        <v>3.5000000000000003E-2</v>
      </c>
    </row>
    <row r="19" spans="1:62">
      <c r="A19" s="82" t="s">
        <v>251</v>
      </c>
      <c r="B19" s="317">
        <v>-8.3999999999999995E-3</v>
      </c>
      <c r="C19" s="317">
        <v>-0.1215</v>
      </c>
      <c r="D19" s="317">
        <v>-4.5100000000000001E-2</v>
      </c>
      <c r="E19" s="317">
        <v>-8.9300000000000004E-2</v>
      </c>
      <c r="F19" s="317">
        <v>-8.48E-2</v>
      </c>
      <c r="G19" s="317">
        <v>-2.7799999999999998E-2</v>
      </c>
      <c r="H19" s="317">
        <v>5.3E-3</v>
      </c>
      <c r="I19" s="317">
        <v>-1.06E-2</v>
      </c>
      <c r="J19" s="317">
        <v>-0.1031</v>
      </c>
      <c r="K19" s="317">
        <v>1.38E-2</v>
      </c>
      <c r="L19" s="317">
        <v>-8.6E-3</v>
      </c>
      <c r="M19" s="317">
        <v>8.43E-2</v>
      </c>
      <c r="N19" s="317">
        <v>6.9999999999999999E-4</v>
      </c>
      <c r="O19" s="317">
        <v>2.2000000000000001E-3</v>
      </c>
      <c r="P19" s="317">
        <v>-0.23019999999999999</v>
      </c>
      <c r="Q19" s="317">
        <v>0.96850000000000003</v>
      </c>
      <c r="R19" s="317">
        <v>1</v>
      </c>
      <c r="S19" s="317">
        <v>0.94730000000000003</v>
      </c>
      <c r="T19" s="317">
        <v>0.50309999999999999</v>
      </c>
      <c r="U19" s="317">
        <v>2.0199999999999999E-2</v>
      </c>
      <c r="V19" s="317">
        <v>2.07E-2</v>
      </c>
      <c r="W19" s="317">
        <v>2.6599999999999999E-2</v>
      </c>
      <c r="X19" s="317">
        <v>0.113</v>
      </c>
      <c r="Y19" s="317">
        <v>2.52E-2</v>
      </c>
      <c r="Z19" s="317">
        <v>-4.19E-2</v>
      </c>
      <c r="AA19" s="317">
        <v>-5.1900000000000002E-2</v>
      </c>
      <c r="AB19" s="317">
        <v>0.1132</v>
      </c>
      <c r="AC19" s="317">
        <v>-7.2700000000000001E-2</v>
      </c>
      <c r="AD19" s="317">
        <v>5.1799999999999999E-2</v>
      </c>
      <c r="AE19" s="317">
        <v>0.28699999999999998</v>
      </c>
      <c r="AF19" s="317">
        <v>6.0699999999999997E-2</v>
      </c>
      <c r="AG19" s="317">
        <v>-3.6299999999999999E-2</v>
      </c>
      <c r="AH19" s="317">
        <v>-0.12139999999999999</v>
      </c>
      <c r="AI19" s="317">
        <v>4.3999999999999997E-2</v>
      </c>
      <c r="AJ19" s="317">
        <v>2.5899999999999999E-2</v>
      </c>
      <c r="AK19" s="317">
        <v>-2.6599999999999999E-2</v>
      </c>
      <c r="AL19" s="317">
        <v>-0.10340000000000001</v>
      </c>
      <c r="AM19" s="317">
        <v>-8.7599999999999997E-2</v>
      </c>
      <c r="AN19" s="317">
        <v>-1.5800000000000002E-2</v>
      </c>
      <c r="AO19" s="317">
        <v>9.2399999999999996E-2</v>
      </c>
      <c r="AP19" s="317">
        <v>-4.3999999999999997E-2</v>
      </c>
      <c r="AQ19" s="317">
        <v>2.9600000000000001E-2</v>
      </c>
      <c r="AR19" s="317">
        <v>3.7400000000000003E-2</v>
      </c>
      <c r="AS19" s="317">
        <v>4.58E-2</v>
      </c>
      <c r="AT19" s="317">
        <v>6.1999999999999998E-3</v>
      </c>
      <c r="AU19" s="317">
        <v>-6.4999999999999997E-3</v>
      </c>
      <c r="AV19" s="317">
        <v>3.7499999999999999E-2</v>
      </c>
      <c r="AW19" s="317">
        <v>-4.5199999999999997E-2</v>
      </c>
      <c r="AX19" s="317">
        <v>2.35E-2</v>
      </c>
      <c r="AY19" s="317">
        <v>0.04</v>
      </c>
      <c r="AZ19" s="317">
        <v>-9.1999999999999998E-3</v>
      </c>
      <c r="BA19" s="317">
        <v>-0.10349999999999999</v>
      </c>
      <c r="BB19" s="317">
        <v>3.8899999999999997E-2</v>
      </c>
      <c r="BC19" s="317">
        <v>-6.2300000000000001E-2</v>
      </c>
      <c r="BD19" s="317">
        <v>-1.4E-2</v>
      </c>
      <c r="BE19" s="317">
        <v>-1.66E-2</v>
      </c>
      <c r="BF19" s="317">
        <v>-0.186</v>
      </c>
      <c r="BG19" s="317">
        <v>-4.3999999999999997E-2</v>
      </c>
      <c r="BH19" s="317">
        <v>-8.6599999999999996E-2</v>
      </c>
      <c r="BI19" s="317">
        <v>-3.7400000000000003E-2</v>
      </c>
      <c r="BJ19" s="317">
        <v>0.1726</v>
      </c>
    </row>
    <row r="20" spans="1:62">
      <c r="A20" s="82" t="s">
        <v>258</v>
      </c>
      <c r="B20" s="317">
        <v>1.7899999999999999E-2</v>
      </c>
      <c r="C20" s="317">
        <v>-5.6399999999999999E-2</v>
      </c>
      <c r="D20" s="317">
        <v>1.5599999999999999E-2</v>
      </c>
      <c r="E20" s="317">
        <v>-4.3700000000000003E-2</v>
      </c>
      <c r="F20" s="317">
        <v>-2.6200000000000001E-2</v>
      </c>
      <c r="G20" s="317">
        <v>5.5199999999999999E-2</v>
      </c>
      <c r="H20" s="317">
        <v>-2.5000000000000001E-3</v>
      </c>
      <c r="I20" s="317">
        <v>-4.0000000000000001E-3</v>
      </c>
      <c r="J20" s="317">
        <v>-1.7299999999999999E-2</v>
      </c>
      <c r="K20" s="317">
        <v>-6.1000000000000004E-3</v>
      </c>
      <c r="L20" s="317">
        <v>-1.09E-2</v>
      </c>
      <c r="M20" s="317">
        <v>3.6700000000000003E-2</v>
      </c>
      <c r="N20" s="317">
        <v>1.2500000000000001E-2</v>
      </c>
      <c r="O20" s="317">
        <v>3.7999999999999999E-2</v>
      </c>
      <c r="P20" s="317">
        <v>0.1799</v>
      </c>
      <c r="Q20" s="317">
        <v>0.96230000000000004</v>
      </c>
      <c r="R20" s="317">
        <v>0.94730000000000003</v>
      </c>
      <c r="S20" s="317">
        <v>1</v>
      </c>
      <c r="T20" s="317">
        <v>0.30480000000000002</v>
      </c>
      <c r="U20" s="317">
        <v>-5.0000000000000001E-3</v>
      </c>
      <c r="V20" s="317">
        <v>6.7999999999999996E-3</v>
      </c>
      <c r="W20" s="317">
        <v>2.5999999999999999E-3</v>
      </c>
      <c r="X20" s="317">
        <v>-3.2899999999999999E-2</v>
      </c>
      <c r="Y20" s="317">
        <v>3.32E-2</v>
      </c>
      <c r="Z20" s="317">
        <v>1.7999999999999999E-2</v>
      </c>
      <c r="AA20" s="317">
        <v>-3.2199999999999999E-2</v>
      </c>
      <c r="AB20" s="317">
        <v>3.9199999999999999E-2</v>
      </c>
      <c r="AC20" s="317">
        <v>-4.8800000000000003E-2</v>
      </c>
      <c r="AD20" s="317">
        <v>1.6799999999999999E-2</v>
      </c>
      <c r="AE20" s="317">
        <v>0.17080000000000001</v>
      </c>
      <c r="AF20" s="317">
        <v>4.4900000000000002E-2</v>
      </c>
      <c r="AG20" s="317">
        <v>4.7100000000000003E-2</v>
      </c>
      <c r="AH20" s="317">
        <v>-6.3500000000000001E-2</v>
      </c>
      <c r="AI20" s="317">
        <v>3.04E-2</v>
      </c>
      <c r="AJ20" s="317">
        <v>6.1999999999999998E-3</v>
      </c>
      <c r="AK20" s="317">
        <v>-1.17E-2</v>
      </c>
      <c r="AL20" s="317">
        <v>-0.10639999999999999</v>
      </c>
      <c r="AM20" s="317">
        <v>-5.8500000000000003E-2</v>
      </c>
      <c r="AN20" s="317">
        <v>-3.1899999999999998E-2</v>
      </c>
      <c r="AO20" s="317">
        <v>6.5799999999999997E-2</v>
      </c>
      <c r="AP20" s="317">
        <v>-2.3199999999999998E-2</v>
      </c>
      <c r="AQ20" s="317">
        <v>9.4000000000000004E-3</v>
      </c>
      <c r="AR20" s="317">
        <v>1.4E-2</v>
      </c>
      <c r="AS20" s="317">
        <v>3.4700000000000002E-2</v>
      </c>
      <c r="AT20" s="317">
        <v>2.2000000000000001E-3</v>
      </c>
      <c r="AU20" s="317">
        <v>7.7999999999999996E-3</v>
      </c>
      <c r="AV20" s="317">
        <v>-1.15E-2</v>
      </c>
      <c r="AW20" s="317">
        <v>-0.04</v>
      </c>
      <c r="AX20" s="317">
        <v>2.0899999999999998E-2</v>
      </c>
      <c r="AY20" s="317">
        <v>2.0400000000000001E-2</v>
      </c>
      <c r="AZ20" s="317">
        <v>1.95E-2</v>
      </c>
      <c r="BA20" s="317">
        <v>-2.92E-2</v>
      </c>
      <c r="BB20" s="317">
        <v>5.8299999999999998E-2</v>
      </c>
      <c r="BC20" s="317">
        <v>-2.1499999999999998E-2</v>
      </c>
      <c r="BD20" s="317">
        <v>-3.3E-3</v>
      </c>
      <c r="BE20" s="317">
        <v>2.75E-2</v>
      </c>
      <c r="BF20" s="317">
        <v>-7.4700000000000003E-2</v>
      </c>
      <c r="BG20" s="317">
        <v>-4.24E-2</v>
      </c>
      <c r="BH20" s="317">
        <v>-6.0699999999999997E-2</v>
      </c>
      <c r="BI20" s="317">
        <v>-2.8799999999999999E-2</v>
      </c>
      <c r="BJ20" s="317">
        <v>2.7099999999999999E-2</v>
      </c>
    </row>
    <row r="21" spans="1:62">
      <c r="A21" s="82" t="s">
        <v>264</v>
      </c>
      <c r="B21" s="317">
        <v>-4.65E-2</v>
      </c>
      <c r="C21" s="317">
        <v>-0.22670000000000001</v>
      </c>
      <c r="D21" s="317">
        <v>-0.13109999999999999</v>
      </c>
      <c r="E21" s="317">
        <v>-0.19639999999999999</v>
      </c>
      <c r="F21" s="317">
        <v>-0.22289999999999999</v>
      </c>
      <c r="G21" s="317">
        <v>-0.1032</v>
      </c>
      <c r="H21" s="317">
        <v>4.5400000000000003E-2</v>
      </c>
      <c r="I21" s="317">
        <v>-5.0500000000000003E-2</v>
      </c>
      <c r="J21" s="317">
        <v>-0.16919999999999999</v>
      </c>
      <c r="K21" s="317">
        <v>9.7900000000000001E-2</v>
      </c>
      <c r="L21" s="317">
        <v>2.35E-2</v>
      </c>
      <c r="M21" s="317">
        <v>0.2208</v>
      </c>
      <c r="N21" s="317">
        <v>6.8099999999999994E-2</v>
      </c>
      <c r="O21" s="317">
        <v>-7.1999999999999998E-3</v>
      </c>
      <c r="P21" s="317">
        <v>-0.58950000000000002</v>
      </c>
      <c r="Q21" s="317">
        <v>0.2104</v>
      </c>
      <c r="R21" s="317">
        <v>0.50309999999999999</v>
      </c>
      <c r="S21" s="317">
        <v>0.30480000000000002</v>
      </c>
      <c r="T21" s="317">
        <v>1</v>
      </c>
      <c r="U21" s="317">
        <v>9.8799999999999999E-2</v>
      </c>
      <c r="V21" s="317">
        <v>6.4500000000000002E-2</v>
      </c>
      <c r="W21" s="317">
        <v>9.9000000000000005E-2</v>
      </c>
      <c r="X21" s="317">
        <v>0.29220000000000002</v>
      </c>
      <c r="Y21" s="317">
        <v>-8.9999999999999998E-4</v>
      </c>
      <c r="Z21" s="317">
        <v>-5.8099999999999999E-2</v>
      </c>
      <c r="AA21" s="317">
        <v>-9.74E-2</v>
      </c>
      <c r="AB21" s="317">
        <v>0.2087</v>
      </c>
      <c r="AC21" s="317">
        <v>-9.5200000000000007E-2</v>
      </c>
      <c r="AD21" s="317">
        <v>0.15579999999999999</v>
      </c>
      <c r="AE21" s="317">
        <v>0.34100000000000003</v>
      </c>
      <c r="AF21" s="317">
        <v>0.1928</v>
      </c>
      <c r="AG21" s="317">
        <v>-0.12379999999999999</v>
      </c>
      <c r="AH21" s="317">
        <v>-0.22459999999999999</v>
      </c>
      <c r="AI21" s="317">
        <v>0.12089999999999999</v>
      </c>
      <c r="AJ21" s="317">
        <v>4.5600000000000002E-2</v>
      </c>
      <c r="AK21" s="317">
        <v>-3.1399999999999997E-2</v>
      </c>
      <c r="AL21" s="317">
        <v>-8.2000000000000003E-2</v>
      </c>
      <c r="AM21" s="317">
        <v>-0.16589999999999999</v>
      </c>
      <c r="AN21" s="317">
        <v>2.07E-2</v>
      </c>
      <c r="AO21" s="317">
        <v>0.19209999999999999</v>
      </c>
      <c r="AP21" s="317">
        <v>-0.105</v>
      </c>
      <c r="AQ21" s="317">
        <v>-1.3599999999999999E-2</v>
      </c>
      <c r="AR21" s="317">
        <v>5.3699999999999998E-2</v>
      </c>
      <c r="AS21" s="317">
        <v>8.4400000000000003E-2</v>
      </c>
      <c r="AT21" s="317">
        <v>-2.6599999999999999E-2</v>
      </c>
      <c r="AU21" s="317">
        <v>-7.6E-3</v>
      </c>
      <c r="AV21" s="317">
        <v>4.6699999999999998E-2</v>
      </c>
      <c r="AW21" s="317">
        <v>4.4000000000000003E-3</v>
      </c>
      <c r="AX21" s="317">
        <v>9.6699999999999994E-2</v>
      </c>
      <c r="AY21" s="317">
        <v>7.7200000000000005E-2</v>
      </c>
      <c r="AZ21" s="317">
        <v>-6.7000000000000002E-3</v>
      </c>
      <c r="BA21" s="317">
        <v>-0.23169999999999999</v>
      </c>
      <c r="BB21" s="317">
        <v>-2.53E-2</v>
      </c>
      <c r="BC21" s="317">
        <v>-0.1434</v>
      </c>
      <c r="BD21" s="317">
        <v>-1.6999999999999999E-3</v>
      </c>
      <c r="BE21" s="317">
        <v>-3.2899999999999999E-2</v>
      </c>
      <c r="BF21" s="317">
        <v>-0.35210000000000002</v>
      </c>
      <c r="BG21" s="317">
        <v>-7.8399999999999997E-2</v>
      </c>
      <c r="BH21" s="317">
        <v>-0.18340000000000001</v>
      </c>
      <c r="BI21" s="317">
        <v>-0.1096</v>
      </c>
      <c r="BJ21" s="317">
        <v>0.4662</v>
      </c>
    </row>
    <row r="22" spans="1:62">
      <c r="A22" s="82" t="s">
        <v>269</v>
      </c>
      <c r="B22" s="317">
        <v>-0.10929999999999999</v>
      </c>
      <c r="C22" s="317">
        <v>-4.7600000000000003E-2</v>
      </c>
      <c r="D22" s="317">
        <v>-3.3E-3</v>
      </c>
      <c r="E22" s="317">
        <v>-3.5000000000000001E-3</v>
      </c>
      <c r="F22" s="317">
        <v>5.4000000000000003E-3</v>
      </c>
      <c r="G22" s="317">
        <v>3.4799999999999998E-2</v>
      </c>
      <c r="H22" s="317">
        <v>1.6899999999999998E-2</v>
      </c>
      <c r="I22" s="317">
        <v>-7.9200000000000007E-2</v>
      </c>
      <c r="J22" s="317">
        <v>-1.8200000000000001E-2</v>
      </c>
      <c r="K22" s="317">
        <v>5.7999999999999996E-3</v>
      </c>
      <c r="L22" s="317">
        <v>-8.8999999999999999E-3</v>
      </c>
      <c r="M22" s="317">
        <v>-3.8600000000000002E-2</v>
      </c>
      <c r="N22" s="317">
        <v>-4.2000000000000003E-2</v>
      </c>
      <c r="O22" s="317">
        <v>1.12E-2</v>
      </c>
      <c r="P22" s="317">
        <v>-5.5399999999999998E-2</v>
      </c>
      <c r="Q22" s="317">
        <v>-1.4200000000000001E-2</v>
      </c>
      <c r="R22" s="317">
        <v>2.0199999999999999E-2</v>
      </c>
      <c r="S22" s="317">
        <v>-5.0000000000000001E-3</v>
      </c>
      <c r="T22" s="317">
        <v>9.8799999999999999E-2</v>
      </c>
      <c r="U22" s="317">
        <v>1</v>
      </c>
      <c r="V22" s="317">
        <v>0.37380000000000002</v>
      </c>
      <c r="W22" s="317">
        <v>0.8075</v>
      </c>
      <c r="X22" s="317">
        <v>-6.6100000000000006E-2</v>
      </c>
      <c r="Y22" s="317">
        <v>2.07E-2</v>
      </c>
      <c r="Z22" s="317">
        <v>-7.3599999999999999E-2</v>
      </c>
      <c r="AA22" s="317">
        <v>2.9899999999999999E-2</v>
      </c>
      <c r="AB22" s="317">
        <v>4.2999999999999997E-2</v>
      </c>
      <c r="AC22" s="317">
        <v>-7.6700000000000004E-2</v>
      </c>
      <c r="AD22" s="317">
        <v>3.09E-2</v>
      </c>
      <c r="AE22" s="317">
        <v>0.25729999999999997</v>
      </c>
      <c r="AF22" s="317">
        <v>2.29E-2</v>
      </c>
      <c r="AG22" s="317">
        <v>-8.8999999999999999E-3</v>
      </c>
      <c r="AH22" s="317">
        <v>-7.8799999999999995E-2</v>
      </c>
      <c r="AI22" s="317">
        <v>-2.2100000000000002E-2</v>
      </c>
      <c r="AJ22" s="317">
        <v>-0.1067</v>
      </c>
      <c r="AK22" s="317">
        <v>-3.9E-2</v>
      </c>
      <c r="AL22" s="317">
        <v>-3.7999999999999999E-2</v>
      </c>
      <c r="AM22" s="317">
        <v>-1.78E-2</v>
      </c>
      <c r="AN22" s="317">
        <v>4.3E-3</v>
      </c>
      <c r="AO22" s="317">
        <v>6.8900000000000003E-2</v>
      </c>
      <c r="AP22" s="317">
        <v>-7.1000000000000004E-3</v>
      </c>
      <c r="AQ22" s="317">
        <v>1.24E-2</v>
      </c>
      <c r="AR22" s="317">
        <v>4.3799999999999999E-2</v>
      </c>
      <c r="AS22" s="317">
        <v>9.3899999999999997E-2</v>
      </c>
      <c r="AT22" s="317">
        <v>7.7999999999999996E-3</v>
      </c>
      <c r="AU22" s="317">
        <v>-3.8899999999999997E-2</v>
      </c>
      <c r="AV22" s="317">
        <v>4.4699999999999997E-2</v>
      </c>
      <c r="AW22" s="317">
        <v>4.6600000000000003E-2</v>
      </c>
      <c r="AX22" s="317">
        <v>1.7299999999999999E-2</v>
      </c>
      <c r="AY22" s="317">
        <v>-5.2400000000000002E-2</v>
      </c>
      <c r="AZ22" s="317">
        <v>-0.12870000000000001</v>
      </c>
      <c r="BA22" s="317">
        <v>-7.85E-2</v>
      </c>
      <c r="BB22" s="317">
        <v>3.6499999999999998E-2</v>
      </c>
      <c r="BC22" s="317">
        <v>-7.7200000000000005E-2</v>
      </c>
      <c r="BD22" s="317">
        <v>-0.1173</v>
      </c>
      <c r="BE22" s="317">
        <v>8.6E-3</v>
      </c>
      <c r="BF22" s="317">
        <v>-0.16200000000000001</v>
      </c>
      <c r="BG22" s="317">
        <v>-1.5100000000000001E-2</v>
      </c>
      <c r="BH22" s="317">
        <v>-3.8399999999999997E-2</v>
      </c>
      <c r="BI22" s="317">
        <v>-1.8700000000000001E-2</v>
      </c>
      <c r="BJ22" s="317">
        <v>0.14169999999999999</v>
      </c>
    </row>
    <row r="23" spans="1:62">
      <c r="A23" s="82" t="s">
        <v>279</v>
      </c>
      <c r="B23" s="317">
        <v>-0.14680000000000001</v>
      </c>
      <c r="C23" s="317">
        <v>-0.1053</v>
      </c>
      <c r="D23" s="317">
        <v>-4.3700000000000003E-2</v>
      </c>
      <c r="E23" s="317">
        <v>4.1000000000000003E-3</v>
      </c>
      <c r="F23" s="317">
        <v>1.7600000000000001E-2</v>
      </c>
      <c r="G23" s="317">
        <v>-1.4999999999999999E-2</v>
      </c>
      <c r="H23" s="317">
        <v>-3.0999999999999999E-3</v>
      </c>
      <c r="I23" s="317">
        <v>-7.7899999999999997E-2</v>
      </c>
      <c r="J23" s="317">
        <v>-5.5500000000000001E-2</v>
      </c>
      <c r="K23" s="317">
        <v>-6.6E-3</v>
      </c>
      <c r="L23" s="317">
        <v>-1.84E-2</v>
      </c>
      <c r="M23" s="317">
        <v>-4.1000000000000002E-2</v>
      </c>
      <c r="N23" s="317">
        <v>-7.7499999999999999E-2</v>
      </c>
      <c r="O23" s="317">
        <v>-3.8199999999999998E-2</v>
      </c>
      <c r="P23" s="317">
        <v>-2.7E-2</v>
      </c>
      <c r="Q23" s="317">
        <v>2.1364000000000001E-5</v>
      </c>
      <c r="R23" s="317">
        <v>2.07E-2</v>
      </c>
      <c r="S23" s="317">
        <v>6.7999999999999996E-3</v>
      </c>
      <c r="T23" s="317">
        <v>6.4500000000000002E-2</v>
      </c>
      <c r="U23" s="317">
        <v>0.37380000000000002</v>
      </c>
      <c r="V23" s="317">
        <v>1</v>
      </c>
      <c r="W23" s="317">
        <v>0.84870000000000001</v>
      </c>
      <c r="X23" s="317">
        <v>-2.9600000000000001E-2</v>
      </c>
      <c r="Y23" s="317">
        <v>2.0299999999999999E-2</v>
      </c>
      <c r="Z23" s="317">
        <v>-0.15479999999999999</v>
      </c>
      <c r="AA23" s="317">
        <v>4.6300000000000001E-2</v>
      </c>
      <c r="AB23" s="317">
        <v>2.1499999999999998E-2</v>
      </c>
      <c r="AC23" s="317">
        <v>-6.1899999999999997E-2</v>
      </c>
      <c r="AD23" s="317">
        <v>2.3199999999999998E-2</v>
      </c>
      <c r="AE23" s="317">
        <v>0.2828</v>
      </c>
      <c r="AF23" s="317">
        <v>-3.6499999999999998E-2</v>
      </c>
      <c r="AG23" s="317">
        <v>-1.9900000000000001E-2</v>
      </c>
      <c r="AH23" s="317">
        <v>-0.1076</v>
      </c>
      <c r="AI23" s="317">
        <v>-4.1300000000000003E-2</v>
      </c>
      <c r="AJ23" s="317">
        <v>-9.0200000000000002E-2</v>
      </c>
      <c r="AK23" s="317">
        <v>-4.1300000000000003E-2</v>
      </c>
      <c r="AL23" s="317">
        <v>-6.9900000000000004E-2</v>
      </c>
      <c r="AM23" s="317">
        <v>-2.8000000000000001E-2</v>
      </c>
      <c r="AN23" s="317">
        <v>1.4E-3</v>
      </c>
      <c r="AO23" s="317">
        <v>1.23E-2</v>
      </c>
      <c r="AP23" s="317">
        <v>2.8999999999999998E-3</v>
      </c>
      <c r="AQ23" s="317">
        <v>9.1399999999999995E-2</v>
      </c>
      <c r="AR23" s="317">
        <v>6.0299999999999999E-2</v>
      </c>
      <c r="AS23" s="317">
        <v>-6.4299999999999996E-2</v>
      </c>
      <c r="AT23" s="317">
        <v>2.1499999999999998E-2</v>
      </c>
      <c r="AU23" s="317">
        <v>2.5399999999999999E-2</v>
      </c>
      <c r="AV23" s="317">
        <v>0.12470000000000001</v>
      </c>
      <c r="AW23" s="317">
        <v>1.7299999999999999E-2</v>
      </c>
      <c r="AX23" s="317">
        <v>-9.7999999999999997E-3</v>
      </c>
      <c r="AY23" s="317">
        <v>-4.5499999999999999E-2</v>
      </c>
      <c r="AZ23" s="317">
        <v>-7.3899999999999993E-2</v>
      </c>
      <c r="BA23" s="317">
        <v>-2.3699999999999999E-2</v>
      </c>
      <c r="BB23" s="317">
        <v>2.35E-2</v>
      </c>
      <c r="BC23" s="317">
        <v>-8.7900000000000006E-2</v>
      </c>
      <c r="BD23" s="317">
        <v>-0.1336</v>
      </c>
      <c r="BE23" s="317">
        <v>-2.53E-2</v>
      </c>
      <c r="BF23" s="317">
        <v>-0.1129</v>
      </c>
      <c r="BG23" s="317">
        <v>-1.5699999999999999E-2</v>
      </c>
      <c r="BH23" s="317">
        <v>-3.6999999999999998E-2</v>
      </c>
      <c r="BI23" s="317">
        <v>1.12E-2</v>
      </c>
      <c r="BJ23" s="317">
        <v>0.19059999999999999</v>
      </c>
    </row>
    <row r="24" spans="1:62">
      <c r="A24" s="82" t="s">
        <v>285</v>
      </c>
      <c r="B24" s="317">
        <v>-0.15429999999999999</v>
      </c>
      <c r="C24" s="317">
        <v>-9.7199999999999995E-2</v>
      </c>
      <c r="D24" s="317">
        <v>-3.0200000000000001E-2</v>
      </c>
      <c r="E24" s="317">
        <v>-1.4E-3</v>
      </c>
      <c r="F24" s="317">
        <v>1.1900000000000001E-2</v>
      </c>
      <c r="G24" s="317">
        <v>1.11E-2</v>
      </c>
      <c r="H24" s="317">
        <v>7.1999999999999998E-3</v>
      </c>
      <c r="I24" s="317">
        <v>-9.9500000000000005E-2</v>
      </c>
      <c r="J24" s="317">
        <v>-4.3900000000000002E-2</v>
      </c>
      <c r="K24" s="317">
        <v>2.0000000000000001E-4</v>
      </c>
      <c r="L24" s="317">
        <v>-1.7600000000000001E-2</v>
      </c>
      <c r="M24" s="317">
        <v>-4.48E-2</v>
      </c>
      <c r="N24" s="317">
        <v>-6.9400000000000003E-2</v>
      </c>
      <c r="O24" s="317">
        <v>-1.6299999999999999E-2</v>
      </c>
      <c r="P24" s="317">
        <v>-4.99E-2</v>
      </c>
      <c r="Q24" s="317">
        <v>-7.0000000000000001E-3</v>
      </c>
      <c r="R24" s="317">
        <v>2.6599999999999999E-2</v>
      </c>
      <c r="S24" s="317">
        <v>2.5999999999999999E-3</v>
      </c>
      <c r="T24" s="317">
        <v>9.9000000000000005E-2</v>
      </c>
      <c r="U24" s="317">
        <v>0.8075</v>
      </c>
      <c r="V24" s="317">
        <v>0.84870000000000001</v>
      </c>
      <c r="W24" s="317">
        <v>1</v>
      </c>
      <c r="X24" s="317">
        <v>-5.3900000000000003E-2</v>
      </c>
      <c r="Y24" s="317">
        <v>2.5499999999999998E-2</v>
      </c>
      <c r="Z24" s="317">
        <v>-0.13980000000000001</v>
      </c>
      <c r="AA24" s="317">
        <v>4.3099999999999999E-2</v>
      </c>
      <c r="AB24" s="317">
        <v>4.0300000000000002E-2</v>
      </c>
      <c r="AC24" s="317">
        <v>-8.3599999999999994E-2</v>
      </c>
      <c r="AD24" s="317">
        <v>3.3099999999999997E-2</v>
      </c>
      <c r="AE24" s="317">
        <v>0.32740000000000002</v>
      </c>
      <c r="AF24" s="317">
        <v>-6.7999999999999996E-3</v>
      </c>
      <c r="AG24" s="317">
        <v>-1.67E-2</v>
      </c>
      <c r="AH24" s="317">
        <v>-0.114</v>
      </c>
      <c r="AI24" s="317">
        <v>-3.78E-2</v>
      </c>
      <c r="AJ24" s="317">
        <v>-0.1159</v>
      </c>
      <c r="AK24" s="317">
        <v>-4.99E-2</v>
      </c>
      <c r="AL24" s="317">
        <v>-6.6500000000000004E-2</v>
      </c>
      <c r="AM24" s="317">
        <v>-2.8500000000000001E-2</v>
      </c>
      <c r="AN24" s="317">
        <v>1.9E-3</v>
      </c>
      <c r="AO24" s="317">
        <v>4.7100000000000003E-2</v>
      </c>
      <c r="AP24" s="317">
        <v>-1E-4</v>
      </c>
      <c r="AQ24" s="317">
        <v>6.2E-2</v>
      </c>
      <c r="AR24" s="317">
        <v>6.2199999999999998E-2</v>
      </c>
      <c r="AS24" s="317">
        <v>1.4200000000000001E-2</v>
      </c>
      <c r="AT24" s="317">
        <v>1.9E-2</v>
      </c>
      <c r="AU24" s="317">
        <v>-8.9999999999999993E-3</v>
      </c>
      <c r="AV24" s="317">
        <v>0.1041</v>
      </c>
      <c r="AW24" s="317">
        <v>3.61E-2</v>
      </c>
      <c r="AX24" s="317">
        <v>5.4999999999999997E-3</v>
      </c>
      <c r="AY24" s="317">
        <v>-5.5300000000000002E-2</v>
      </c>
      <c r="AZ24" s="317">
        <v>-0.1179</v>
      </c>
      <c r="BA24" s="317">
        <v>-6.1800000000000001E-2</v>
      </c>
      <c r="BB24" s="317">
        <v>3.6799999999999999E-2</v>
      </c>
      <c r="BC24" s="317">
        <v>-0.1037</v>
      </c>
      <c r="BD24" s="317">
        <v>-0.14990000000000001</v>
      </c>
      <c r="BE24" s="317">
        <v>-1.04E-2</v>
      </c>
      <c r="BF24" s="317">
        <v>-0.16719999999999999</v>
      </c>
      <c r="BG24" s="317">
        <v>-1.78E-2</v>
      </c>
      <c r="BH24" s="317">
        <v>-4.7E-2</v>
      </c>
      <c r="BI24" s="317">
        <v>-6.1999999999999998E-3</v>
      </c>
      <c r="BJ24" s="317">
        <v>0.2069</v>
      </c>
    </row>
    <row r="25" spans="1:62">
      <c r="A25" s="10" t="s">
        <v>7</v>
      </c>
      <c r="B25" s="317">
        <v>-2.18E-2</v>
      </c>
      <c r="C25" s="317">
        <v>-0.3619</v>
      </c>
      <c r="D25" s="317">
        <v>-0.33289999999999997</v>
      </c>
      <c r="E25" s="317">
        <v>-0.32179999999999997</v>
      </c>
      <c r="F25" s="317">
        <v>-0.27260000000000001</v>
      </c>
      <c r="G25" s="317">
        <v>-1.7399999999999999E-2</v>
      </c>
      <c r="H25" s="317">
        <v>2.8000000000000001E-2</v>
      </c>
      <c r="I25" s="317">
        <v>-7.2900000000000006E-2</v>
      </c>
      <c r="J25" s="317">
        <v>-0.28370000000000001</v>
      </c>
      <c r="K25" s="317">
        <v>0.22209999999999999</v>
      </c>
      <c r="L25" s="317">
        <v>6.9000000000000006E-2</v>
      </c>
      <c r="M25" s="317">
        <v>0.32450000000000001</v>
      </c>
      <c r="N25" s="317">
        <v>6.59E-2</v>
      </c>
      <c r="O25" s="317">
        <v>-2.86E-2</v>
      </c>
      <c r="P25" s="317">
        <v>-0.3674</v>
      </c>
      <c r="Q25" s="317">
        <v>1.14E-2</v>
      </c>
      <c r="R25" s="317">
        <v>0.113</v>
      </c>
      <c r="S25" s="317">
        <v>-3.2899999999999999E-2</v>
      </c>
      <c r="T25" s="317">
        <v>0.29220000000000002</v>
      </c>
      <c r="U25" s="317">
        <v>-6.6100000000000006E-2</v>
      </c>
      <c r="V25" s="317">
        <v>-2.9600000000000001E-2</v>
      </c>
      <c r="W25" s="317">
        <v>-5.3900000000000003E-2</v>
      </c>
      <c r="X25" s="317">
        <v>1</v>
      </c>
      <c r="Y25" s="317">
        <v>-3.7100000000000001E-2</v>
      </c>
      <c r="Z25" s="317">
        <v>-0.11310000000000001</v>
      </c>
      <c r="AA25" s="317">
        <v>-8.2500000000000004E-2</v>
      </c>
      <c r="AB25" s="317">
        <v>0.30669999999999997</v>
      </c>
      <c r="AC25" s="317">
        <v>-0.13739999999999999</v>
      </c>
      <c r="AD25" s="317">
        <v>0.3221</v>
      </c>
      <c r="AE25" s="317">
        <v>0.2913</v>
      </c>
      <c r="AF25" s="317">
        <v>0.19309999999999999</v>
      </c>
      <c r="AG25" s="317">
        <v>-5.8700000000000002E-2</v>
      </c>
      <c r="AH25" s="317">
        <v>-0.29880000000000001</v>
      </c>
      <c r="AI25" s="317">
        <v>0.20860000000000001</v>
      </c>
      <c r="AJ25" s="317">
        <v>0.13250000000000001</v>
      </c>
      <c r="AK25" s="317">
        <v>-4.9399999999999999E-2</v>
      </c>
      <c r="AL25" s="317">
        <v>-8.4599999999999995E-2</v>
      </c>
      <c r="AM25" s="317">
        <v>-0.18410000000000001</v>
      </c>
      <c r="AN25" s="317">
        <v>1.5100000000000001E-2</v>
      </c>
      <c r="AO25" s="317">
        <v>0.2185</v>
      </c>
      <c r="AP25" s="317">
        <v>-9.1600000000000001E-2</v>
      </c>
      <c r="AQ25" s="317">
        <v>1.9900000000000001E-2</v>
      </c>
      <c r="AR25" s="317">
        <v>8.3900000000000002E-2</v>
      </c>
      <c r="AS25" s="317">
        <v>1.03E-2</v>
      </c>
      <c r="AT25" s="317">
        <v>1.6299999999999999E-2</v>
      </c>
      <c r="AU25" s="317">
        <v>-2.87E-2</v>
      </c>
      <c r="AV25" s="317">
        <v>0.16800000000000001</v>
      </c>
      <c r="AW25" s="317">
        <v>-8.1799999999999998E-2</v>
      </c>
      <c r="AX25" s="317">
        <v>5.5999999999999999E-3</v>
      </c>
      <c r="AY25" s="317">
        <v>0.13550000000000001</v>
      </c>
      <c r="AZ25" s="317">
        <v>5.3400000000000003E-2</v>
      </c>
      <c r="BA25" s="317">
        <v>-0.27110000000000001</v>
      </c>
      <c r="BB25" s="317">
        <v>-0.10100000000000001</v>
      </c>
      <c r="BC25" s="317">
        <v>-0.18479999999999999</v>
      </c>
      <c r="BD25" s="317">
        <v>7.0800000000000002E-2</v>
      </c>
      <c r="BE25" s="317">
        <v>-9.5600000000000004E-2</v>
      </c>
      <c r="BF25" s="317">
        <v>-0.54139999999999999</v>
      </c>
      <c r="BG25" s="317">
        <v>-1.5299999999999999E-2</v>
      </c>
      <c r="BH25" s="317">
        <v>-0.25059999999999999</v>
      </c>
      <c r="BI25" s="317">
        <v>-0.14030000000000001</v>
      </c>
      <c r="BJ25" s="317">
        <v>0.55330000000000001</v>
      </c>
    </row>
    <row r="26" spans="1:62">
      <c r="A26" s="82" t="s">
        <v>583</v>
      </c>
      <c r="B26" s="317">
        <v>-5.5100000000000003E-2</v>
      </c>
      <c r="C26" s="317">
        <v>-4.48E-2</v>
      </c>
      <c r="D26" s="317">
        <v>-3.6700000000000003E-2</v>
      </c>
      <c r="E26" s="317">
        <v>-6.1000000000000004E-3</v>
      </c>
      <c r="F26" s="317">
        <v>-4.4999999999999998E-2</v>
      </c>
      <c r="G26" s="317">
        <v>3.8999999999999998E-3</v>
      </c>
      <c r="H26" s="317">
        <v>6.2600000000000003E-2</v>
      </c>
      <c r="I26" s="317">
        <v>-9.1999999999999998E-3</v>
      </c>
      <c r="J26" s="317">
        <v>-1.0699999999999999E-2</v>
      </c>
      <c r="K26" s="317">
        <v>7.7999999999999996E-3</v>
      </c>
      <c r="L26" s="317">
        <v>2.1999999999999999E-2</v>
      </c>
      <c r="M26" s="317">
        <v>3.3799999999999997E-2</v>
      </c>
      <c r="N26" s="317">
        <v>-4.5400000000000003E-2</v>
      </c>
      <c r="O26" s="317">
        <v>6.4000000000000001E-2</v>
      </c>
      <c r="P26" s="317">
        <v>3.0499999999999999E-2</v>
      </c>
      <c r="Q26" s="317">
        <v>2.9700000000000001E-2</v>
      </c>
      <c r="R26" s="317">
        <v>2.52E-2</v>
      </c>
      <c r="S26" s="317">
        <v>3.32E-2</v>
      </c>
      <c r="T26" s="317">
        <v>-8.9999999999999998E-4</v>
      </c>
      <c r="U26" s="317">
        <v>2.07E-2</v>
      </c>
      <c r="V26" s="317">
        <v>2.0299999999999999E-2</v>
      </c>
      <c r="W26" s="317">
        <v>2.5499999999999998E-2</v>
      </c>
      <c r="X26" s="317">
        <v>-3.7100000000000001E-2</v>
      </c>
      <c r="Y26" s="317">
        <v>1</v>
      </c>
      <c r="Z26" s="317">
        <v>-4.2799999999999998E-2</v>
      </c>
      <c r="AA26" s="317">
        <v>3.85E-2</v>
      </c>
      <c r="AB26" s="317">
        <v>3.3399999999999999E-2</v>
      </c>
      <c r="AC26" s="317">
        <v>-4.4600000000000001E-2</v>
      </c>
      <c r="AD26" s="317">
        <v>5.1999999999999998E-3</v>
      </c>
      <c r="AE26" s="317">
        <v>-4.4900000000000002E-2</v>
      </c>
      <c r="AF26" s="317">
        <v>7.7399999999999997E-2</v>
      </c>
      <c r="AG26" s="317">
        <v>2.6700000000000002E-2</v>
      </c>
      <c r="AH26" s="317">
        <v>-3.9199999999999999E-2</v>
      </c>
      <c r="AI26" s="317">
        <v>-4.0000000000000002E-4</v>
      </c>
      <c r="AJ26" s="317">
        <v>-4.19E-2</v>
      </c>
      <c r="AK26" s="317">
        <v>3.49E-2</v>
      </c>
      <c r="AL26" s="317">
        <v>4.1099999999999998E-2</v>
      </c>
      <c r="AM26" s="317">
        <v>-1.5299999999999999E-2</v>
      </c>
      <c r="AN26" s="317">
        <v>9.7199999999999995E-2</v>
      </c>
      <c r="AO26" s="317">
        <v>4.8500000000000001E-2</v>
      </c>
      <c r="AP26" s="317">
        <v>-2.3599999999999999E-2</v>
      </c>
      <c r="AQ26" s="317">
        <v>-2.1299999999999999E-2</v>
      </c>
      <c r="AR26" s="317">
        <v>-6.2600000000000003E-2</v>
      </c>
      <c r="AS26" s="317">
        <v>4.4999999999999998E-2</v>
      </c>
      <c r="AT26" s="317">
        <v>-3.7999999999999999E-2</v>
      </c>
      <c r="AU26" s="317">
        <v>1.52E-2</v>
      </c>
      <c r="AV26" s="317">
        <v>-2.5999999999999999E-3</v>
      </c>
      <c r="AW26" s="317">
        <v>1.1599999999999999E-2</v>
      </c>
      <c r="AX26" s="317">
        <v>7.8600000000000003E-2</v>
      </c>
      <c r="AY26" s="317">
        <v>-2.5000000000000001E-3</v>
      </c>
      <c r="AZ26" s="317">
        <v>-1.2500000000000001E-2</v>
      </c>
      <c r="BA26" s="317">
        <v>-7.46E-2</v>
      </c>
      <c r="BB26" s="317">
        <v>7.8700000000000006E-2</v>
      </c>
      <c r="BC26" s="317">
        <v>-5.0000000000000001E-4</v>
      </c>
      <c r="BD26" s="317">
        <v>-2.92E-2</v>
      </c>
      <c r="BE26" s="317">
        <v>9.3299999999999994E-2</v>
      </c>
      <c r="BF26" s="317">
        <v>-7.4700000000000003E-2</v>
      </c>
      <c r="BG26" s="317">
        <v>-1.7600000000000001E-2</v>
      </c>
      <c r="BH26" s="317">
        <v>-4.5699999999999998E-2</v>
      </c>
      <c r="BI26" s="317">
        <v>-6.4600000000000005E-2</v>
      </c>
      <c r="BJ26" s="317">
        <v>-2.8E-3</v>
      </c>
    </row>
    <row r="27" spans="1:62">
      <c r="A27" s="82" t="s">
        <v>303</v>
      </c>
      <c r="B27" s="317">
        <v>0.42399999999999999</v>
      </c>
      <c r="C27" s="317">
        <v>0.1116</v>
      </c>
      <c r="D27" s="317">
        <v>7.1199999999999999E-2</v>
      </c>
      <c r="E27" s="317">
        <v>-0.24360000000000001</v>
      </c>
      <c r="F27" s="317">
        <v>-0.1419</v>
      </c>
      <c r="G27" s="317">
        <v>0.45129999999999998</v>
      </c>
      <c r="H27" s="317">
        <v>1.9E-2</v>
      </c>
      <c r="I27" s="317">
        <v>-7.9000000000000001E-2</v>
      </c>
      <c r="J27" s="317">
        <v>0.20830000000000001</v>
      </c>
      <c r="K27" s="317">
        <v>4.7500000000000001E-2</v>
      </c>
      <c r="L27" s="317">
        <v>3.78E-2</v>
      </c>
      <c r="M27" s="317">
        <v>0.26340000000000002</v>
      </c>
      <c r="N27" s="317">
        <v>0.28310000000000002</v>
      </c>
      <c r="O27" s="317">
        <v>0.28849999999999998</v>
      </c>
      <c r="P27" s="317">
        <v>0.1042</v>
      </c>
      <c r="Q27" s="317">
        <v>-5.4000000000000003E-3</v>
      </c>
      <c r="R27" s="317">
        <v>-4.19E-2</v>
      </c>
      <c r="S27" s="317">
        <v>1.7999999999999999E-2</v>
      </c>
      <c r="T27" s="317">
        <v>-5.8099999999999999E-2</v>
      </c>
      <c r="U27" s="317">
        <v>-7.3599999999999999E-2</v>
      </c>
      <c r="V27" s="317">
        <v>-0.15479999999999999</v>
      </c>
      <c r="W27" s="317">
        <v>-0.13980000000000001</v>
      </c>
      <c r="X27" s="317">
        <v>-0.11310000000000001</v>
      </c>
      <c r="Y27" s="317">
        <v>-4.2799999999999998E-2</v>
      </c>
      <c r="Z27" s="317">
        <v>1</v>
      </c>
      <c r="AA27" s="317">
        <v>-6.3500000000000001E-2</v>
      </c>
      <c r="AB27" s="317">
        <v>-8.8499999999999995E-2</v>
      </c>
      <c r="AC27" s="317">
        <v>0.16300000000000001</v>
      </c>
      <c r="AD27" s="317">
        <v>0.1016</v>
      </c>
      <c r="AE27" s="317">
        <v>-5.1200000000000002E-2</v>
      </c>
      <c r="AF27" s="317">
        <v>0.11840000000000001</v>
      </c>
      <c r="AG27" s="317">
        <v>0.40810000000000002</v>
      </c>
      <c r="AH27" s="317">
        <v>0.17469999999999999</v>
      </c>
      <c r="AI27" s="317">
        <v>0.55110000000000003</v>
      </c>
      <c r="AJ27" s="317">
        <v>0.1283</v>
      </c>
      <c r="AK27" s="317">
        <v>4.9000000000000002E-2</v>
      </c>
      <c r="AL27" s="317">
        <v>4.4900000000000002E-2</v>
      </c>
      <c r="AM27" s="317">
        <v>1.3100000000000001E-2</v>
      </c>
      <c r="AN27" s="317">
        <v>-5.1999999999999998E-2</v>
      </c>
      <c r="AO27" s="317">
        <v>0.1114</v>
      </c>
      <c r="AP27" s="317">
        <v>6.93E-2</v>
      </c>
      <c r="AQ27" s="317">
        <v>-0.2732</v>
      </c>
      <c r="AR27" s="317">
        <v>-0.16969999999999999</v>
      </c>
      <c r="AS27" s="317">
        <v>-3.49E-2</v>
      </c>
      <c r="AT27" s="317">
        <v>-0.20250000000000001</v>
      </c>
      <c r="AU27" s="317">
        <v>4.7699999999999999E-2</v>
      </c>
      <c r="AV27" s="317">
        <v>-0.46250000000000002</v>
      </c>
      <c r="AW27" s="317">
        <v>4.6600000000000003E-2</v>
      </c>
      <c r="AX27" s="317">
        <v>-4.58E-2</v>
      </c>
      <c r="AY27" s="317">
        <v>-6.7000000000000002E-3</v>
      </c>
      <c r="AZ27" s="317">
        <v>0.38579999999999998</v>
      </c>
      <c r="BA27" s="317">
        <v>0.22450000000000001</v>
      </c>
      <c r="BB27" s="317">
        <v>7.2099999999999997E-2</v>
      </c>
      <c r="BC27" s="317">
        <v>-7.9899999999999999E-2</v>
      </c>
      <c r="BD27" s="317">
        <v>0.30059999999999998</v>
      </c>
      <c r="BE27" s="317">
        <v>0.2399</v>
      </c>
      <c r="BF27" s="317">
        <v>0.1041</v>
      </c>
      <c r="BG27" s="317">
        <v>-0.1036</v>
      </c>
      <c r="BH27" s="317">
        <v>8.1699999999999995E-2</v>
      </c>
      <c r="BI27" s="317">
        <v>-8.0500000000000002E-2</v>
      </c>
      <c r="BJ27" s="317">
        <v>-0.12870000000000001</v>
      </c>
    </row>
    <row r="28" spans="1:62">
      <c r="A28" s="82" t="s">
        <v>46</v>
      </c>
      <c r="B28" s="317">
        <v>-0.17269999999999999</v>
      </c>
      <c r="C28" s="317">
        <v>4.7300000000000002E-2</v>
      </c>
      <c r="D28" s="317">
        <v>-2.7699999999999999E-2</v>
      </c>
      <c r="E28" s="317">
        <v>0.1623</v>
      </c>
      <c r="F28" s="317">
        <v>7.4899999999999994E-2</v>
      </c>
      <c r="G28" s="317">
        <v>-0.05</v>
      </c>
      <c r="H28" s="317">
        <v>-4.9799999999999997E-2</v>
      </c>
      <c r="I28" s="317">
        <v>0.1158</v>
      </c>
      <c r="J28" s="317">
        <v>-4.6800000000000001E-2</v>
      </c>
      <c r="K28" s="317">
        <v>-7.6100000000000001E-2</v>
      </c>
      <c r="L28" s="317">
        <v>-5.0900000000000001E-2</v>
      </c>
      <c r="M28" s="317">
        <v>-6.0999999999999999E-2</v>
      </c>
      <c r="N28" s="317">
        <v>-0.1075</v>
      </c>
      <c r="O28" s="317">
        <v>2.35E-2</v>
      </c>
      <c r="P28" s="317">
        <v>7.8200000000000006E-2</v>
      </c>
      <c r="Q28" s="317">
        <v>-3.4700000000000002E-2</v>
      </c>
      <c r="R28" s="317">
        <v>-5.1900000000000002E-2</v>
      </c>
      <c r="S28" s="317">
        <v>-3.2199999999999999E-2</v>
      </c>
      <c r="T28" s="317">
        <v>-9.74E-2</v>
      </c>
      <c r="U28" s="317">
        <v>2.9899999999999999E-2</v>
      </c>
      <c r="V28" s="317">
        <v>4.6300000000000001E-2</v>
      </c>
      <c r="W28" s="317">
        <v>4.3099999999999999E-2</v>
      </c>
      <c r="X28" s="317">
        <v>-8.2500000000000004E-2</v>
      </c>
      <c r="Y28" s="317">
        <v>3.85E-2</v>
      </c>
      <c r="Z28" s="317">
        <v>-6.3500000000000001E-2</v>
      </c>
      <c r="AA28" s="317">
        <v>1</v>
      </c>
      <c r="AB28" s="317">
        <v>-8.3900000000000002E-2</v>
      </c>
      <c r="AC28" s="317">
        <v>-0.38629999999999998</v>
      </c>
      <c r="AD28" s="317">
        <v>-0.128</v>
      </c>
      <c r="AE28" s="317">
        <v>-5.6399999999999999E-2</v>
      </c>
      <c r="AF28" s="317">
        <v>-0.13039999999999999</v>
      </c>
      <c r="AG28" s="317">
        <v>-2.41E-2</v>
      </c>
      <c r="AH28" s="317">
        <v>-7.2700000000000001E-2</v>
      </c>
      <c r="AI28" s="317">
        <v>-0.16869999999999999</v>
      </c>
      <c r="AJ28" s="317">
        <v>-0.17100000000000001</v>
      </c>
      <c r="AK28" s="317">
        <v>-1.6199999999999999E-2</v>
      </c>
      <c r="AL28" s="317">
        <v>-3.1399999999999997E-2</v>
      </c>
      <c r="AM28" s="317">
        <v>-0.1711</v>
      </c>
      <c r="AN28" s="317">
        <v>3.3E-3</v>
      </c>
      <c r="AO28" s="317">
        <v>-0.1283</v>
      </c>
      <c r="AP28" s="317">
        <v>-2.7E-2</v>
      </c>
      <c r="AQ28" s="317">
        <v>9.8699999999999996E-2</v>
      </c>
      <c r="AR28" s="317">
        <v>6.7699999999999996E-2</v>
      </c>
      <c r="AS28" s="317">
        <v>-0.17430000000000001</v>
      </c>
      <c r="AT28" s="317">
        <v>4.07E-2</v>
      </c>
      <c r="AU28" s="317">
        <v>-0.2031</v>
      </c>
      <c r="AV28" s="317">
        <v>6.3600000000000004E-2</v>
      </c>
      <c r="AW28" s="317">
        <v>-7.7799999999999994E-2</v>
      </c>
      <c r="AX28" s="317">
        <v>-5.4000000000000003E-3</v>
      </c>
      <c r="AY28" s="317">
        <v>5.62E-2</v>
      </c>
      <c r="AZ28" s="317">
        <v>-0.23719999999999999</v>
      </c>
      <c r="BA28" s="317">
        <v>-4.5499999999999999E-2</v>
      </c>
      <c r="BB28" s="317">
        <v>1.2800000000000001E-2</v>
      </c>
      <c r="BC28" s="317">
        <v>7.7499999999999999E-2</v>
      </c>
      <c r="BD28" s="317">
        <v>-0.25869999999999999</v>
      </c>
      <c r="BE28" s="317">
        <v>0.15440000000000001</v>
      </c>
      <c r="BF28" s="317">
        <v>5.8599999999999999E-2</v>
      </c>
      <c r="BG28" s="317">
        <v>-0.23269999999999999</v>
      </c>
      <c r="BH28" s="317">
        <v>0.1242</v>
      </c>
      <c r="BI28" s="317">
        <v>4.9700000000000001E-2</v>
      </c>
      <c r="BJ28" s="317">
        <v>-8.09E-2</v>
      </c>
    </row>
    <row r="29" spans="1:62">
      <c r="A29" s="82" t="s">
        <v>589</v>
      </c>
      <c r="B29" s="317">
        <v>-1.29E-2</v>
      </c>
      <c r="C29" s="317">
        <v>-0.36109999999999998</v>
      </c>
      <c r="D29" s="317">
        <v>-9.5200000000000007E-2</v>
      </c>
      <c r="E29" s="317">
        <v>-0.27979999999999999</v>
      </c>
      <c r="F29" s="317">
        <v>-0.36449999999999999</v>
      </c>
      <c r="G29" s="317">
        <v>5.28E-2</v>
      </c>
      <c r="H29" s="317">
        <v>1.4E-3</v>
      </c>
      <c r="I29" s="317">
        <v>-4.7800000000000002E-2</v>
      </c>
      <c r="J29" s="317">
        <v>-0.10920000000000001</v>
      </c>
      <c r="K29" s="317">
        <v>0.1875</v>
      </c>
      <c r="L29" s="317">
        <v>4.4400000000000002E-2</v>
      </c>
      <c r="M29" s="317">
        <v>0.38769999999999999</v>
      </c>
      <c r="N29" s="317">
        <v>0.16739999999999999</v>
      </c>
      <c r="O29" s="317">
        <v>0.12089999999999999</v>
      </c>
      <c r="P29" s="317">
        <v>-0.20039999999999999</v>
      </c>
      <c r="Q29" s="317">
        <v>5.11E-2</v>
      </c>
      <c r="R29" s="317">
        <v>0.1132</v>
      </c>
      <c r="S29" s="317">
        <v>3.9199999999999999E-2</v>
      </c>
      <c r="T29" s="317">
        <v>0.2087</v>
      </c>
      <c r="U29" s="317">
        <v>4.2999999999999997E-2</v>
      </c>
      <c r="V29" s="317">
        <v>2.1499999999999998E-2</v>
      </c>
      <c r="W29" s="317">
        <v>4.0300000000000002E-2</v>
      </c>
      <c r="X29" s="317">
        <v>0.30669999999999997</v>
      </c>
      <c r="Y29" s="317">
        <v>3.3399999999999999E-2</v>
      </c>
      <c r="Z29" s="317">
        <v>-8.8499999999999995E-2</v>
      </c>
      <c r="AA29" s="317">
        <v>-8.3900000000000002E-2</v>
      </c>
      <c r="AB29" s="317">
        <v>1</v>
      </c>
      <c r="AC29" s="317">
        <v>-5.8299999999999998E-2</v>
      </c>
      <c r="AD29" s="317">
        <v>0.53210000000000002</v>
      </c>
      <c r="AE29" s="317">
        <v>0.25109999999999999</v>
      </c>
      <c r="AF29" s="317">
        <v>0.2984</v>
      </c>
      <c r="AG29" s="317">
        <v>-7.6E-3</v>
      </c>
      <c r="AH29" s="317">
        <v>-0.29089999999999999</v>
      </c>
      <c r="AI29" s="317">
        <v>0.26100000000000001</v>
      </c>
      <c r="AJ29" s="317">
        <v>-1.0200000000000001E-2</v>
      </c>
      <c r="AK29" s="317">
        <v>-4.9500000000000002E-2</v>
      </c>
      <c r="AL29" s="317">
        <v>-3.1899999999999998E-2</v>
      </c>
      <c r="AM29" s="317">
        <v>-0.16700000000000001</v>
      </c>
      <c r="AN29" s="317">
        <v>5.9499999999999997E-2</v>
      </c>
      <c r="AO29" s="317">
        <v>0.30549999999999999</v>
      </c>
      <c r="AP29" s="317">
        <v>-0.20380000000000001</v>
      </c>
      <c r="AQ29" s="317">
        <v>-7.8899999999999998E-2</v>
      </c>
      <c r="AR29" s="317">
        <v>-6.7000000000000004E-2</v>
      </c>
      <c r="AS29" s="317">
        <v>9.4500000000000001E-2</v>
      </c>
      <c r="AT29" s="317">
        <v>-7.1000000000000004E-3</v>
      </c>
      <c r="AU29" s="317">
        <v>-0.14510000000000001</v>
      </c>
      <c r="AV29" s="317">
        <v>1.34E-2</v>
      </c>
      <c r="AW29" s="317">
        <v>-7.7799999999999994E-2</v>
      </c>
      <c r="AX29" s="317">
        <v>0.1384</v>
      </c>
      <c r="AY29" s="317">
        <v>0.1497</v>
      </c>
      <c r="AZ29" s="317">
        <v>-7.1300000000000002E-2</v>
      </c>
      <c r="BA29" s="317">
        <v>-0.32250000000000001</v>
      </c>
      <c r="BB29" s="317">
        <v>-7.8200000000000006E-2</v>
      </c>
      <c r="BC29" s="317">
        <v>-0.17599999999999999</v>
      </c>
      <c r="BD29" s="317">
        <v>6.54E-2</v>
      </c>
      <c r="BE29" s="317">
        <v>7.6600000000000001E-2</v>
      </c>
      <c r="BF29" s="317">
        <v>-0.43959999999999999</v>
      </c>
      <c r="BG29" s="317">
        <v>-1.23E-2</v>
      </c>
      <c r="BH29" s="317">
        <v>-0.4007</v>
      </c>
      <c r="BI29" s="317">
        <v>-0.19239999999999999</v>
      </c>
      <c r="BJ29" s="317">
        <v>0.2863</v>
      </c>
    </row>
    <row r="30" spans="1:62">
      <c r="A30" s="82" t="s">
        <v>50</v>
      </c>
      <c r="B30" s="317">
        <v>-7.17E-2</v>
      </c>
      <c r="C30" s="317">
        <v>0.4577</v>
      </c>
      <c r="D30" s="317">
        <v>-1.6899999999999998E-2</v>
      </c>
      <c r="E30" s="317">
        <v>0.43619999999999998</v>
      </c>
      <c r="F30" s="317">
        <v>0.2722</v>
      </c>
      <c r="G30" s="317">
        <v>5.4399999999999997E-2</v>
      </c>
      <c r="H30" s="317">
        <v>2.2200000000000001E-2</v>
      </c>
      <c r="I30" s="317">
        <v>-0.1052</v>
      </c>
      <c r="J30" s="317">
        <v>8.4199999999999997E-2</v>
      </c>
      <c r="K30" s="317">
        <v>-7.3899999999999993E-2</v>
      </c>
      <c r="L30" s="317">
        <v>5.5100000000000003E-2</v>
      </c>
      <c r="M30" s="317">
        <v>-0.37730000000000002</v>
      </c>
      <c r="N30" s="317">
        <v>0.20080000000000001</v>
      </c>
      <c r="O30" s="317">
        <v>-0.1148</v>
      </c>
      <c r="P30" s="317">
        <v>8.2000000000000003E-2</v>
      </c>
      <c r="Q30" s="317">
        <v>-5.6500000000000002E-2</v>
      </c>
      <c r="R30" s="317">
        <v>-7.2700000000000001E-2</v>
      </c>
      <c r="S30" s="317">
        <v>-4.8800000000000003E-2</v>
      </c>
      <c r="T30" s="317">
        <v>-9.5200000000000007E-2</v>
      </c>
      <c r="U30" s="317">
        <v>-7.6700000000000004E-2</v>
      </c>
      <c r="V30" s="317">
        <v>-6.1899999999999997E-2</v>
      </c>
      <c r="W30" s="317">
        <v>-8.3599999999999994E-2</v>
      </c>
      <c r="X30" s="317">
        <v>-0.13739999999999999</v>
      </c>
      <c r="Y30" s="317">
        <v>-4.4600000000000001E-2</v>
      </c>
      <c r="Z30" s="317">
        <v>0.16300000000000001</v>
      </c>
      <c r="AA30" s="317">
        <v>-0.38629999999999998</v>
      </c>
      <c r="AB30" s="317">
        <v>-5.8299999999999998E-2</v>
      </c>
      <c r="AC30" s="317">
        <v>1</v>
      </c>
      <c r="AD30" s="317">
        <v>-0.2833</v>
      </c>
      <c r="AE30" s="317">
        <v>-0.16600000000000001</v>
      </c>
      <c r="AF30" s="317">
        <v>-0.13250000000000001</v>
      </c>
      <c r="AG30" s="317">
        <v>-2.7300000000000001E-2</v>
      </c>
      <c r="AH30" s="317">
        <v>0.63129999999999997</v>
      </c>
      <c r="AI30" s="317">
        <v>-0.1729</v>
      </c>
      <c r="AJ30" s="317">
        <v>-0.1275</v>
      </c>
      <c r="AK30" s="317">
        <v>0.1961</v>
      </c>
      <c r="AL30" s="317">
        <v>9.4899999999999998E-2</v>
      </c>
      <c r="AM30" s="317">
        <v>0.63780000000000003</v>
      </c>
      <c r="AN30" s="317">
        <v>-9.01E-2</v>
      </c>
      <c r="AO30" s="317">
        <v>-0.1573</v>
      </c>
      <c r="AP30" s="317">
        <v>-0.16189999999999999</v>
      </c>
      <c r="AQ30" s="317">
        <v>-9.4E-2</v>
      </c>
      <c r="AR30" s="317">
        <v>-0.21249999999999999</v>
      </c>
      <c r="AS30" s="317">
        <v>4.5699999999999998E-2</v>
      </c>
      <c r="AT30" s="317">
        <v>-0.12889999999999999</v>
      </c>
      <c r="AU30" s="317">
        <v>1.4E-2</v>
      </c>
      <c r="AV30" s="317">
        <v>-0.2611</v>
      </c>
      <c r="AW30" s="317">
        <v>0.2369</v>
      </c>
      <c r="AX30" s="317">
        <v>-0.1545</v>
      </c>
      <c r="AY30" s="317">
        <v>-0.24629999999999999</v>
      </c>
      <c r="AZ30" s="317">
        <v>0.1613</v>
      </c>
      <c r="BA30" s="317">
        <v>0.18970000000000001</v>
      </c>
      <c r="BB30" s="317">
        <v>-2.01E-2</v>
      </c>
      <c r="BC30" s="317">
        <v>0.44119999999999998</v>
      </c>
      <c r="BD30" s="317">
        <v>-3.3399999999999999E-2</v>
      </c>
      <c r="BE30" s="317">
        <v>-0.2268</v>
      </c>
      <c r="BF30" s="317">
        <v>0.25359999999999999</v>
      </c>
      <c r="BG30" s="317">
        <v>0.59989999999999999</v>
      </c>
      <c r="BH30" s="317">
        <v>0.2792</v>
      </c>
      <c r="BI30" s="317">
        <v>9.11E-2</v>
      </c>
      <c r="BJ30" s="317">
        <v>-0.12189999999999999</v>
      </c>
    </row>
    <row r="31" spans="1:62">
      <c r="A31" s="82" t="s">
        <v>332</v>
      </c>
      <c r="B31" s="317">
        <v>0.107</v>
      </c>
      <c r="C31" s="317">
        <v>-0.57220000000000004</v>
      </c>
      <c r="D31" s="317">
        <v>-8.7800000000000003E-2</v>
      </c>
      <c r="E31" s="317">
        <v>-0.54890000000000005</v>
      </c>
      <c r="F31" s="317">
        <v>-0.53979999999999995</v>
      </c>
      <c r="G31" s="317">
        <v>0.19939999999999999</v>
      </c>
      <c r="H31" s="317">
        <v>0.23089999999999999</v>
      </c>
      <c r="I31" s="317">
        <v>-0.1014</v>
      </c>
      <c r="J31" s="317">
        <v>-5.96E-2</v>
      </c>
      <c r="K31" s="317">
        <v>0.62109999999999999</v>
      </c>
      <c r="L31" s="317">
        <v>0.31109999999999999</v>
      </c>
      <c r="M31" s="317">
        <v>0.59340000000000004</v>
      </c>
      <c r="N31" s="317">
        <v>7.0000000000000007E-2</v>
      </c>
      <c r="O31" s="317">
        <v>0.19589999999999999</v>
      </c>
      <c r="P31" s="317">
        <v>-0.15629999999999999</v>
      </c>
      <c r="Q31" s="317">
        <v>1.1900000000000001E-2</v>
      </c>
      <c r="R31" s="317">
        <v>5.1799999999999999E-2</v>
      </c>
      <c r="S31" s="317">
        <v>1.6799999999999999E-2</v>
      </c>
      <c r="T31" s="317">
        <v>0.15579999999999999</v>
      </c>
      <c r="U31" s="317">
        <v>3.09E-2</v>
      </c>
      <c r="V31" s="317">
        <v>2.3199999999999998E-2</v>
      </c>
      <c r="W31" s="317">
        <v>3.3099999999999997E-2</v>
      </c>
      <c r="X31" s="317">
        <v>0.3221</v>
      </c>
      <c r="Y31" s="317">
        <v>5.1999999999999998E-3</v>
      </c>
      <c r="Z31" s="317">
        <v>0.1016</v>
      </c>
      <c r="AA31" s="317">
        <v>-0.128</v>
      </c>
      <c r="AB31" s="317">
        <v>0.53210000000000002</v>
      </c>
      <c r="AC31" s="317">
        <v>-0.2833</v>
      </c>
      <c r="AD31" s="317">
        <v>1</v>
      </c>
      <c r="AE31" s="317">
        <v>0.30180000000000001</v>
      </c>
      <c r="AF31" s="317">
        <v>0.45910000000000001</v>
      </c>
      <c r="AG31" s="317">
        <v>0.13159999999999999</v>
      </c>
      <c r="AH31" s="317">
        <v>-0.50829999999999997</v>
      </c>
      <c r="AI31" s="317">
        <v>0.57489999999999997</v>
      </c>
      <c r="AJ31" s="317">
        <v>0.1686</v>
      </c>
      <c r="AK31" s="317">
        <v>8.8900000000000007E-2</v>
      </c>
      <c r="AL31" s="317">
        <v>-3.5299999999999998E-2</v>
      </c>
      <c r="AM31" s="317">
        <v>-0.37919999999999998</v>
      </c>
      <c r="AN31" s="317">
        <v>0.1351</v>
      </c>
      <c r="AO31" s="317">
        <v>0.4279</v>
      </c>
      <c r="AP31" s="317">
        <v>-8.6999999999999994E-2</v>
      </c>
      <c r="AQ31" s="317">
        <v>-9.1399999999999995E-2</v>
      </c>
      <c r="AR31" s="317">
        <v>2.29E-2</v>
      </c>
      <c r="AS31" s="317">
        <v>0.1328</v>
      </c>
      <c r="AT31" s="317">
        <v>-1.3899999999999999E-2</v>
      </c>
      <c r="AU31" s="317">
        <v>-1.4200000000000001E-2</v>
      </c>
      <c r="AV31" s="317">
        <v>6.6000000000000003E-2</v>
      </c>
      <c r="AW31" s="317">
        <v>-0.13139999999999999</v>
      </c>
      <c r="AX31" s="317">
        <v>0.2505</v>
      </c>
      <c r="AY31" s="317">
        <v>0.25380000000000003</v>
      </c>
      <c r="AZ31" s="317">
        <v>-3.0700000000000002E-2</v>
      </c>
      <c r="BA31" s="317">
        <v>-0.36120000000000002</v>
      </c>
      <c r="BB31" s="317">
        <v>-6.9900000000000004E-2</v>
      </c>
      <c r="BC31" s="317">
        <v>-0.36659999999999998</v>
      </c>
      <c r="BD31" s="317">
        <v>0.12379999999999999</v>
      </c>
      <c r="BE31" s="317">
        <v>0.13550000000000001</v>
      </c>
      <c r="BF31" s="317">
        <v>-0.57179999999999997</v>
      </c>
      <c r="BG31" s="317">
        <v>-0.16450000000000001</v>
      </c>
      <c r="BH31" s="317">
        <v>-0.53739999999999999</v>
      </c>
      <c r="BI31" s="317">
        <v>-0.29730000000000001</v>
      </c>
      <c r="BJ31" s="317">
        <v>0.26840000000000003</v>
      </c>
    </row>
    <row r="32" spans="1:62">
      <c r="A32" s="82" t="s">
        <v>584</v>
      </c>
      <c r="B32" s="317">
        <v>-1.2E-2</v>
      </c>
      <c r="C32" s="317">
        <v>-0.3397</v>
      </c>
      <c r="D32" s="317">
        <v>-0.13800000000000001</v>
      </c>
      <c r="E32" s="317">
        <v>-0.2903</v>
      </c>
      <c r="F32" s="317">
        <v>-0.25650000000000001</v>
      </c>
      <c r="G32" s="317">
        <v>3.1E-2</v>
      </c>
      <c r="H32" s="317">
        <v>2.35E-2</v>
      </c>
      <c r="I32" s="317">
        <v>-0.14410000000000001</v>
      </c>
      <c r="J32" s="317">
        <v>-5.5199999999999999E-2</v>
      </c>
      <c r="K32" s="317">
        <v>0.104</v>
      </c>
      <c r="L32" s="317">
        <v>-5.0000000000000001E-4</v>
      </c>
      <c r="M32" s="317">
        <v>0.29249999999999998</v>
      </c>
      <c r="N32" s="317">
        <v>-1.2999999999999999E-3</v>
      </c>
      <c r="O32" s="317">
        <v>2.3599999999999999E-2</v>
      </c>
      <c r="P32" s="317">
        <v>-0.27429999999999999</v>
      </c>
      <c r="Q32" s="317">
        <v>0.19539999999999999</v>
      </c>
      <c r="R32" s="317">
        <v>0.28699999999999998</v>
      </c>
      <c r="S32" s="317">
        <v>0.17080000000000001</v>
      </c>
      <c r="T32" s="317">
        <v>0.34100000000000003</v>
      </c>
      <c r="U32" s="317">
        <v>0.25729999999999997</v>
      </c>
      <c r="V32" s="317">
        <v>0.2828</v>
      </c>
      <c r="W32" s="317">
        <v>0.32740000000000002</v>
      </c>
      <c r="X32" s="317">
        <v>0.2913</v>
      </c>
      <c r="Y32" s="317">
        <v>-4.4900000000000002E-2</v>
      </c>
      <c r="Z32" s="317">
        <v>-5.1200000000000002E-2</v>
      </c>
      <c r="AA32" s="317">
        <v>-5.6399999999999999E-2</v>
      </c>
      <c r="AB32" s="317">
        <v>0.25109999999999999</v>
      </c>
      <c r="AC32" s="317">
        <v>-0.16600000000000001</v>
      </c>
      <c r="AD32" s="317">
        <v>0.30180000000000001</v>
      </c>
      <c r="AE32" s="317">
        <v>1</v>
      </c>
      <c r="AF32" s="317">
        <v>0.2326</v>
      </c>
      <c r="AG32" s="317">
        <v>-1.4E-3</v>
      </c>
      <c r="AH32" s="317">
        <v>-0.2974</v>
      </c>
      <c r="AI32" s="317">
        <v>0.22750000000000001</v>
      </c>
      <c r="AJ32" s="317">
        <v>4.0599999999999997E-2</v>
      </c>
      <c r="AK32" s="317">
        <v>-8.7599999999999997E-2</v>
      </c>
      <c r="AL32" s="317">
        <v>-0.1195</v>
      </c>
      <c r="AM32" s="317">
        <v>-0.2059</v>
      </c>
      <c r="AN32" s="317">
        <v>4.02E-2</v>
      </c>
      <c r="AO32" s="317">
        <v>0.25890000000000002</v>
      </c>
      <c r="AP32" s="317">
        <v>-8.5199999999999998E-2</v>
      </c>
      <c r="AQ32" s="317">
        <v>2.9399999999999999E-2</v>
      </c>
      <c r="AR32" s="317">
        <v>7.6399999999999996E-2</v>
      </c>
      <c r="AS32" s="317">
        <v>2.6499999999999999E-2</v>
      </c>
      <c r="AT32" s="317">
        <v>6.3E-3</v>
      </c>
      <c r="AU32" s="317">
        <v>1.83E-2</v>
      </c>
      <c r="AV32" s="317">
        <v>5.5100000000000003E-2</v>
      </c>
      <c r="AW32" s="317">
        <v>-6.2399999999999997E-2</v>
      </c>
      <c r="AX32" s="317">
        <v>0.1033</v>
      </c>
      <c r="AY32" s="317">
        <v>0.14230000000000001</v>
      </c>
      <c r="AZ32" s="317">
        <v>-1.35E-2</v>
      </c>
      <c r="BA32" s="317">
        <v>-0.21679999999999999</v>
      </c>
      <c r="BB32" s="317">
        <v>6.7000000000000002E-3</v>
      </c>
      <c r="BC32" s="317">
        <v>-0.16669999999999999</v>
      </c>
      <c r="BD32" s="317">
        <v>3.0999999999999999E-3</v>
      </c>
      <c r="BE32" s="317">
        <v>-0.03</v>
      </c>
      <c r="BF32" s="317">
        <v>-0.42730000000000001</v>
      </c>
      <c r="BG32" s="317">
        <v>-9.4700000000000006E-2</v>
      </c>
      <c r="BH32" s="317">
        <v>-0.24629999999999999</v>
      </c>
      <c r="BI32" s="317">
        <v>-0.1535</v>
      </c>
      <c r="BJ32" s="317">
        <v>0.39410000000000001</v>
      </c>
    </row>
    <row r="33" spans="1:62">
      <c r="A33" s="82" t="s">
        <v>348</v>
      </c>
      <c r="B33" s="317">
        <v>-0.11890000000000001</v>
      </c>
      <c r="C33" s="317">
        <v>-0.3765</v>
      </c>
      <c r="D33" s="317">
        <v>-0.1179</v>
      </c>
      <c r="E33" s="317">
        <v>-0.33050000000000002</v>
      </c>
      <c r="F33" s="317">
        <v>-0.30630000000000002</v>
      </c>
      <c r="G33" s="317">
        <v>0.1169</v>
      </c>
      <c r="H33" s="317">
        <v>0.16550000000000001</v>
      </c>
      <c r="I33" s="317">
        <v>4.1999999999999997E-3</v>
      </c>
      <c r="J33" s="317">
        <v>0.2462</v>
      </c>
      <c r="K33" s="317">
        <v>0.27379999999999999</v>
      </c>
      <c r="L33" s="317">
        <v>0.20610000000000001</v>
      </c>
      <c r="M33" s="317">
        <v>0.55289999999999995</v>
      </c>
      <c r="N33" s="317">
        <v>0.40100000000000002</v>
      </c>
      <c r="O33" s="317">
        <v>0.41720000000000002</v>
      </c>
      <c r="P33" s="317">
        <v>-0.1444</v>
      </c>
      <c r="Q33" s="317">
        <v>3.2199999999999999E-2</v>
      </c>
      <c r="R33" s="317">
        <v>6.0699999999999997E-2</v>
      </c>
      <c r="S33" s="317">
        <v>4.4900000000000002E-2</v>
      </c>
      <c r="T33" s="317">
        <v>0.1928</v>
      </c>
      <c r="U33" s="317">
        <v>2.29E-2</v>
      </c>
      <c r="V33" s="317">
        <v>-3.6499999999999998E-2</v>
      </c>
      <c r="W33" s="317">
        <v>-6.7999999999999996E-3</v>
      </c>
      <c r="X33" s="317">
        <v>0.19309999999999999</v>
      </c>
      <c r="Y33" s="317">
        <v>7.7399999999999997E-2</v>
      </c>
      <c r="Z33" s="317">
        <v>0.11840000000000001</v>
      </c>
      <c r="AA33" s="317">
        <v>-0.13039999999999999</v>
      </c>
      <c r="AB33" s="317">
        <v>0.2984</v>
      </c>
      <c r="AC33" s="317">
        <v>-0.13250000000000001</v>
      </c>
      <c r="AD33" s="317">
        <v>0.45910000000000001</v>
      </c>
      <c r="AE33" s="317">
        <v>0.2326</v>
      </c>
      <c r="AF33" s="317">
        <v>1</v>
      </c>
      <c r="AG33" s="317">
        <v>-1.84E-2</v>
      </c>
      <c r="AH33" s="317">
        <v>-0.2928</v>
      </c>
      <c r="AI33" s="317">
        <v>0.33650000000000002</v>
      </c>
      <c r="AJ33" s="317">
        <v>-0.1113</v>
      </c>
      <c r="AK33" s="317">
        <v>7.8100000000000003E-2</v>
      </c>
      <c r="AL33" s="317">
        <v>-5.0500000000000003E-2</v>
      </c>
      <c r="AM33" s="317">
        <v>-0.30330000000000001</v>
      </c>
      <c r="AN33" s="317">
        <v>0.1298</v>
      </c>
      <c r="AO33" s="317">
        <v>0.64700000000000002</v>
      </c>
      <c r="AP33" s="317">
        <v>-0.54069999999999996</v>
      </c>
      <c r="AQ33" s="317">
        <v>-0.50309999999999999</v>
      </c>
      <c r="AR33" s="317">
        <v>-0.42009999999999997</v>
      </c>
      <c r="AS33" s="317">
        <v>0.3115</v>
      </c>
      <c r="AT33" s="317">
        <v>-0.1187</v>
      </c>
      <c r="AU33" s="317">
        <v>-3.5999999999999999E-3</v>
      </c>
      <c r="AV33" s="317">
        <v>-7.6100000000000001E-2</v>
      </c>
      <c r="AW33" s="317">
        <v>-2.5999999999999999E-2</v>
      </c>
      <c r="AX33" s="317">
        <v>0.76959999999999995</v>
      </c>
      <c r="AY33" s="317">
        <v>0.1603</v>
      </c>
      <c r="AZ33" s="317">
        <v>0.14699999999999999</v>
      </c>
      <c r="BA33" s="317">
        <v>-0.33139999999999997</v>
      </c>
      <c r="BB33" s="317">
        <v>-2.3599999999999999E-2</v>
      </c>
      <c r="BC33" s="317">
        <v>-0.15659999999999999</v>
      </c>
      <c r="BD33" s="317">
        <v>-9.9299999999999999E-2</v>
      </c>
      <c r="BE33" s="317">
        <v>0.33129999999999998</v>
      </c>
      <c r="BF33" s="317">
        <v>-0.61380000000000001</v>
      </c>
      <c r="BG33" s="317">
        <v>-0.2185</v>
      </c>
      <c r="BH33" s="317">
        <v>-0.29039999999999999</v>
      </c>
      <c r="BI33" s="317">
        <v>-0.76190000000000002</v>
      </c>
      <c r="BJ33" s="317">
        <v>0.219</v>
      </c>
    </row>
    <row r="34" spans="1:62">
      <c r="A34" s="82" t="s">
        <v>364</v>
      </c>
      <c r="B34" s="317">
        <v>0.30259999999999998</v>
      </c>
      <c r="C34" s="317">
        <v>-6.6E-3</v>
      </c>
      <c r="D34" s="317">
        <v>0.1066</v>
      </c>
      <c r="E34" s="317">
        <v>-0.20699999999999999</v>
      </c>
      <c r="F34" s="317">
        <v>-0.14130000000000001</v>
      </c>
      <c r="G34" s="317">
        <v>0.93789999999999996</v>
      </c>
      <c r="H34" s="317">
        <v>-0.10539999999999999</v>
      </c>
      <c r="I34" s="317">
        <v>4.58E-2</v>
      </c>
      <c r="J34" s="317">
        <v>-2.8299999999999999E-2</v>
      </c>
      <c r="K34" s="317">
        <v>-6.0100000000000001E-2</v>
      </c>
      <c r="L34" s="317">
        <v>-9.2899999999999996E-2</v>
      </c>
      <c r="M34" s="317">
        <v>9.9500000000000005E-2</v>
      </c>
      <c r="N34" s="317">
        <v>-7.3999999999999996E-2</v>
      </c>
      <c r="O34" s="317">
        <v>7.7899999999999997E-2</v>
      </c>
      <c r="P34" s="317">
        <v>0.2051</v>
      </c>
      <c r="Q34" s="317">
        <v>-2.3999999999999998E-3</v>
      </c>
      <c r="R34" s="317">
        <v>-3.6299999999999999E-2</v>
      </c>
      <c r="S34" s="317">
        <v>4.7100000000000003E-2</v>
      </c>
      <c r="T34" s="317">
        <v>-0.12379999999999999</v>
      </c>
      <c r="U34" s="317">
        <v>-8.8999999999999999E-3</v>
      </c>
      <c r="V34" s="317">
        <v>-1.9900000000000001E-2</v>
      </c>
      <c r="W34" s="317">
        <v>-1.67E-2</v>
      </c>
      <c r="X34" s="317">
        <v>-5.8700000000000002E-2</v>
      </c>
      <c r="Y34" s="317">
        <v>2.6700000000000002E-2</v>
      </c>
      <c r="Z34" s="317">
        <v>0.40810000000000002</v>
      </c>
      <c r="AA34" s="317">
        <v>-2.41E-2</v>
      </c>
      <c r="AB34" s="317">
        <v>-7.6E-3</v>
      </c>
      <c r="AC34" s="317">
        <v>-2.7300000000000001E-2</v>
      </c>
      <c r="AD34" s="317">
        <v>0.13159999999999999</v>
      </c>
      <c r="AE34" s="317">
        <v>-1.4E-3</v>
      </c>
      <c r="AF34" s="317">
        <v>-1.84E-2</v>
      </c>
      <c r="AG34" s="317">
        <v>1</v>
      </c>
      <c r="AH34" s="317">
        <v>2.6700000000000002E-2</v>
      </c>
      <c r="AI34" s="317">
        <v>0.39240000000000003</v>
      </c>
      <c r="AJ34" s="317">
        <v>0.2321</v>
      </c>
      <c r="AK34" s="317">
        <v>-8.4599999999999995E-2</v>
      </c>
      <c r="AL34" s="317">
        <v>1.8100000000000002E-2</v>
      </c>
      <c r="AM34" s="317">
        <v>-5.8999999999999997E-2</v>
      </c>
      <c r="AN34" s="317">
        <v>-2.5100000000000001E-2</v>
      </c>
      <c r="AO34" s="317">
        <v>4.6399999999999997E-2</v>
      </c>
      <c r="AP34" s="317">
        <v>0.19800000000000001</v>
      </c>
      <c r="AQ34" s="317">
        <v>1.8599999999999998E-2</v>
      </c>
      <c r="AR34" s="317">
        <v>5.45E-2</v>
      </c>
      <c r="AS34" s="317">
        <v>-0.20480000000000001</v>
      </c>
      <c r="AT34" s="317">
        <v>-6.2300000000000001E-2</v>
      </c>
      <c r="AU34" s="317">
        <v>1.7299999999999999E-2</v>
      </c>
      <c r="AV34" s="317">
        <v>-0.2447</v>
      </c>
      <c r="AW34" s="317">
        <v>-5.2999999999999999E-2</v>
      </c>
      <c r="AX34" s="317">
        <v>-2.1000000000000001E-2</v>
      </c>
      <c r="AY34" s="317">
        <v>4.2999999999999997E-2</v>
      </c>
      <c r="AZ34" s="317">
        <v>1.26E-2</v>
      </c>
      <c r="BA34" s="317">
        <v>0.11799999999999999</v>
      </c>
      <c r="BB34" s="317">
        <v>2.8400000000000002E-2</v>
      </c>
      <c r="BC34" s="317">
        <v>-0.1096</v>
      </c>
      <c r="BD34" s="317">
        <v>0.22409999999999999</v>
      </c>
      <c r="BE34" s="317">
        <v>3.9699999999999999E-2</v>
      </c>
      <c r="BF34" s="317">
        <v>0.12509999999999999</v>
      </c>
      <c r="BG34" s="317">
        <v>-7.6799999999999993E-2</v>
      </c>
      <c r="BH34" s="317">
        <v>-0.1348</v>
      </c>
      <c r="BI34" s="317">
        <v>6.8500000000000005E-2</v>
      </c>
      <c r="BJ34" s="317">
        <v>-0.1061</v>
      </c>
    </row>
    <row r="35" spans="1:62">
      <c r="A35" s="82" t="s">
        <v>65</v>
      </c>
      <c r="B35" s="317">
        <v>7.46E-2</v>
      </c>
      <c r="C35" s="317">
        <v>0.76090000000000002</v>
      </c>
      <c r="D35" s="317">
        <v>6.1499999999999999E-2</v>
      </c>
      <c r="E35" s="317">
        <v>0.64910000000000001</v>
      </c>
      <c r="F35" s="317">
        <v>0.58340000000000003</v>
      </c>
      <c r="G35" s="317">
        <v>2.3099999999999999E-2</v>
      </c>
      <c r="H35" s="317">
        <v>-3.4000000000000002E-2</v>
      </c>
      <c r="I35" s="317">
        <v>-2.4E-2</v>
      </c>
      <c r="J35" s="317">
        <v>0.25440000000000002</v>
      </c>
      <c r="K35" s="317">
        <v>-0.1673</v>
      </c>
      <c r="L35" s="317">
        <v>1.4999999999999999E-2</v>
      </c>
      <c r="M35" s="317">
        <v>-0.58120000000000005</v>
      </c>
      <c r="N35" s="317">
        <v>0.1077</v>
      </c>
      <c r="O35" s="317">
        <v>8.3500000000000005E-2</v>
      </c>
      <c r="P35" s="317">
        <v>0.2011</v>
      </c>
      <c r="Q35" s="317">
        <v>-7.0199999999999999E-2</v>
      </c>
      <c r="R35" s="317">
        <v>-0.12139999999999999</v>
      </c>
      <c r="S35" s="317">
        <v>-6.3500000000000001E-2</v>
      </c>
      <c r="T35" s="317">
        <v>-0.22459999999999999</v>
      </c>
      <c r="U35" s="317">
        <v>-7.8799999999999995E-2</v>
      </c>
      <c r="V35" s="317">
        <v>-0.1076</v>
      </c>
      <c r="W35" s="317">
        <v>-0.114</v>
      </c>
      <c r="X35" s="317">
        <v>-0.29880000000000001</v>
      </c>
      <c r="Y35" s="317">
        <v>-3.9199999999999999E-2</v>
      </c>
      <c r="Z35" s="317">
        <v>0.17469999999999999</v>
      </c>
      <c r="AA35" s="317">
        <v>-7.2700000000000001E-2</v>
      </c>
      <c r="AB35" s="317">
        <v>-0.29089999999999999</v>
      </c>
      <c r="AC35" s="317">
        <v>0.63129999999999997</v>
      </c>
      <c r="AD35" s="317">
        <v>-0.50829999999999997</v>
      </c>
      <c r="AE35" s="317">
        <v>-0.2974</v>
      </c>
      <c r="AF35" s="317">
        <v>-0.2928</v>
      </c>
      <c r="AG35" s="317">
        <v>2.6700000000000002E-2</v>
      </c>
      <c r="AH35" s="317">
        <v>1</v>
      </c>
      <c r="AI35" s="317">
        <v>-0.43540000000000001</v>
      </c>
      <c r="AJ35" s="317">
        <v>2.1399999999999999E-2</v>
      </c>
      <c r="AK35" s="317">
        <v>0.18790000000000001</v>
      </c>
      <c r="AL35" s="317">
        <v>0.12740000000000001</v>
      </c>
      <c r="AM35" s="317">
        <v>0.81559999999999999</v>
      </c>
      <c r="AN35" s="317">
        <v>-9.3799999999999994E-2</v>
      </c>
      <c r="AO35" s="317">
        <v>-0.3352</v>
      </c>
      <c r="AP35" s="317">
        <v>4.3700000000000003E-2</v>
      </c>
      <c r="AQ35" s="317">
        <v>-0.1023</v>
      </c>
      <c r="AR35" s="317">
        <v>-0.22040000000000001</v>
      </c>
      <c r="AS35" s="317">
        <v>-9.3899999999999997E-2</v>
      </c>
      <c r="AT35" s="317">
        <v>-7.0099999999999996E-2</v>
      </c>
      <c r="AU35" s="317">
        <v>-9.9599999999999994E-2</v>
      </c>
      <c r="AV35" s="317">
        <v>-0.31719999999999998</v>
      </c>
      <c r="AW35" s="317">
        <v>0.22950000000000001</v>
      </c>
      <c r="AX35" s="317">
        <v>-0.21590000000000001</v>
      </c>
      <c r="AY35" s="317">
        <v>-0.34620000000000001</v>
      </c>
      <c r="AZ35" s="317">
        <v>0.24690000000000001</v>
      </c>
      <c r="BA35" s="317">
        <v>0.55710000000000004</v>
      </c>
      <c r="BB35" s="317">
        <v>6.5000000000000002E-2</v>
      </c>
      <c r="BC35" s="317">
        <v>0.6099</v>
      </c>
      <c r="BD35" s="317">
        <v>0.1072</v>
      </c>
      <c r="BE35" s="317">
        <v>1.8200000000000001E-2</v>
      </c>
      <c r="BF35" s="317">
        <v>0.5292</v>
      </c>
      <c r="BG35" s="317">
        <v>0.51370000000000005</v>
      </c>
      <c r="BH35" s="317">
        <v>0.46560000000000001</v>
      </c>
      <c r="BI35" s="317">
        <v>0.2235</v>
      </c>
      <c r="BJ35" s="317">
        <v>-0.26019999999999999</v>
      </c>
    </row>
    <row r="36" spans="1:62">
      <c r="A36" s="82" t="s">
        <v>372</v>
      </c>
      <c r="B36" s="317">
        <v>0.22439999999999999</v>
      </c>
      <c r="C36" s="317">
        <v>-0.47670000000000001</v>
      </c>
      <c r="D36" s="317">
        <v>-2.7000000000000001E-3</v>
      </c>
      <c r="E36" s="317">
        <v>-0.62429999999999997</v>
      </c>
      <c r="F36" s="317">
        <v>-0.66349999999999998</v>
      </c>
      <c r="G36" s="317">
        <v>0.46810000000000002</v>
      </c>
      <c r="H36" s="317">
        <v>2.3800000000000002E-2</v>
      </c>
      <c r="I36" s="317">
        <v>-8.0000000000000002E-3</v>
      </c>
      <c r="J36" s="317">
        <v>-2.3599999999999999E-2</v>
      </c>
      <c r="K36" s="317">
        <v>0.16189999999999999</v>
      </c>
      <c r="L36" s="317">
        <v>1.5699999999999999E-2</v>
      </c>
      <c r="M36" s="317">
        <v>0.59909999999999997</v>
      </c>
      <c r="N36" s="317">
        <v>5.6399999999999999E-2</v>
      </c>
      <c r="O36" s="317">
        <v>0.1706</v>
      </c>
      <c r="P36" s="317">
        <v>-8.4099999999999994E-2</v>
      </c>
      <c r="Q36" s="317">
        <v>2.3699999999999999E-2</v>
      </c>
      <c r="R36" s="317">
        <v>4.3999999999999997E-2</v>
      </c>
      <c r="S36" s="317">
        <v>3.04E-2</v>
      </c>
      <c r="T36" s="317">
        <v>0.12089999999999999</v>
      </c>
      <c r="U36" s="317">
        <v>-2.2100000000000002E-2</v>
      </c>
      <c r="V36" s="317">
        <v>-4.1300000000000003E-2</v>
      </c>
      <c r="W36" s="317">
        <v>-3.78E-2</v>
      </c>
      <c r="X36" s="317">
        <v>0.20860000000000001</v>
      </c>
      <c r="Y36" s="317">
        <v>-4.0000000000000002E-4</v>
      </c>
      <c r="Z36" s="317">
        <v>0.55110000000000003</v>
      </c>
      <c r="AA36" s="317">
        <v>-0.16869999999999999</v>
      </c>
      <c r="AB36" s="317">
        <v>0.26100000000000001</v>
      </c>
      <c r="AC36" s="317">
        <v>-0.1729</v>
      </c>
      <c r="AD36" s="317">
        <v>0.57489999999999997</v>
      </c>
      <c r="AE36" s="317">
        <v>0.22750000000000001</v>
      </c>
      <c r="AF36" s="317">
        <v>0.33650000000000002</v>
      </c>
      <c r="AG36" s="317">
        <v>0.39240000000000003</v>
      </c>
      <c r="AH36" s="317">
        <v>-0.43540000000000001</v>
      </c>
      <c r="AI36" s="317">
        <v>1</v>
      </c>
      <c r="AJ36" s="317">
        <v>0.22170000000000001</v>
      </c>
      <c r="AK36" s="317">
        <v>-0.10349999999999999</v>
      </c>
      <c r="AL36" s="317">
        <v>-1.8200000000000001E-2</v>
      </c>
      <c r="AM36" s="317">
        <v>-0.43580000000000002</v>
      </c>
      <c r="AN36" s="317">
        <v>6.1199999999999997E-2</v>
      </c>
      <c r="AO36" s="317">
        <v>0.31290000000000001</v>
      </c>
      <c r="AP36" s="317">
        <v>2.81E-2</v>
      </c>
      <c r="AQ36" s="317">
        <v>-6.6900000000000001E-2</v>
      </c>
      <c r="AR36" s="317">
        <v>6.6600000000000006E-2</v>
      </c>
      <c r="AS36" s="317">
        <v>5.2600000000000001E-2</v>
      </c>
      <c r="AT36" s="317">
        <v>-5.7599999999999998E-2</v>
      </c>
      <c r="AU36" s="317">
        <v>0.1605</v>
      </c>
      <c r="AV36" s="317">
        <v>-0.13159999999999999</v>
      </c>
      <c r="AW36" s="317">
        <v>-0.13730000000000001</v>
      </c>
      <c r="AX36" s="317">
        <v>0.1585</v>
      </c>
      <c r="AY36" s="317">
        <v>0.22109999999999999</v>
      </c>
      <c r="AZ36" s="317">
        <v>0.14330000000000001</v>
      </c>
      <c r="BA36" s="317">
        <v>-0.21909999999999999</v>
      </c>
      <c r="BB36" s="317">
        <v>-5.2600000000000001E-2</v>
      </c>
      <c r="BC36" s="317">
        <v>-0.38350000000000001</v>
      </c>
      <c r="BD36" s="317">
        <v>0.1938</v>
      </c>
      <c r="BE36" s="317">
        <v>0.15579999999999999</v>
      </c>
      <c r="BF36" s="317">
        <v>-0.3125</v>
      </c>
      <c r="BG36" s="317">
        <v>-0.25019999999999998</v>
      </c>
      <c r="BH36" s="317">
        <v>-0.38840000000000002</v>
      </c>
      <c r="BI36" s="317">
        <v>-0.1905</v>
      </c>
      <c r="BJ36" s="317">
        <v>0.14979999999999999</v>
      </c>
    </row>
    <row r="37" spans="1:62">
      <c r="A37" s="82" t="s">
        <v>473</v>
      </c>
      <c r="B37" s="317">
        <v>0.55259999999999998</v>
      </c>
      <c r="C37" s="317">
        <v>-0.1535</v>
      </c>
      <c r="D37" s="317">
        <v>1.2E-2</v>
      </c>
      <c r="E37" s="317">
        <v>-0.30530000000000002</v>
      </c>
      <c r="F37" s="317">
        <v>-0.1943</v>
      </c>
      <c r="G37" s="317">
        <v>0.14249999999999999</v>
      </c>
      <c r="H37" s="317">
        <v>3.6900000000000002E-2</v>
      </c>
      <c r="I37" s="317">
        <v>3.32E-2</v>
      </c>
      <c r="J37" s="317">
        <v>-4.0599999999999997E-2</v>
      </c>
      <c r="K37" s="317">
        <v>0.11600000000000001</v>
      </c>
      <c r="L37" s="317">
        <v>2.8500000000000001E-2</v>
      </c>
      <c r="M37" s="317">
        <v>0.251</v>
      </c>
      <c r="N37" s="317">
        <v>-0.1298</v>
      </c>
      <c r="O37" s="317">
        <v>0.1585</v>
      </c>
      <c r="P37" s="317">
        <v>-5.4899999999999997E-2</v>
      </c>
      <c r="Q37" s="317">
        <v>1.7100000000000001E-2</v>
      </c>
      <c r="R37" s="317">
        <v>2.5899999999999999E-2</v>
      </c>
      <c r="S37" s="317">
        <v>6.1999999999999998E-3</v>
      </c>
      <c r="T37" s="317">
        <v>4.5600000000000002E-2</v>
      </c>
      <c r="U37" s="317">
        <v>-0.1067</v>
      </c>
      <c r="V37" s="317">
        <v>-9.0200000000000002E-2</v>
      </c>
      <c r="W37" s="317">
        <v>-0.1159</v>
      </c>
      <c r="X37" s="317">
        <v>0.13250000000000001</v>
      </c>
      <c r="Y37" s="317">
        <v>-4.19E-2</v>
      </c>
      <c r="Z37" s="317">
        <v>0.1283</v>
      </c>
      <c r="AA37" s="317">
        <v>-0.17100000000000001</v>
      </c>
      <c r="AB37" s="317">
        <v>-1.0200000000000001E-2</v>
      </c>
      <c r="AC37" s="317">
        <v>-0.1275</v>
      </c>
      <c r="AD37" s="317">
        <v>0.1686</v>
      </c>
      <c r="AE37" s="317">
        <v>4.0599999999999997E-2</v>
      </c>
      <c r="AF37" s="317">
        <v>-0.1113</v>
      </c>
      <c r="AG37" s="317">
        <v>0.2321</v>
      </c>
      <c r="AH37" s="317">
        <v>2.1399999999999999E-2</v>
      </c>
      <c r="AI37" s="317">
        <v>0.22170000000000001</v>
      </c>
      <c r="AJ37" s="317">
        <v>1</v>
      </c>
      <c r="AK37" s="317">
        <v>-1.06E-2</v>
      </c>
      <c r="AL37" s="317">
        <v>1.2999999999999999E-2</v>
      </c>
      <c r="AM37" s="317">
        <v>-4.6399999999999997E-2</v>
      </c>
      <c r="AN37" s="317">
        <v>1.29E-2</v>
      </c>
      <c r="AO37" s="317">
        <v>-3.2000000000000001E-2</v>
      </c>
      <c r="AP37" s="317">
        <v>0.61580000000000001</v>
      </c>
      <c r="AQ37" s="317">
        <v>0.1527</v>
      </c>
      <c r="AR37" s="317">
        <v>0.35980000000000001</v>
      </c>
      <c r="AS37" s="317">
        <v>3.8999999999999998E-3</v>
      </c>
      <c r="AT37" s="317">
        <v>6.6299999999999998E-2</v>
      </c>
      <c r="AU37" s="317">
        <v>0.1036</v>
      </c>
      <c r="AV37" s="317">
        <v>-0.21479999999999999</v>
      </c>
      <c r="AW37" s="317">
        <v>-0.1273</v>
      </c>
      <c r="AX37" s="317">
        <v>-0.24379999999999999</v>
      </c>
      <c r="AY37" s="317">
        <v>0.10150000000000001</v>
      </c>
      <c r="AZ37" s="317">
        <v>0.31900000000000001</v>
      </c>
      <c r="BA37" s="317">
        <v>0.1905</v>
      </c>
      <c r="BB37" s="317">
        <v>2.7799999999999998E-2</v>
      </c>
      <c r="BC37" s="317">
        <v>4.5999999999999999E-3</v>
      </c>
      <c r="BD37" s="317">
        <v>0.53290000000000004</v>
      </c>
      <c r="BE37" s="317">
        <v>-8.6999999999999994E-3</v>
      </c>
      <c r="BF37" s="317">
        <v>0.1273</v>
      </c>
      <c r="BG37" s="317">
        <v>3.2300000000000002E-2</v>
      </c>
      <c r="BH37" s="317">
        <v>-9.0800000000000006E-2</v>
      </c>
      <c r="BI37" s="317">
        <v>0.38529999999999998</v>
      </c>
      <c r="BJ37" s="317">
        <v>7.8299999999999995E-2</v>
      </c>
    </row>
    <row r="38" spans="1:62">
      <c r="A38" s="82" t="s">
        <v>379</v>
      </c>
      <c r="B38" s="317">
        <v>-3.39E-2</v>
      </c>
      <c r="C38" s="317">
        <v>0.13880000000000001</v>
      </c>
      <c r="D38" s="317">
        <v>-5.1999999999999998E-3</v>
      </c>
      <c r="E38" s="317">
        <v>0.18060000000000001</v>
      </c>
      <c r="F38" s="317">
        <v>7.8899999999999998E-2</v>
      </c>
      <c r="G38" s="317">
        <v>-6.3E-2</v>
      </c>
      <c r="H38" s="317">
        <v>0.91169999999999995</v>
      </c>
      <c r="I38" s="317">
        <v>2.53E-2</v>
      </c>
      <c r="J38" s="317">
        <v>-3.9199999999999999E-2</v>
      </c>
      <c r="K38" s="317">
        <v>0.61629999999999996</v>
      </c>
      <c r="L38" s="317">
        <v>0.92710000000000004</v>
      </c>
      <c r="M38" s="317">
        <v>-6.4600000000000005E-2</v>
      </c>
      <c r="N38" s="317">
        <v>0.1245</v>
      </c>
      <c r="O38" s="317">
        <v>4.8399999999999999E-2</v>
      </c>
      <c r="P38" s="317">
        <v>3.3700000000000001E-2</v>
      </c>
      <c r="Q38" s="317">
        <v>-1.26E-2</v>
      </c>
      <c r="R38" s="317">
        <v>-2.6599999999999999E-2</v>
      </c>
      <c r="S38" s="317">
        <v>-1.17E-2</v>
      </c>
      <c r="T38" s="317">
        <v>-3.1399999999999997E-2</v>
      </c>
      <c r="U38" s="317">
        <v>-3.9E-2</v>
      </c>
      <c r="V38" s="317">
        <v>-4.1300000000000003E-2</v>
      </c>
      <c r="W38" s="317">
        <v>-4.99E-2</v>
      </c>
      <c r="X38" s="317">
        <v>-4.9399999999999999E-2</v>
      </c>
      <c r="Y38" s="317">
        <v>3.49E-2</v>
      </c>
      <c r="Z38" s="317">
        <v>4.9000000000000002E-2</v>
      </c>
      <c r="AA38" s="317">
        <v>-1.6199999999999999E-2</v>
      </c>
      <c r="AB38" s="317">
        <v>-4.9500000000000002E-2</v>
      </c>
      <c r="AC38" s="317">
        <v>0.1961</v>
      </c>
      <c r="AD38" s="317">
        <v>8.8900000000000007E-2</v>
      </c>
      <c r="AE38" s="317">
        <v>-8.7599999999999997E-2</v>
      </c>
      <c r="AF38" s="317">
        <v>7.8100000000000003E-2</v>
      </c>
      <c r="AG38" s="317">
        <v>-8.4599999999999995E-2</v>
      </c>
      <c r="AH38" s="317">
        <v>0.18790000000000001</v>
      </c>
      <c r="AI38" s="317">
        <v>-0.10349999999999999</v>
      </c>
      <c r="AJ38" s="317">
        <v>-1.06E-2</v>
      </c>
      <c r="AK38" s="317">
        <v>1</v>
      </c>
      <c r="AL38" s="317">
        <v>-2.2800000000000001E-2</v>
      </c>
      <c r="AM38" s="317">
        <v>0.16470000000000001</v>
      </c>
      <c r="AN38" s="317">
        <v>8.9399999999999993E-2</v>
      </c>
      <c r="AO38" s="317">
        <v>0.1178</v>
      </c>
      <c r="AP38" s="317">
        <v>-0.12180000000000001</v>
      </c>
      <c r="AQ38" s="317">
        <v>-0.1237</v>
      </c>
      <c r="AR38" s="317">
        <v>-0.12130000000000001</v>
      </c>
      <c r="AS38" s="317">
        <v>7.9000000000000001E-2</v>
      </c>
      <c r="AT38" s="317">
        <v>-9.1200000000000003E-2</v>
      </c>
      <c r="AU38" s="317">
        <v>-9.2999999999999992E-3</v>
      </c>
      <c r="AV38" s="317">
        <v>-4.24E-2</v>
      </c>
      <c r="AW38" s="317">
        <v>5.8400000000000001E-2</v>
      </c>
      <c r="AX38" s="317">
        <v>2.8899999999999999E-2</v>
      </c>
      <c r="AY38" s="317">
        <v>-5.2499999999999998E-2</v>
      </c>
      <c r="AZ38" s="317">
        <v>0.13980000000000001</v>
      </c>
      <c r="BA38" s="317">
        <v>5.1999999999999998E-2</v>
      </c>
      <c r="BB38" s="317">
        <v>3.7499999999999999E-2</v>
      </c>
      <c r="BC38" s="317">
        <v>0.15040000000000001</v>
      </c>
      <c r="BD38" s="317">
        <v>-3.9699999999999999E-2</v>
      </c>
      <c r="BE38" s="317">
        <v>1.5E-3</v>
      </c>
      <c r="BF38" s="317">
        <v>-3.8300000000000001E-2</v>
      </c>
      <c r="BG38" s="317">
        <v>0.12709999999999999</v>
      </c>
      <c r="BH38" s="317">
        <v>0.16039999999999999</v>
      </c>
      <c r="BI38" s="317">
        <v>-6.2399999999999997E-2</v>
      </c>
      <c r="BJ38" s="317">
        <v>-3.7600000000000001E-2</v>
      </c>
    </row>
    <row r="39" spans="1:62">
      <c r="A39" s="147" t="s">
        <v>19</v>
      </c>
      <c r="B39" s="317">
        <v>1.7899999999999999E-2</v>
      </c>
      <c r="C39" s="317">
        <v>0.1802</v>
      </c>
      <c r="D39" s="317">
        <v>0.13919999999999999</v>
      </c>
      <c r="E39" s="317">
        <v>0.1232</v>
      </c>
      <c r="F39" s="317">
        <v>8.3500000000000005E-2</v>
      </c>
      <c r="G39" s="317">
        <v>1.7399999999999999E-2</v>
      </c>
      <c r="H39" s="317">
        <v>-6.1899999999999997E-2</v>
      </c>
      <c r="I39" s="317">
        <v>-7.2400000000000006E-2</v>
      </c>
      <c r="J39" s="317">
        <v>1.6000000000000001E-3</v>
      </c>
      <c r="K39" s="317">
        <v>-5.5800000000000002E-2</v>
      </c>
      <c r="L39" s="317">
        <v>-4.3299999999999998E-2</v>
      </c>
      <c r="M39" s="317">
        <v>-3.6600000000000001E-2</v>
      </c>
      <c r="N39" s="317">
        <v>9.5999999999999992E-3</v>
      </c>
      <c r="O39" s="317">
        <v>-3.0099999999999998E-2</v>
      </c>
      <c r="P39" s="317">
        <v>-7.1000000000000004E-3</v>
      </c>
      <c r="Q39" s="317">
        <v>-9.0800000000000006E-2</v>
      </c>
      <c r="R39" s="317">
        <v>-0.10340000000000001</v>
      </c>
      <c r="S39" s="317">
        <v>-0.10639999999999999</v>
      </c>
      <c r="T39" s="317">
        <v>-8.2000000000000003E-2</v>
      </c>
      <c r="U39" s="317">
        <v>-3.7999999999999999E-2</v>
      </c>
      <c r="V39" s="317">
        <v>-6.9900000000000004E-2</v>
      </c>
      <c r="W39" s="317">
        <v>-6.6500000000000004E-2</v>
      </c>
      <c r="X39" s="317">
        <v>-8.4599999999999995E-2</v>
      </c>
      <c r="Y39" s="317">
        <v>4.1099999999999998E-2</v>
      </c>
      <c r="Z39" s="317">
        <v>4.4900000000000002E-2</v>
      </c>
      <c r="AA39" s="317">
        <v>-3.1399999999999997E-2</v>
      </c>
      <c r="AB39" s="317">
        <v>-3.1899999999999998E-2</v>
      </c>
      <c r="AC39" s="317">
        <v>9.4899999999999998E-2</v>
      </c>
      <c r="AD39" s="317">
        <v>-3.5299999999999998E-2</v>
      </c>
      <c r="AE39" s="317">
        <v>-0.1195</v>
      </c>
      <c r="AF39" s="317">
        <v>-5.0500000000000003E-2</v>
      </c>
      <c r="AG39" s="317">
        <v>1.8100000000000002E-2</v>
      </c>
      <c r="AH39" s="317">
        <v>0.12740000000000001</v>
      </c>
      <c r="AI39" s="317">
        <v>-1.8200000000000001E-2</v>
      </c>
      <c r="AJ39" s="317">
        <v>1.2999999999999999E-2</v>
      </c>
      <c r="AK39" s="317">
        <v>-2.2800000000000001E-2</v>
      </c>
      <c r="AL39" s="317">
        <v>1</v>
      </c>
      <c r="AM39" s="317">
        <v>9.9199999999999997E-2</v>
      </c>
      <c r="AN39" s="317">
        <v>1.3599999999999999E-2</v>
      </c>
      <c r="AO39" s="317">
        <v>-8.7300000000000003E-2</v>
      </c>
      <c r="AP39" s="317">
        <v>3.3599999999999998E-2</v>
      </c>
      <c r="AQ39" s="317">
        <v>1.5299999999999999E-2</v>
      </c>
      <c r="AR39" s="317">
        <v>-1.7500000000000002E-2</v>
      </c>
      <c r="AS39" s="317">
        <v>-4.1000000000000002E-2</v>
      </c>
      <c r="AT39" s="317">
        <v>-4.0000000000000001E-3</v>
      </c>
      <c r="AU39" s="317">
        <v>-1.9099999999999999E-2</v>
      </c>
      <c r="AV39" s="317">
        <v>-6.1499999999999999E-2</v>
      </c>
      <c r="AW39" s="317">
        <v>3.56E-2</v>
      </c>
      <c r="AX39" s="317">
        <v>-6.0699999999999997E-2</v>
      </c>
      <c r="AY39" s="317">
        <v>-9.7500000000000003E-2</v>
      </c>
      <c r="AZ39" s="317">
        <v>9.5999999999999992E-3</v>
      </c>
      <c r="BA39" s="317">
        <v>7.2400000000000006E-2</v>
      </c>
      <c r="BB39" s="317">
        <v>-1.2500000000000001E-2</v>
      </c>
      <c r="BC39" s="317">
        <v>3.8600000000000002E-2</v>
      </c>
      <c r="BD39" s="317">
        <v>5.2900000000000003E-2</v>
      </c>
      <c r="BE39" s="317">
        <v>-1.0200000000000001E-2</v>
      </c>
      <c r="BF39" s="317">
        <v>6.4899999999999999E-2</v>
      </c>
      <c r="BG39" s="317">
        <v>5.7500000000000002E-2</v>
      </c>
      <c r="BH39" s="317">
        <v>8.48E-2</v>
      </c>
      <c r="BI39" s="317">
        <v>4.4400000000000002E-2</v>
      </c>
      <c r="BJ39" s="317">
        <v>-2.7900000000000001E-2</v>
      </c>
    </row>
    <row r="40" spans="1:62">
      <c r="A40" s="82" t="s">
        <v>107</v>
      </c>
      <c r="B40" s="317">
        <v>5.62E-2</v>
      </c>
      <c r="C40" s="317">
        <v>0.60250000000000004</v>
      </c>
      <c r="D40" s="317">
        <v>6.5000000000000002E-2</v>
      </c>
      <c r="E40" s="317">
        <v>0.54579999999999995</v>
      </c>
      <c r="F40" s="317">
        <v>0.48149999999999998</v>
      </c>
      <c r="G40" s="317">
        <v>-1.3100000000000001E-2</v>
      </c>
      <c r="H40" s="317">
        <v>-3.9899999999999998E-2</v>
      </c>
      <c r="I40" s="317">
        <v>-2.7300000000000001E-2</v>
      </c>
      <c r="J40" s="317">
        <v>0.12239999999999999</v>
      </c>
      <c r="K40" s="317">
        <v>-0.1249</v>
      </c>
      <c r="L40" s="317">
        <v>2.5000000000000001E-3</v>
      </c>
      <c r="M40" s="317">
        <v>-0.53549999999999998</v>
      </c>
      <c r="N40" s="317">
        <v>2.9399999999999999E-2</v>
      </c>
      <c r="O40" s="317">
        <v>5.0000000000000001E-4</v>
      </c>
      <c r="P40" s="317">
        <v>0.122</v>
      </c>
      <c r="Q40" s="317">
        <v>-5.2900000000000003E-2</v>
      </c>
      <c r="R40" s="317">
        <v>-8.7599999999999997E-2</v>
      </c>
      <c r="S40" s="317">
        <v>-5.8500000000000003E-2</v>
      </c>
      <c r="T40" s="317">
        <v>-0.16589999999999999</v>
      </c>
      <c r="U40" s="317">
        <v>-1.78E-2</v>
      </c>
      <c r="V40" s="317">
        <v>-2.8000000000000001E-2</v>
      </c>
      <c r="W40" s="317">
        <v>-2.8500000000000001E-2</v>
      </c>
      <c r="X40" s="317">
        <v>-0.18410000000000001</v>
      </c>
      <c r="Y40" s="317">
        <v>-1.5299999999999999E-2</v>
      </c>
      <c r="Z40" s="317">
        <v>1.3100000000000001E-2</v>
      </c>
      <c r="AA40" s="317">
        <v>-0.1711</v>
      </c>
      <c r="AB40" s="317">
        <v>-0.16700000000000001</v>
      </c>
      <c r="AC40" s="317">
        <v>0.63780000000000003</v>
      </c>
      <c r="AD40" s="317">
        <v>-0.37919999999999998</v>
      </c>
      <c r="AE40" s="317">
        <v>-0.2059</v>
      </c>
      <c r="AF40" s="317">
        <v>-0.30330000000000001</v>
      </c>
      <c r="AG40" s="317">
        <v>-5.8999999999999997E-2</v>
      </c>
      <c r="AH40" s="317">
        <v>0.81559999999999999</v>
      </c>
      <c r="AI40" s="317">
        <v>-0.43580000000000002</v>
      </c>
      <c r="AJ40" s="317">
        <v>-4.6399999999999997E-2</v>
      </c>
      <c r="AK40" s="317">
        <v>0.16470000000000001</v>
      </c>
      <c r="AL40" s="317">
        <v>9.9199999999999997E-2</v>
      </c>
      <c r="AM40" s="317">
        <v>1</v>
      </c>
      <c r="AN40" s="317">
        <v>-7.2499999999999995E-2</v>
      </c>
      <c r="AO40" s="317">
        <v>-0.27339999999999998</v>
      </c>
      <c r="AP40" s="317">
        <v>-2.7300000000000001E-2</v>
      </c>
      <c r="AQ40" s="317">
        <v>-6.9400000000000003E-2</v>
      </c>
      <c r="AR40" s="317">
        <v>-0.18379999999999999</v>
      </c>
      <c r="AS40" s="317">
        <v>-3.4599999999999999E-2</v>
      </c>
      <c r="AT40" s="317">
        <v>-8.2100000000000006E-2</v>
      </c>
      <c r="AU40" s="317">
        <v>-0.12609999999999999</v>
      </c>
      <c r="AV40" s="317">
        <v>-0.18210000000000001</v>
      </c>
      <c r="AW40" s="317">
        <v>0.20630000000000001</v>
      </c>
      <c r="AX40" s="317">
        <v>-0.26150000000000001</v>
      </c>
      <c r="AY40" s="317">
        <v>-0.26640000000000003</v>
      </c>
      <c r="AZ40" s="317">
        <v>0.1106</v>
      </c>
      <c r="BA40" s="317">
        <v>0.39419999999999999</v>
      </c>
      <c r="BB40" s="317">
        <v>2.47E-2</v>
      </c>
      <c r="BC40" s="317">
        <v>0.46779999999999999</v>
      </c>
      <c r="BD40" s="317">
        <v>8.6199999999999999E-2</v>
      </c>
      <c r="BE40" s="317">
        <v>-5.04E-2</v>
      </c>
      <c r="BF40" s="317">
        <v>0.39400000000000002</v>
      </c>
      <c r="BG40" s="317">
        <v>0.84319999999999995</v>
      </c>
      <c r="BH40" s="317">
        <v>0.32450000000000001</v>
      </c>
      <c r="BI40" s="317">
        <v>0.20799999999999999</v>
      </c>
      <c r="BJ40" s="317">
        <v>-0.15790000000000001</v>
      </c>
    </row>
    <row r="41" spans="1:62">
      <c r="A41" s="82" t="s">
        <v>384</v>
      </c>
      <c r="B41" s="317">
        <v>-6.3100000000000003E-2</v>
      </c>
      <c r="C41" s="317">
        <v>-8.6999999999999994E-2</v>
      </c>
      <c r="D41" s="317">
        <v>2.64E-2</v>
      </c>
      <c r="E41" s="317">
        <v>-3.95E-2</v>
      </c>
      <c r="F41" s="317">
        <v>-2.3999999999999998E-3</v>
      </c>
      <c r="G41" s="317">
        <v>1.15E-2</v>
      </c>
      <c r="H41" s="317">
        <v>0.16800000000000001</v>
      </c>
      <c r="I41" s="317">
        <v>-2.1399999999999999E-2</v>
      </c>
      <c r="J41" s="317">
        <v>-1.6799999999999999E-2</v>
      </c>
      <c r="K41" s="317">
        <v>8.2900000000000001E-2</v>
      </c>
      <c r="L41" s="317">
        <v>0.1217</v>
      </c>
      <c r="M41" s="317">
        <v>6.0900000000000003E-2</v>
      </c>
      <c r="N41" s="317">
        <v>-3.5999999999999997E-2</v>
      </c>
      <c r="O41" s="317">
        <v>8.1699999999999995E-2</v>
      </c>
      <c r="P41" s="317">
        <v>-3.95E-2</v>
      </c>
      <c r="Q41" s="317">
        <v>-2.3199999999999998E-2</v>
      </c>
      <c r="R41" s="317">
        <v>-1.5800000000000002E-2</v>
      </c>
      <c r="S41" s="317">
        <v>-3.1899999999999998E-2</v>
      </c>
      <c r="T41" s="317">
        <v>2.07E-2</v>
      </c>
      <c r="U41" s="317">
        <v>4.3E-3</v>
      </c>
      <c r="V41" s="317">
        <v>1.4E-3</v>
      </c>
      <c r="W41" s="317">
        <v>1.9E-3</v>
      </c>
      <c r="X41" s="317">
        <v>1.5100000000000001E-2</v>
      </c>
      <c r="Y41" s="317">
        <v>9.7199999999999995E-2</v>
      </c>
      <c r="Z41" s="317">
        <v>-5.1999999999999998E-2</v>
      </c>
      <c r="AA41" s="317">
        <v>3.3E-3</v>
      </c>
      <c r="AB41" s="317">
        <v>5.9499999999999997E-2</v>
      </c>
      <c r="AC41" s="317">
        <v>-9.01E-2</v>
      </c>
      <c r="AD41" s="317">
        <v>0.1351</v>
      </c>
      <c r="AE41" s="317">
        <v>4.02E-2</v>
      </c>
      <c r="AF41" s="317">
        <v>0.1298</v>
      </c>
      <c r="AG41" s="317">
        <v>-2.5100000000000001E-2</v>
      </c>
      <c r="AH41" s="317">
        <v>-9.3799999999999994E-2</v>
      </c>
      <c r="AI41" s="317">
        <v>6.1199999999999997E-2</v>
      </c>
      <c r="AJ41" s="317">
        <v>1.29E-2</v>
      </c>
      <c r="AK41" s="317">
        <v>8.9399999999999993E-2</v>
      </c>
      <c r="AL41" s="317">
        <v>1.3599999999999999E-2</v>
      </c>
      <c r="AM41" s="317">
        <v>-7.2499999999999995E-2</v>
      </c>
      <c r="AN41" s="317">
        <v>1</v>
      </c>
      <c r="AO41" s="317">
        <v>6.5100000000000005E-2</v>
      </c>
      <c r="AP41" s="317">
        <v>-3.1600000000000003E-2</v>
      </c>
      <c r="AQ41" s="317">
        <v>-7.5999999999999998E-2</v>
      </c>
      <c r="AR41" s="317">
        <v>-7.0599999999999996E-2</v>
      </c>
      <c r="AS41" s="317">
        <v>5.5399999999999998E-2</v>
      </c>
      <c r="AT41" s="317">
        <v>-1.4800000000000001E-2</v>
      </c>
      <c r="AU41" s="317">
        <v>5.1000000000000004E-3</v>
      </c>
      <c r="AV41" s="317">
        <v>6.7999999999999996E-3</v>
      </c>
      <c r="AW41" s="317">
        <v>-3.4500000000000003E-2</v>
      </c>
      <c r="AX41" s="317">
        <v>0.1074</v>
      </c>
      <c r="AY41" s="317">
        <v>-4.5999999999999999E-3</v>
      </c>
      <c r="AZ41" s="317">
        <v>-3.0700000000000002E-2</v>
      </c>
      <c r="BA41" s="317">
        <v>-0.1021</v>
      </c>
      <c r="BB41" s="317">
        <v>-2.9999999999999997E-4</v>
      </c>
      <c r="BC41" s="317">
        <v>-7.2099999999999997E-2</v>
      </c>
      <c r="BD41" s="317">
        <v>-3.5200000000000002E-2</v>
      </c>
      <c r="BE41" s="317">
        <v>9.8699999999999996E-2</v>
      </c>
      <c r="BF41" s="317">
        <v>-0.1787</v>
      </c>
      <c r="BG41" s="317">
        <v>-4.8500000000000001E-2</v>
      </c>
      <c r="BH41" s="317">
        <v>-1.21E-2</v>
      </c>
      <c r="BI41" s="317">
        <v>-0.13819999999999999</v>
      </c>
      <c r="BJ41" s="317">
        <v>-1.1599999999999999E-2</v>
      </c>
    </row>
    <row r="42" spans="1:62">
      <c r="A42" s="82" t="s">
        <v>391</v>
      </c>
      <c r="B42" s="317">
        <v>-3.3099999999999997E-2</v>
      </c>
      <c r="C42" s="317">
        <v>-0.40639999999999998</v>
      </c>
      <c r="D42" s="317">
        <v>-8.3500000000000005E-2</v>
      </c>
      <c r="E42" s="317">
        <v>-0.33739999999999998</v>
      </c>
      <c r="F42" s="317">
        <v>-0.39200000000000002</v>
      </c>
      <c r="G42" s="317">
        <v>0.11559999999999999</v>
      </c>
      <c r="H42" s="317">
        <v>0.24030000000000001</v>
      </c>
      <c r="I42" s="317">
        <v>-4.8999999999999998E-3</v>
      </c>
      <c r="J42" s="317">
        <v>7.3300000000000004E-2</v>
      </c>
      <c r="K42" s="317">
        <v>0.30890000000000001</v>
      </c>
      <c r="L42" s="317">
        <v>0.2303</v>
      </c>
      <c r="M42" s="317">
        <v>0.5181</v>
      </c>
      <c r="N42" s="317">
        <v>0.25109999999999999</v>
      </c>
      <c r="O42" s="317">
        <v>0.22770000000000001</v>
      </c>
      <c r="P42" s="317">
        <v>-0.15260000000000001</v>
      </c>
      <c r="Q42" s="317">
        <v>5.3400000000000003E-2</v>
      </c>
      <c r="R42" s="317">
        <v>9.2399999999999996E-2</v>
      </c>
      <c r="S42" s="317">
        <v>6.5799999999999997E-2</v>
      </c>
      <c r="T42" s="317">
        <v>0.19209999999999999</v>
      </c>
      <c r="U42" s="317">
        <v>6.8900000000000003E-2</v>
      </c>
      <c r="V42" s="317">
        <v>1.23E-2</v>
      </c>
      <c r="W42" s="317">
        <v>4.7100000000000003E-2</v>
      </c>
      <c r="X42" s="317">
        <v>0.2185</v>
      </c>
      <c r="Y42" s="317">
        <v>4.8500000000000001E-2</v>
      </c>
      <c r="Z42" s="317">
        <v>0.1114</v>
      </c>
      <c r="AA42" s="317">
        <v>-0.1283</v>
      </c>
      <c r="AB42" s="317">
        <v>0.30549999999999999</v>
      </c>
      <c r="AC42" s="317">
        <v>-0.1573</v>
      </c>
      <c r="AD42" s="317">
        <v>0.4279</v>
      </c>
      <c r="AE42" s="317">
        <v>0.25890000000000002</v>
      </c>
      <c r="AF42" s="317">
        <v>0.64700000000000002</v>
      </c>
      <c r="AG42" s="317">
        <v>4.6399999999999997E-2</v>
      </c>
      <c r="AH42" s="317">
        <v>-0.3352</v>
      </c>
      <c r="AI42" s="317">
        <v>0.31290000000000001</v>
      </c>
      <c r="AJ42" s="317">
        <v>-3.2000000000000001E-2</v>
      </c>
      <c r="AK42" s="317">
        <v>0.1178</v>
      </c>
      <c r="AL42" s="317">
        <v>-8.7300000000000003E-2</v>
      </c>
      <c r="AM42" s="317">
        <v>-0.27339999999999998</v>
      </c>
      <c r="AN42" s="317">
        <v>6.5100000000000005E-2</v>
      </c>
      <c r="AO42" s="317">
        <v>1</v>
      </c>
      <c r="AP42" s="317">
        <v>-0.35589999999999999</v>
      </c>
      <c r="AQ42" s="317">
        <v>-0.26989999999999997</v>
      </c>
      <c r="AR42" s="317">
        <v>-0.186</v>
      </c>
      <c r="AS42" s="317">
        <v>0.3508</v>
      </c>
      <c r="AT42" s="317">
        <v>-0.14860000000000001</v>
      </c>
      <c r="AU42" s="317">
        <v>-6.8099999999999994E-2</v>
      </c>
      <c r="AV42" s="317">
        <v>3.8999999999999998E-3</v>
      </c>
      <c r="AW42" s="317">
        <v>-5.6300000000000003E-2</v>
      </c>
      <c r="AX42" s="317">
        <v>0.44500000000000001</v>
      </c>
      <c r="AY42" s="317">
        <v>0.17030000000000001</v>
      </c>
      <c r="AZ42" s="317">
        <v>8.7099999999999997E-2</v>
      </c>
      <c r="BA42" s="317">
        <v>-0.35199999999999998</v>
      </c>
      <c r="BB42" s="317">
        <v>-3.7499999999999999E-2</v>
      </c>
      <c r="BC42" s="317">
        <v>-0.2445</v>
      </c>
      <c r="BD42" s="317">
        <v>-2.9399999999999999E-2</v>
      </c>
      <c r="BE42" s="317">
        <v>0.13800000000000001</v>
      </c>
      <c r="BF42" s="317">
        <v>-0.57979999999999998</v>
      </c>
      <c r="BG42" s="317">
        <v>-0.16470000000000001</v>
      </c>
      <c r="BH42" s="317">
        <v>-0.254</v>
      </c>
      <c r="BI42" s="317">
        <v>-0.52429999999999999</v>
      </c>
      <c r="BJ42" s="317">
        <v>0.2346</v>
      </c>
    </row>
    <row r="43" spans="1:62">
      <c r="A43" s="82" t="s">
        <v>478</v>
      </c>
      <c r="B43" s="317">
        <v>0.35289999999999999</v>
      </c>
      <c r="C43" s="317">
        <v>7.0800000000000002E-2</v>
      </c>
      <c r="D43" s="317">
        <v>0.1021</v>
      </c>
      <c r="E43" s="317">
        <v>-9.7500000000000003E-2</v>
      </c>
      <c r="F43" s="317">
        <v>4.2700000000000002E-2</v>
      </c>
      <c r="G43" s="317">
        <v>0.1275</v>
      </c>
      <c r="H43" s="317">
        <v>-8.48E-2</v>
      </c>
      <c r="I43" s="317">
        <v>3.4000000000000002E-2</v>
      </c>
      <c r="J43" s="317">
        <v>-2.4799999999999999E-2</v>
      </c>
      <c r="K43" s="317">
        <v>-9.8299999999999998E-2</v>
      </c>
      <c r="L43" s="317">
        <v>-0.1152</v>
      </c>
      <c r="M43" s="317">
        <v>-0.1048</v>
      </c>
      <c r="N43" s="317">
        <v>-0.40289999999999998</v>
      </c>
      <c r="O43" s="317">
        <v>-6.9800000000000001E-2</v>
      </c>
      <c r="P43" s="317">
        <v>7.8E-2</v>
      </c>
      <c r="Q43" s="317">
        <v>-1.9E-2</v>
      </c>
      <c r="R43" s="317">
        <v>-4.3999999999999997E-2</v>
      </c>
      <c r="S43" s="317">
        <v>-2.3199999999999998E-2</v>
      </c>
      <c r="T43" s="317">
        <v>-0.105</v>
      </c>
      <c r="U43" s="317">
        <v>-7.1000000000000004E-3</v>
      </c>
      <c r="V43" s="317">
        <v>2.8999999999999998E-3</v>
      </c>
      <c r="W43" s="317">
        <v>-1E-4</v>
      </c>
      <c r="X43" s="317">
        <v>-9.1600000000000001E-2</v>
      </c>
      <c r="Y43" s="317">
        <v>-2.3599999999999999E-2</v>
      </c>
      <c r="Z43" s="317">
        <v>6.93E-2</v>
      </c>
      <c r="AA43" s="317">
        <v>-2.7E-2</v>
      </c>
      <c r="AB43" s="317">
        <v>-0.20380000000000001</v>
      </c>
      <c r="AC43" s="317">
        <v>-0.16189999999999999</v>
      </c>
      <c r="AD43" s="317">
        <v>-8.6999999999999994E-2</v>
      </c>
      <c r="AE43" s="317">
        <v>-8.5199999999999998E-2</v>
      </c>
      <c r="AF43" s="317">
        <v>-0.54069999999999996</v>
      </c>
      <c r="AG43" s="317">
        <v>0.19800000000000001</v>
      </c>
      <c r="AH43" s="317">
        <v>4.3700000000000003E-2</v>
      </c>
      <c r="AI43" s="317">
        <v>2.81E-2</v>
      </c>
      <c r="AJ43" s="317">
        <v>0.61580000000000001</v>
      </c>
      <c r="AK43" s="317">
        <v>-0.12180000000000001</v>
      </c>
      <c r="AL43" s="317">
        <v>3.3599999999999998E-2</v>
      </c>
      <c r="AM43" s="317">
        <v>-2.7300000000000001E-2</v>
      </c>
      <c r="AN43" s="317">
        <v>-3.1600000000000003E-2</v>
      </c>
      <c r="AO43" s="317">
        <v>-0.35589999999999999</v>
      </c>
      <c r="AP43" s="317">
        <v>1</v>
      </c>
      <c r="AQ43" s="317">
        <v>0.51719999999999999</v>
      </c>
      <c r="AR43" s="317">
        <v>0.69189999999999996</v>
      </c>
      <c r="AS43" s="317">
        <v>-0.1681</v>
      </c>
      <c r="AT43" s="317">
        <v>0.1457</v>
      </c>
      <c r="AU43" s="317">
        <v>0.11899999999999999</v>
      </c>
      <c r="AV43" s="317">
        <v>4.9200000000000001E-2</v>
      </c>
      <c r="AW43" s="317">
        <v>-0.1002</v>
      </c>
      <c r="AX43" s="317">
        <v>-0.52080000000000004</v>
      </c>
      <c r="AY43" s="317">
        <v>4.3E-3</v>
      </c>
      <c r="AZ43" s="317">
        <v>-6.4999999999999997E-3</v>
      </c>
      <c r="BA43" s="317">
        <v>0.26619999999999999</v>
      </c>
      <c r="BB43" s="317">
        <v>5.0900000000000001E-2</v>
      </c>
      <c r="BC43" s="317">
        <v>-6.0100000000000001E-2</v>
      </c>
      <c r="BD43" s="317">
        <v>0.33679999999999999</v>
      </c>
      <c r="BE43" s="317">
        <v>-8.9300000000000004E-2</v>
      </c>
      <c r="BF43" s="317">
        <v>0.36880000000000002</v>
      </c>
      <c r="BG43" s="317">
        <v>-9.1000000000000004E-3</v>
      </c>
      <c r="BH43" s="317">
        <v>5.3499999999999999E-2</v>
      </c>
      <c r="BI43" s="317">
        <v>0.69110000000000005</v>
      </c>
      <c r="BJ43" s="317">
        <v>-7.2300000000000003E-2</v>
      </c>
    </row>
    <row r="44" spans="1:62">
      <c r="A44" s="82" t="s">
        <v>480</v>
      </c>
      <c r="B44" s="317">
        <v>-3.4200000000000001E-2</v>
      </c>
      <c r="C44" s="317">
        <v>-1.5900000000000001E-2</v>
      </c>
      <c r="D44" s="317">
        <v>5.2600000000000001E-2</v>
      </c>
      <c r="E44" s="317">
        <v>0.1134</v>
      </c>
      <c r="F44" s="317">
        <v>5.6800000000000003E-2</v>
      </c>
      <c r="G44" s="317">
        <v>-6.6500000000000004E-2</v>
      </c>
      <c r="H44" s="317">
        <v>-4.07E-2</v>
      </c>
      <c r="I44" s="317">
        <v>2.8E-3</v>
      </c>
      <c r="J44" s="317">
        <v>-0.20419999999999999</v>
      </c>
      <c r="K44" s="317">
        <v>-7.3499999999999996E-2</v>
      </c>
      <c r="L44" s="317">
        <v>-0.11650000000000001</v>
      </c>
      <c r="M44" s="317">
        <v>-0.12479999999999999</v>
      </c>
      <c r="N44" s="317">
        <v>-0.38479999999999998</v>
      </c>
      <c r="O44" s="317">
        <v>-0.29289999999999999</v>
      </c>
      <c r="P44" s="317">
        <v>-5.0000000000000001E-4</v>
      </c>
      <c r="Q44" s="317">
        <v>2.47E-2</v>
      </c>
      <c r="R44" s="317">
        <v>2.9600000000000001E-2</v>
      </c>
      <c r="S44" s="317">
        <v>9.4000000000000004E-3</v>
      </c>
      <c r="T44" s="317">
        <v>-1.3599999999999999E-2</v>
      </c>
      <c r="U44" s="317">
        <v>1.24E-2</v>
      </c>
      <c r="V44" s="317">
        <v>9.1399999999999995E-2</v>
      </c>
      <c r="W44" s="317">
        <v>6.2E-2</v>
      </c>
      <c r="X44" s="317">
        <v>1.9900000000000001E-2</v>
      </c>
      <c r="Y44" s="317">
        <v>-2.1299999999999999E-2</v>
      </c>
      <c r="Z44" s="317">
        <v>-0.2732</v>
      </c>
      <c r="AA44" s="317">
        <v>9.8699999999999996E-2</v>
      </c>
      <c r="AB44" s="317">
        <v>-7.8899999999999998E-2</v>
      </c>
      <c r="AC44" s="317">
        <v>-9.4E-2</v>
      </c>
      <c r="AD44" s="317">
        <v>-9.1399999999999995E-2</v>
      </c>
      <c r="AE44" s="317">
        <v>2.9399999999999999E-2</v>
      </c>
      <c r="AF44" s="317">
        <v>-0.50309999999999999</v>
      </c>
      <c r="AG44" s="317">
        <v>1.8599999999999998E-2</v>
      </c>
      <c r="AH44" s="317">
        <v>-0.1023</v>
      </c>
      <c r="AI44" s="317">
        <v>-6.6900000000000001E-2</v>
      </c>
      <c r="AJ44" s="317">
        <v>0.1527</v>
      </c>
      <c r="AK44" s="317">
        <v>-0.1237</v>
      </c>
      <c r="AL44" s="317">
        <v>1.5299999999999999E-2</v>
      </c>
      <c r="AM44" s="317">
        <v>-6.9400000000000003E-2</v>
      </c>
      <c r="AN44" s="317">
        <v>-7.5999999999999998E-2</v>
      </c>
      <c r="AO44" s="317">
        <v>-0.26989999999999997</v>
      </c>
      <c r="AP44" s="317">
        <v>0.51719999999999999</v>
      </c>
      <c r="AQ44" s="317">
        <v>1</v>
      </c>
      <c r="AR44" s="317">
        <v>0.85770000000000002</v>
      </c>
      <c r="AS44" s="317">
        <v>-8.48E-2</v>
      </c>
      <c r="AT44" s="317">
        <v>0.112</v>
      </c>
      <c r="AU44" s="317">
        <v>0.1046</v>
      </c>
      <c r="AV44" s="317">
        <v>0.28389999999999999</v>
      </c>
      <c r="AW44" s="317">
        <v>-5.5899999999999998E-2</v>
      </c>
      <c r="AX44" s="317">
        <v>-0.41620000000000001</v>
      </c>
      <c r="AY44" s="317">
        <v>0.1229</v>
      </c>
      <c r="AZ44" s="317">
        <v>-0.16039999999999999</v>
      </c>
      <c r="BA44" s="317">
        <v>1.2699999999999999E-2</v>
      </c>
      <c r="BB44" s="317">
        <v>-1.44E-2</v>
      </c>
      <c r="BC44" s="317">
        <v>0.1321</v>
      </c>
      <c r="BD44" s="317">
        <v>-6.4000000000000001E-2</v>
      </c>
      <c r="BE44" s="317">
        <v>-0.38090000000000002</v>
      </c>
      <c r="BF44" s="317">
        <v>0.23089999999999999</v>
      </c>
      <c r="BG44" s="317">
        <v>5.0000000000000001E-4</v>
      </c>
      <c r="BH44" s="317">
        <v>0.10920000000000001</v>
      </c>
      <c r="BI44" s="317">
        <v>0.69550000000000001</v>
      </c>
      <c r="BJ44" s="317">
        <v>-6.1000000000000004E-3</v>
      </c>
    </row>
    <row r="45" spans="1:62">
      <c r="A45" s="82" t="s">
        <v>486</v>
      </c>
      <c r="B45" s="317">
        <v>0.11700000000000001</v>
      </c>
      <c r="C45" s="317">
        <v>-0.12809999999999999</v>
      </c>
      <c r="D45" s="317">
        <v>6.6199999999999995E-2</v>
      </c>
      <c r="E45" s="317">
        <v>-7.6999999999999999E-2</v>
      </c>
      <c r="F45" s="317">
        <v>-2.3800000000000002E-2</v>
      </c>
      <c r="G45" s="317">
        <v>-4.9799999999999997E-2</v>
      </c>
      <c r="H45" s="317">
        <v>-2.0000000000000001E-4</v>
      </c>
      <c r="I45" s="317">
        <v>2.0299999999999999E-2</v>
      </c>
      <c r="J45" s="317">
        <v>-0.2089</v>
      </c>
      <c r="K45" s="317">
        <v>-1.0500000000000001E-2</v>
      </c>
      <c r="L45" s="317">
        <v>-7.6399999999999996E-2</v>
      </c>
      <c r="M45" s="317">
        <v>1.0999999999999999E-2</v>
      </c>
      <c r="N45" s="317">
        <v>-0.35980000000000001</v>
      </c>
      <c r="O45" s="317">
        <v>-0.2336</v>
      </c>
      <c r="P45" s="317">
        <v>-3.9199999999999999E-2</v>
      </c>
      <c r="Q45" s="317">
        <v>1.6899999999999998E-2</v>
      </c>
      <c r="R45" s="317">
        <v>3.7400000000000003E-2</v>
      </c>
      <c r="S45" s="317">
        <v>1.4E-2</v>
      </c>
      <c r="T45" s="317">
        <v>5.3699999999999998E-2</v>
      </c>
      <c r="U45" s="317">
        <v>4.3799999999999999E-2</v>
      </c>
      <c r="V45" s="317">
        <v>6.0299999999999999E-2</v>
      </c>
      <c r="W45" s="317">
        <v>6.2199999999999998E-2</v>
      </c>
      <c r="X45" s="317">
        <v>8.3900000000000002E-2</v>
      </c>
      <c r="Y45" s="317">
        <v>-6.2600000000000003E-2</v>
      </c>
      <c r="Z45" s="317">
        <v>-0.16969999999999999</v>
      </c>
      <c r="AA45" s="317">
        <v>6.7699999999999996E-2</v>
      </c>
      <c r="AB45" s="317">
        <v>-6.7000000000000004E-2</v>
      </c>
      <c r="AC45" s="317">
        <v>-0.21249999999999999</v>
      </c>
      <c r="AD45" s="317">
        <v>2.29E-2</v>
      </c>
      <c r="AE45" s="317">
        <v>7.6399999999999996E-2</v>
      </c>
      <c r="AF45" s="317">
        <v>-0.42009999999999997</v>
      </c>
      <c r="AG45" s="317">
        <v>5.45E-2</v>
      </c>
      <c r="AH45" s="317">
        <v>-0.22040000000000001</v>
      </c>
      <c r="AI45" s="317">
        <v>6.6600000000000006E-2</v>
      </c>
      <c r="AJ45" s="317">
        <v>0.35980000000000001</v>
      </c>
      <c r="AK45" s="317">
        <v>-0.12130000000000001</v>
      </c>
      <c r="AL45" s="317">
        <v>-1.7500000000000002E-2</v>
      </c>
      <c r="AM45" s="317">
        <v>-0.18379999999999999</v>
      </c>
      <c r="AN45" s="317">
        <v>-7.0599999999999996E-2</v>
      </c>
      <c r="AO45" s="317">
        <v>-0.186</v>
      </c>
      <c r="AP45" s="317">
        <v>0.69189999999999996</v>
      </c>
      <c r="AQ45" s="317">
        <v>0.85770000000000002</v>
      </c>
      <c r="AR45" s="317">
        <v>1</v>
      </c>
      <c r="AS45" s="317">
        <v>-0.1089</v>
      </c>
      <c r="AT45" s="317">
        <v>9.06E-2</v>
      </c>
      <c r="AU45" s="317">
        <v>0.12989999999999999</v>
      </c>
      <c r="AV45" s="317">
        <v>0.32840000000000003</v>
      </c>
      <c r="AW45" s="317">
        <v>-0.09</v>
      </c>
      <c r="AX45" s="317">
        <v>-0.41070000000000001</v>
      </c>
      <c r="AY45" s="317">
        <v>0.112</v>
      </c>
      <c r="AZ45" s="317">
        <v>-0.1714</v>
      </c>
      <c r="BA45" s="317">
        <v>-4.7399999999999998E-2</v>
      </c>
      <c r="BB45" s="317">
        <v>-3.8699999999999998E-2</v>
      </c>
      <c r="BC45" s="317">
        <v>-2.23E-2</v>
      </c>
      <c r="BD45" s="317">
        <v>7.8299999999999995E-2</v>
      </c>
      <c r="BE45" s="317">
        <v>-0.29970000000000002</v>
      </c>
      <c r="BF45" s="317">
        <v>0.18329999999999999</v>
      </c>
      <c r="BG45" s="317">
        <v>-8.6800000000000002E-2</v>
      </c>
      <c r="BH45" s="317">
        <v>-1.7299999999999999E-2</v>
      </c>
      <c r="BI45" s="317">
        <v>0.69410000000000005</v>
      </c>
      <c r="BJ45" s="317">
        <v>7.6600000000000001E-2</v>
      </c>
    </row>
    <row r="46" spans="1:62">
      <c r="A46" s="82" t="s">
        <v>397</v>
      </c>
      <c r="B46" s="317">
        <v>-6.6699999999999995E-2</v>
      </c>
      <c r="C46" s="317">
        <v>-0.14729999999999999</v>
      </c>
      <c r="D46" s="317">
        <v>1.2500000000000001E-2</v>
      </c>
      <c r="E46" s="317">
        <v>-5.6099999999999997E-2</v>
      </c>
      <c r="F46" s="317">
        <v>-0.1123</v>
      </c>
      <c r="G46" s="317">
        <v>-0.20669999999999999</v>
      </c>
      <c r="H46" s="317">
        <v>0.1346</v>
      </c>
      <c r="I46" s="317">
        <v>6.7000000000000002E-3</v>
      </c>
      <c r="J46" s="317">
        <v>6.8999999999999999E-3</v>
      </c>
      <c r="K46" s="317">
        <v>0.13070000000000001</v>
      </c>
      <c r="L46" s="317">
        <v>0.15279999999999999</v>
      </c>
      <c r="M46" s="317">
        <v>0.20979999999999999</v>
      </c>
      <c r="N46" s="317">
        <v>0.1285</v>
      </c>
      <c r="O46" s="317">
        <v>4.58E-2</v>
      </c>
      <c r="P46" s="317">
        <v>-8.2799999999999999E-2</v>
      </c>
      <c r="Q46" s="317">
        <v>4.19E-2</v>
      </c>
      <c r="R46" s="317">
        <v>4.58E-2</v>
      </c>
      <c r="S46" s="317">
        <v>3.4700000000000002E-2</v>
      </c>
      <c r="T46" s="317">
        <v>8.4400000000000003E-2</v>
      </c>
      <c r="U46" s="317">
        <v>9.3899999999999997E-2</v>
      </c>
      <c r="V46" s="317">
        <v>-6.4299999999999996E-2</v>
      </c>
      <c r="W46" s="317">
        <v>1.4200000000000001E-2</v>
      </c>
      <c r="X46" s="317">
        <v>1.03E-2</v>
      </c>
      <c r="Y46" s="317">
        <v>4.4999999999999998E-2</v>
      </c>
      <c r="Z46" s="317">
        <v>-3.49E-2</v>
      </c>
      <c r="AA46" s="317">
        <v>-0.17430000000000001</v>
      </c>
      <c r="AB46" s="317">
        <v>9.4500000000000001E-2</v>
      </c>
      <c r="AC46" s="317">
        <v>4.5699999999999998E-2</v>
      </c>
      <c r="AD46" s="317">
        <v>0.1328</v>
      </c>
      <c r="AE46" s="317">
        <v>2.6499999999999999E-2</v>
      </c>
      <c r="AF46" s="317">
        <v>0.3115</v>
      </c>
      <c r="AG46" s="317">
        <v>-0.20480000000000001</v>
      </c>
      <c r="AH46" s="317">
        <v>-9.3899999999999997E-2</v>
      </c>
      <c r="AI46" s="317">
        <v>5.2600000000000001E-2</v>
      </c>
      <c r="AJ46" s="317">
        <v>3.8999999999999998E-3</v>
      </c>
      <c r="AK46" s="317">
        <v>7.9000000000000001E-2</v>
      </c>
      <c r="AL46" s="317">
        <v>-4.1000000000000002E-2</v>
      </c>
      <c r="AM46" s="317">
        <v>-3.4599999999999999E-2</v>
      </c>
      <c r="AN46" s="317">
        <v>5.5399999999999998E-2</v>
      </c>
      <c r="AO46" s="317">
        <v>0.3508</v>
      </c>
      <c r="AP46" s="317">
        <v>-0.1681</v>
      </c>
      <c r="AQ46" s="317">
        <v>-8.48E-2</v>
      </c>
      <c r="AR46" s="317">
        <v>-0.1089</v>
      </c>
      <c r="AS46" s="317">
        <v>1</v>
      </c>
      <c r="AT46" s="317">
        <v>-5.3999999999999999E-2</v>
      </c>
      <c r="AU46" s="317">
        <v>-8.5000000000000006E-3</v>
      </c>
      <c r="AV46" s="317">
        <v>3.3700000000000001E-2</v>
      </c>
      <c r="AW46" s="317">
        <v>1.37E-2</v>
      </c>
      <c r="AX46" s="317">
        <v>0.18509999999999999</v>
      </c>
      <c r="AY46" s="317">
        <v>5.4899999999999997E-2</v>
      </c>
      <c r="AZ46" s="317">
        <v>0.13569999999999999</v>
      </c>
      <c r="BA46" s="317">
        <v>-0.18279999999999999</v>
      </c>
      <c r="BB46" s="317">
        <v>1.04E-2</v>
      </c>
      <c r="BC46" s="317">
        <v>-2.3E-3</v>
      </c>
      <c r="BD46" s="317">
        <v>-4.99E-2</v>
      </c>
      <c r="BE46" s="317">
        <v>-5.4600000000000003E-2</v>
      </c>
      <c r="BF46" s="317">
        <v>-0.25230000000000002</v>
      </c>
      <c r="BG46" s="317">
        <v>-2.5999999999999999E-3</v>
      </c>
      <c r="BH46" s="317">
        <v>-3.8399999999999997E-2</v>
      </c>
      <c r="BI46" s="317">
        <v>-0.20280000000000001</v>
      </c>
      <c r="BJ46" s="317">
        <v>3.61E-2</v>
      </c>
    </row>
    <row r="47" spans="1:62">
      <c r="A47" s="82" t="s">
        <v>493</v>
      </c>
      <c r="B47" s="317">
        <v>-2.1600000000000001E-2</v>
      </c>
      <c r="C47" s="317">
        <v>-8.6699999999999999E-2</v>
      </c>
      <c r="D47" s="317">
        <v>-1.7000000000000001E-2</v>
      </c>
      <c r="E47" s="317">
        <v>-3.6900000000000002E-2</v>
      </c>
      <c r="F47" s="317">
        <v>-2.1000000000000001E-2</v>
      </c>
      <c r="G47" s="317">
        <v>-0.1057</v>
      </c>
      <c r="H47" s="317">
        <v>-6.1100000000000002E-2</v>
      </c>
      <c r="I47" s="317">
        <v>-1.23E-2</v>
      </c>
      <c r="J47" s="317">
        <v>7.1999999999999998E-3</v>
      </c>
      <c r="K47" s="317">
        <v>-4.3E-3</v>
      </c>
      <c r="L47" s="317">
        <v>-6.7500000000000004E-2</v>
      </c>
      <c r="M47" s="317">
        <v>3.2000000000000002E-3</v>
      </c>
      <c r="N47" s="317">
        <v>-0.20469999999999999</v>
      </c>
      <c r="O47" s="317">
        <v>-4.6600000000000003E-2</v>
      </c>
      <c r="P47" s="317">
        <v>1.26E-2</v>
      </c>
      <c r="Q47" s="317">
        <v>5.7000000000000002E-3</v>
      </c>
      <c r="R47" s="317">
        <v>6.1999999999999998E-3</v>
      </c>
      <c r="S47" s="317">
        <v>2.2000000000000001E-3</v>
      </c>
      <c r="T47" s="317">
        <v>-2.6599999999999999E-2</v>
      </c>
      <c r="U47" s="317">
        <v>7.7999999999999996E-3</v>
      </c>
      <c r="V47" s="317">
        <v>2.1499999999999998E-2</v>
      </c>
      <c r="W47" s="317">
        <v>1.9E-2</v>
      </c>
      <c r="X47" s="317">
        <v>1.6299999999999999E-2</v>
      </c>
      <c r="Y47" s="317">
        <v>-3.7999999999999999E-2</v>
      </c>
      <c r="Z47" s="317">
        <v>-0.20250000000000001</v>
      </c>
      <c r="AA47" s="317">
        <v>4.07E-2</v>
      </c>
      <c r="AB47" s="317">
        <v>-7.1000000000000004E-3</v>
      </c>
      <c r="AC47" s="317">
        <v>-0.12889999999999999</v>
      </c>
      <c r="AD47" s="317">
        <v>-1.3899999999999999E-2</v>
      </c>
      <c r="AE47" s="317">
        <v>6.3E-3</v>
      </c>
      <c r="AF47" s="317">
        <v>-0.1187</v>
      </c>
      <c r="AG47" s="317">
        <v>-6.2300000000000001E-2</v>
      </c>
      <c r="AH47" s="317">
        <v>-7.0099999999999996E-2</v>
      </c>
      <c r="AI47" s="317">
        <v>-5.7599999999999998E-2</v>
      </c>
      <c r="AJ47" s="317">
        <v>6.6299999999999998E-2</v>
      </c>
      <c r="AK47" s="317">
        <v>-9.1200000000000003E-2</v>
      </c>
      <c r="AL47" s="317">
        <v>-4.0000000000000001E-3</v>
      </c>
      <c r="AM47" s="317">
        <v>-8.2100000000000006E-2</v>
      </c>
      <c r="AN47" s="317">
        <v>-1.4800000000000001E-2</v>
      </c>
      <c r="AO47" s="317">
        <v>-0.14860000000000001</v>
      </c>
      <c r="AP47" s="317">
        <v>0.1457</v>
      </c>
      <c r="AQ47" s="317">
        <v>0.112</v>
      </c>
      <c r="AR47" s="317">
        <v>9.06E-2</v>
      </c>
      <c r="AS47" s="317">
        <v>-5.3999999999999999E-2</v>
      </c>
      <c r="AT47" s="317">
        <v>1</v>
      </c>
      <c r="AU47" s="317">
        <v>-8.7300000000000003E-2</v>
      </c>
      <c r="AV47" s="317">
        <v>8.09E-2</v>
      </c>
      <c r="AW47" s="317">
        <v>-2.0199999999999999E-2</v>
      </c>
      <c r="AX47" s="317">
        <v>-2.76E-2</v>
      </c>
      <c r="AY47" s="317">
        <v>2.3300000000000001E-2</v>
      </c>
      <c r="AZ47" s="317">
        <v>-0.18090000000000001</v>
      </c>
      <c r="BA47" s="317">
        <v>0.1163</v>
      </c>
      <c r="BB47" s="317">
        <v>-2.3999999999999998E-3</v>
      </c>
      <c r="BC47" s="317">
        <v>2.35E-2</v>
      </c>
      <c r="BD47" s="317">
        <v>4.0800000000000003E-2</v>
      </c>
      <c r="BE47" s="317">
        <v>-0.1082</v>
      </c>
      <c r="BF47" s="317">
        <v>7.6399999999999996E-2</v>
      </c>
      <c r="BG47" s="317">
        <v>-4.99E-2</v>
      </c>
      <c r="BH47" s="317">
        <v>5.6500000000000002E-2</v>
      </c>
      <c r="BI47" s="317">
        <v>0.19139999999999999</v>
      </c>
      <c r="BJ47" s="317">
        <v>5.2699999999999997E-2</v>
      </c>
    </row>
    <row r="48" spans="1:62">
      <c r="A48" s="82" t="s">
        <v>588</v>
      </c>
      <c r="B48" s="317">
        <v>2.18E-2</v>
      </c>
      <c r="C48" s="317">
        <v>-4.7500000000000001E-2</v>
      </c>
      <c r="D48" s="317">
        <v>-8.3999999999999995E-3</v>
      </c>
      <c r="E48" s="317">
        <v>-6.8500000000000005E-2</v>
      </c>
      <c r="F48" s="317">
        <v>-2.3400000000000001E-2</v>
      </c>
      <c r="G48" s="317">
        <v>6.1999999999999998E-3</v>
      </c>
      <c r="H48" s="317">
        <v>6.9900000000000004E-2</v>
      </c>
      <c r="I48" s="317">
        <v>1.1299999999999999E-2</v>
      </c>
      <c r="J48" s="317">
        <v>-2.1100000000000001E-2</v>
      </c>
      <c r="K48" s="317">
        <v>-1.2E-2</v>
      </c>
      <c r="L48" s="317">
        <v>-5.9999999999999995E-4</v>
      </c>
      <c r="M48" s="317">
        <v>3.2399999999999998E-2</v>
      </c>
      <c r="N48" s="317">
        <v>-7.0000000000000001E-3</v>
      </c>
      <c r="O48" s="317">
        <v>-2.5000000000000001E-3</v>
      </c>
      <c r="P48" s="317">
        <v>3.1199999999999999E-2</v>
      </c>
      <c r="Q48" s="317">
        <v>3.0469E-6</v>
      </c>
      <c r="R48" s="317">
        <v>-6.4999999999999997E-3</v>
      </c>
      <c r="S48" s="317">
        <v>7.7999999999999996E-3</v>
      </c>
      <c r="T48" s="317">
        <v>-7.6E-3</v>
      </c>
      <c r="U48" s="317">
        <v>-3.8899999999999997E-2</v>
      </c>
      <c r="V48" s="317">
        <v>2.5399999999999999E-2</v>
      </c>
      <c r="W48" s="317">
        <v>-8.9999999999999993E-3</v>
      </c>
      <c r="X48" s="317">
        <v>-2.87E-2</v>
      </c>
      <c r="Y48" s="317">
        <v>1.52E-2</v>
      </c>
      <c r="Z48" s="317">
        <v>4.7699999999999999E-2</v>
      </c>
      <c r="AA48" s="317">
        <v>-0.2031</v>
      </c>
      <c r="AB48" s="317">
        <v>-0.14510000000000001</v>
      </c>
      <c r="AC48" s="317">
        <v>1.4E-2</v>
      </c>
      <c r="AD48" s="317">
        <v>-1.4200000000000001E-2</v>
      </c>
      <c r="AE48" s="317">
        <v>1.83E-2</v>
      </c>
      <c r="AF48" s="317">
        <v>-3.5999999999999999E-3</v>
      </c>
      <c r="AG48" s="317">
        <v>1.7299999999999999E-2</v>
      </c>
      <c r="AH48" s="317">
        <v>-9.9599999999999994E-2</v>
      </c>
      <c r="AI48" s="317">
        <v>0.1605</v>
      </c>
      <c r="AJ48" s="317">
        <v>0.1036</v>
      </c>
      <c r="AK48" s="317">
        <v>-9.2999999999999992E-3</v>
      </c>
      <c r="AL48" s="317">
        <v>-1.9099999999999999E-2</v>
      </c>
      <c r="AM48" s="317">
        <v>-0.12609999999999999</v>
      </c>
      <c r="AN48" s="317">
        <v>5.1000000000000004E-3</v>
      </c>
      <c r="AO48" s="317">
        <v>-6.8099999999999994E-2</v>
      </c>
      <c r="AP48" s="317">
        <v>0.11899999999999999</v>
      </c>
      <c r="AQ48" s="317">
        <v>0.1046</v>
      </c>
      <c r="AR48" s="317">
        <v>0.12989999999999999</v>
      </c>
      <c r="AS48" s="317">
        <v>-8.5000000000000006E-3</v>
      </c>
      <c r="AT48" s="317">
        <v>-8.7300000000000003E-2</v>
      </c>
      <c r="AU48" s="317">
        <v>1</v>
      </c>
      <c r="AV48" s="317">
        <v>1.17E-2</v>
      </c>
      <c r="AW48" s="317">
        <v>-2.86E-2</v>
      </c>
      <c r="AX48" s="317">
        <v>-3.0700000000000002E-2</v>
      </c>
      <c r="AY48" s="317">
        <v>2.5100000000000001E-2</v>
      </c>
      <c r="AZ48" s="317">
        <v>0.16619999999999999</v>
      </c>
      <c r="BA48" s="317">
        <v>8.6E-3</v>
      </c>
      <c r="BB48" s="317">
        <v>2.5600000000000001E-2</v>
      </c>
      <c r="BC48" s="317">
        <v>3.5400000000000001E-2</v>
      </c>
      <c r="BD48" s="317">
        <v>-3.8699999999999998E-2</v>
      </c>
      <c r="BE48" s="317">
        <v>1.8100000000000002E-2</v>
      </c>
      <c r="BF48" s="317">
        <v>5.9799999999999999E-2</v>
      </c>
      <c r="BG48" s="317">
        <v>-6.9199999999999998E-2</v>
      </c>
      <c r="BH48" s="317">
        <v>-1.29E-2</v>
      </c>
      <c r="BI48" s="317">
        <v>8.0000000000000002E-3</v>
      </c>
      <c r="BJ48" s="317">
        <v>-5.5399999999999998E-2</v>
      </c>
    </row>
    <row r="49" spans="1:62">
      <c r="A49" s="82" t="s">
        <v>500</v>
      </c>
      <c r="B49" s="317">
        <v>-0.25440000000000002</v>
      </c>
      <c r="C49" s="317">
        <v>-0.1651</v>
      </c>
      <c r="D49" s="317">
        <v>-5.0799999999999998E-2</v>
      </c>
      <c r="E49" s="317">
        <v>3.8300000000000001E-2</v>
      </c>
      <c r="F49" s="317">
        <v>1.29E-2</v>
      </c>
      <c r="G49" s="317">
        <v>-0.28449999999999998</v>
      </c>
      <c r="H49" s="317">
        <v>3.3300000000000003E-2</v>
      </c>
      <c r="I49" s="317">
        <v>-1.6899999999999998E-2</v>
      </c>
      <c r="J49" s="317">
        <v>-0.1842</v>
      </c>
      <c r="K49" s="317">
        <v>6.1100000000000002E-2</v>
      </c>
      <c r="L49" s="317">
        <v>4.7000000000000002E-3</v>
      </c>
      <c r="M49" s="317">
        <v>-6.6900000000000001E-2</v>
      </c>
      <c r="N49" s="317">
        <v>-0.27579999999999999</v>
      </c>
      <c r="O49" s="317">
        <v>-0.26729999999999998</v>
      </c>
      <c r="P49" s="317">
        <v>-9.1600000000000001E-2</v>
      </c>
      <c r="Q49" s="317">
        <v>1.2999999999999999E-2</v>
      </c>
      <c r="R49" s="317">
        <v>3.7499999999999999E-2</v>
      </c>
      <c r="S49" s="317">
        <v>-1.15E-2</v>
      </c>
      <c r="T49" s="317">
        <v>4.6699999999999998E-2</v>
      </c>
      <c r="U49" s="317">
        <v>4.4699999999999997E-2</v>
      </c>
      <c r="V49" s="317">
        <v>0.12470000000000001</v>
      </c>
      <c r="W49" s="317">
        <v>0.1041</v>
      </c>
      <c r="X49" s="317">
        <v>0.16800000000000001</v>
      </c>
      <c r="Y49" s="317">
        <v>-2.5999999999999999E-3</v>
      </c>
      <c r="Z49" s="317">
        <v>-0.46250000000000002</v>
      </c>
      <c r="AA49" s="317">
        <v>6.3600000000000004E-2</v>
      </c>
      <c r="AB49" s="317">
        <v>1.34E-2</v>
      </c>
      <c r="AC49" s="317">
        <v>-0.2611</v>
      </c>
      <c r="AD49" s="317">
        <v>6.6000000000000003E-2</v>
      </c>
      <c r="AE49" s="317">
        <v>5.5100000000000003E-2</v>
      </c>
      <c r="AF49" s="317">
        <v>-7.6100000000000001E-2</v>
      </c>
      <c r="AG49" s="317">
        <v>-0.2447</v>
      </c>
      <c r="AH49" s="317">
        <v>-0.31719999999999998</v>
      </c>
      <c r="AI49" s="317">
        <v>-0.13159999999999999</v>
      </c>
      <c r="AJ49" s="317">
        <v>-0.21479999999999999</v>
      </c>
      <c r="AK49" s="317">
        <v>-4.24E-2</v>
      </c>
      <c r="AL49" s="317">
        <v>-6.1499999999999999E-2</v>
      </c>
      <c r="AM49" s="317">
        <v>-0.18210000000000001</v>
      </c>
      <c r="AN49" s="317">
        <v>6.7999999999999996E-3</v>
      </c>
      <c r="AO49" s="317">
        <v>3.8999999999999998E-3</v>
      </c>
      <c r="AP49" s="317">
        <v>4.9200000000000001E-2</v>
      </c>
      <c r="AQ49" s="317">
        <v>0.28389999999999999</v>
      </c>
      <c r="AR49" s="317">
        <v>0.32840000000000003</v>
      </c>
      <c r="AS49" s="317">
        <v>3.3700000000000001E-2</v>
      </c>
      <c r="AT49" s="317">
        <v>8.09E-2</v>
      </c>
      <c r="AU49" s="317">
        <v>1.17E-2</v>
      </c>
      <c r="AV49" s="317">
        <v>1</v>
      </c>
      <c r="AW49" s="317">
        <v>-6.54E-2</v>
      </c>
      <c r="AX49" s="317">
        <v>-0.13270000000000001</v>
      </c>
      <c r="AY49" s="317">
        <v>4.99E-2</v>
      </c>
      <c r="AZ49" s="317">
        <v>-0.27839999999999998</v>
      </c>
      <c r="BA49" s="317">
        <v>-0.24340000000000001</v>
      </c>
      <c r="BB49" s="317">
        <v>3.1E-2</v>
      </c>
      <c r="BC49" s="317">
        <v>-0.1414</v>
      </c>
      <c r="BD49" s="317">
        <v>-0.30659999999999998</v>
      </c>
      <c r="BE49" s="317">
        <v>-0.23799999999999999</v>
      </c>
      <c r="BF49" s="317">
        <v>-0.2041</v>
      </c>
      <c r="BG49" s="317">
        <v>-8.7900000000000006E-2</v>
      </c>
      <c r="BH49" s="317">
        <v>-5.6300000000000003E-2</v>
      </c>
      <c r="BI49" s="317">
        <v>5.21E-2</v>
      </c>
      <c r="BJ49" s="317">
        <v>0.14910000000000001</v>
      </c>
    </row>
    <row r="50" spans="1:62">
      <c r="A50" s="82" t="s">
        <v>407</v>
      </c>
      <c r="B50" s="317">
        <v>-0.10440000000000001</v>
      </c>
      <c r="C50" s="317">
        <v>0.20430000000000001</v>
      </c>
      <c r="D50" s="317">
        <v>-1.6199999999999999E-2</v>
      </c>
      <c r="E50" s="317">
        <v>0.21779999999999999</v>
      </c>
      <c r="F50" s="317">
        <v>0.1336</v>
      </c>
      <c r="G50" s="317">
        <v>-3.1800000000000002E-2</v>
      </c>
      <c r="H50" s="317">
        <v>-2.1000000000000001E-2</v>
      </c>
      <c r="I50" s="317">
        <v>-4.3400000000000001E-2</v>
      </c>
      <c r="J50" s="317">
        <v>4.5400000000000003E-2</v>
      </c>
      <c r="K50" s="317">
        <v>-2.23E-2</v>
      </c>
      <c r="L50" s="317">
        <v>6.4999999999999997E-3</v>
      </c>
      <c r="M50" s="317">
        <v>-0.17879999999999999</v>
      </c>
      <c r="N50" s="317">
        <v>9.0800000000000006E-2</v>
      </c>
      <c r="O50" s="317">
        <v>3.5000000000000001E-3</v>
      </c>
      <c r="P50" s="317">
        <v>1.0999999999999999E-2</v>
      </c>
      <c r="Q50" s="317">
        <v>-4.6800000000000001E-2</v>
      </c>
      <c r="R50" s="317">
        <v>-4.5199999999999997E-2</v>
      </c>
      <c r="S50" s="317">
        <v>-0.04</v>
      </c>
      <c r="T50" s="317">
        <v>4.4000000000000003E-3</v>
      </c>
      <c r="U50" s="317">
        <v>4.6600000000000003E-2</v>
      </c>
      <c r="V50" s="317">
        <v>1.7299999999999999E-2</v>
      </c>
      <c r="W50" s="317">
        <v>3.61E-2</v>
      </c>
      <c r="X50" s="317">
        <v>-8.1799999999999998E-2</v>
      </c>
      <c r="Y50" s="317">
        <v>1.1599999999999999E-2</v>
      </c>
      <c r="Z50" s="317">
        <v>4.6600000000000003E-2</v>
      </c>
      <c r="AA50" s="317">
        <v>-7.7799999999999994E-2</v>
      </c>
      <c r="AB50" s="317">
        <v>-7.7799999999999994E-2</v>
      </c>
      <c r="AC50" s="317">
        <v>0.2369</v>
      </c>
      <c r="AD50" s="317">
        <v>-0.13139999999999999</v>
      </c>
      <c r="AE50" s="317">
        <v>-6.2399999999999997E-2</v>
      </c>
      <c r="AF50" s="317">
        <v>-2.5999999999999999E-2</v>
      </c>
      <c r="AG50" s="317">
        <v>-5.2999999999999999E-2</v>
      </c>
      <c r="AH50" s="317">
        <v>0.22950000000000001</v>
      </c>
      <c r="AI50" s="317">
        <v>-0.13730000000000001</v>
      </c>
      <c r="AJ50" s="317">
        <v>-0.1273</v>
      </c>
      <c r="AK50" s="317">
        <v>5.8400000000000001E-2</v>
      </c>
      <c r="AL50" s="317">
        <v>3.56E-2</v>
      </c>
      <c r="AM50" s="317">
        <v>0.20630000000000001</v>
      </c>
      <c r="AN50" s="317">
        <v>-3.4500000000000003E-2</v>
      </c>
      <c r="AO50" s="317">
        <v>-5.6300000000000003E-2</v>
      </c>
      <c r="AP50" s="317">
        <v>-0.1002</v>
      </c>
      <c r="AQ50" s="317">
        <v>-5.5899999999999998E-2</v>
      </c>
      <c r="AR50" s="317">
        <v>-0.09</v>
      </c>
      <c r="AS50" s="317">
        <v>1.37E-2</v>
      </c>
      <c r="AT50" s="317">
        <v>-2.0199999999999999E-2</v>
      </c>
      <c r="AU50" s="317">
        <v>-2.86E-2</v>
      </c>
      <c r="AV50" s="317">
        <v>-6.54E-2</v>
      </c>
      <c r="AW50" s="317">
        <v>1</v>
      </c>
      <c r="AX50" s="317">
        <v>-9.1000000000000004E-3</v>
      </c>
      <c r="AY50" s="317">
        <v>-0.17860000000000001</v>
      </c>
      <c r="AZ50" s="317">
        <v>9.1600000000000001E-2</v>
      </c>
      <c r="BA50" s="317">
        <v>3.2599999999999997E-2</v>
      </c>
      <c r="BB50" s="317">
        <v>-2.46E-2</v>
      </c>
      <c r="BC50" s="317">
        <v>0.1401</v>
      </c>
      <c r="BD50" s="317">
        <v>-6.4500000000000002E-2</v>
      </c>
      <c r="BE50" s="317">
        <v>-1.8200000000000001E-2</v>
      </c>
      <c r="BF50" s="317">
        <v>7.1900000000000006E-2</v>
      </c>
      <c r="BG50" s="317">
        <v>0.11609999999999999</v>
      </c>
      <c r="BH50" s="317">
        <v>0.14510000000000001</v>
      </c>
      <c r="BI50" s="317">
        <v>-7.9000000000000008E-3</v>
      </c>
      <c r="BJ50" s="317">
        <v>-1.18E-2</v>
      </c>
    </row>
    <row r="51" spans="1:62">
      <c r="A51" s="82" t="s">
        <v>502</v>
      </c>
      <c r="B51" s="317">
        <v>-0.30680000000000002</v>
      </c>
      <c r="C51" s="317">
        <v>-0.17829999999999999</v>
      </c>
      <c r="D51" s="317">
        <v>-2.92E-2</v>
      </c>
      <c r="E51" s="317">
        <v>-9.69E-2</v>
      </c>
      <c r="F51" s="317">
        <v>-0.1318</v>
      </c>
      <c r="G51" s="317">
        <v>8.0399999999999999E-2</v>
      </c>
      <c r="H51" s="317">
        <v>7.4099999999999999E-2</v>
      </c>
      <c r="I51" s="317">
        <v>5.3999999999999999E-2</v>
      </c>
      <c r="J51" s="317">
        <v>0.24779999999999999</v>
      </c>
      <c r="K51" s="317">
        <v>0.14319999999999999</v>
      </c>
      <c r="L51" s="317">
        <v>0.1091</v>
      </c>
      <c r="M51" s="317">
        <v>0.27060000000000001</v>
      </c>
      <c r="N51" s="317">
        <v>0.25209999999999999</v>
      </c>
      <c r="O51" s="317">
        <v>0.2319</v>
      </c>
      <c r="P51" s="317">
        <v>-5.1700000000000003E-2</v>
      </c>
      <c r="Q51" s="317">
        <v>-2.7000000000000001E-3</v>
      </c>
      <c r="R51" s="317">
        <v>2.35E-2</v>
      </c>
      <c r="S51" s="317">
        <v>2.0899999999999998E-2</v>
      </c>
      <c r="T51" s="317">
        <v>9.6699999999999994E-2</v>
      </c>
      <c r="U51" s="317">
        <v>1.7299999999999999E-2</v>
      </c>
      <c r="V51" s="317">
        <v>-9.7999999999999997E-3</v>
      </c>
      <c r="W51" s="317">
        <v>5.4999999999999997E-3</v>
      </c>
      <c r="X51" s="317">
        <v>5.5999999999999999E-3</v>
      </c>
      <c r="Y51" s="317">
        <v>7.8600000000000003E-2</v>
      </c>
      <c r="Z51" s="317">
        <v>-4.58E-2</v>
      </c>
      <c r="AA51" s="317">
        <v>-5.4000000000000003E-3</v>
      </c>
      <c r="AB51" s="317">
        <v>0.1384</v>
      </c>
      <c r="AC51" s="317">
        <v>-0.1545</v>
      </c>
      <c r="AD51" s="317">
        <v>0.2505</v>
      </c>
      <c r="AE51" s="317">
        <v>0.1033</v>
      </c>
      <c r="AF51" s="317">
        <v>0.76959999999999995</v>
      </c>
      <c r="AG51" s="317">
        <v>-2.1000000000000001E-2</v>
      </c>
      <c r="AH51" s="317">
        <v>-0.21590000000000001</v>
      </c>
      <c r="AI51" s="317">
        <v>0.1585</v>
      </c>
      <c r="AJ51" s="317">
        <v>-0.24379999999999999</v>
      </c>
      <c r="AK51" s="317">
        <v>2.8899999999999999E-2</v>
      </c>
      <c r="AL51" s="317">
        <v>-6.0699999999999997E-2</v>
      </c>
      <c r="AM51" s="317">
        <v>-0.26150000000000001</v>
      </c>
      <c r="AN51" s="317">
        <v>0.1074</v>
      </c>
      <c r="AO51" s="317">
        <v>0.44500000000000001</v>
      </c>
      <c r="AP51" s="317">
        <v>-0.52080000000000004</v>
      </c>
      <c r="AQ51" s="317">
        <v>-0.41620000000000001</v>
      </c>
      <c r="AR51" s="317">
        <v>-0.41070000000000001</v>
      </c>
      <c r="AS51" s="317">
        <v>0.18509999999999999</v>
      </c>
      <c r="AT51" s="317">
        <v>-2.76E-2</v>
      </c>
      <c r="AU51" s="317">
        <v>-3.0700000000000002E-2</v>
      </c>
      <c r="AV51" s="317">
        <v>-0.13270000000000001</v>
      </c>
      <c r="AW51" s="317">
        <v>-9.1000000000000004E-3</v>
      </c>
      <c r="AX51" s="317">
        <v>1</v>
      </c>
      <c r="AY51" s="317">
        <v>5.9400000000000001E-2</v>
      </c>
      <c r="AZ51" s="317">
        <v>-5.2900000000000003E-2</v>
      </c>
      <c r="BA51" s="317">
        <v>-0.23469999999999999</v>
      </c>
      <c r="BB51" s="317">
        <v>-2.5000000000000001E-3</v>
      </c>
      <c r="BC51" s="317">
        <v>-7.8200000000000006E-2</v>
      </c>
      <c r="BD51" s="317">
        <v>-0.33900000000000002</v>
      </c>
      <c r="BE51" s="317">
        <v>0.22370000000000001</v>
      </c>
      <c r="BF51" s="317">
        <v>-0.3982</v>
      </c>
      <c r="BG51" s="317">
        <v>-0.25280000000000002</v>
      </c>
      <c r="BH51" s="317">
        <v>-0.14460000000000001</v>
      </c>
      <c r="BI51" s="317">
        <v>-0.69069999999999998</v>
      </c>
      <c r="BJ51" s="317">
        <v>6.7000000000000004E-2</v>
      </c>
    </row>
    <row r="52" spans="1:62">
      <c r="A52" s="82" t="s">
        <v>582</v>
      </c>
      <c r="B52" s="317">
        <v>0.16170000000000001</v>
      </c>
      <c r="C52" s="317">
        <v>-0.6492</v>
      </c>
      <c r="D52" s="317">
        <v>2.7699999999999999E-2</v>
      </c>
      <c r="E52" s="317">
        <v>-0.46060000000000001</v>
      </c>
      <c r="F52" s="317">
        <v>-0.28299999999999997</v>
      </c>
      <c r="G52" s="317">
        <v>7.1400000000000005E-2</v>
      </c>
      <c r="H52" s="317">
        <v>6.9000000000000006E-2</v>
      </c>
      <c r="I52" s="317">
        <v>8.9999999999999998E-4</v>
      </c>
      <c r="J52" s="317">
        <v>-6.9500000000000006E-2</v>
      </c>
      <c r="K52" s="317">
        <v>0.14929999999999999</v>
      </c>
      <c r="L52" s="317">
        <v>3.09E-2</v>
      </c>
      <c r="M52" s="317">
        <v>0.35339999999999999</v>
      </c>
      <c r="N52" s="317">
        <v>-1.7100000000000001E-2</v>
      </c>
      <c r="O52" s="317">
        <v>9.8500000000000004E-2</v>
      </c>
      <c r="P52" s="317">
        <v>-9.2600000000000002E-2</v>
      </c>
      <c r="Q52" s="317">
        <v>2.81E-2</v>
      </c>
      <c r="R52" s="317">
        <v>0.04</v>
      </c>
      <c r="S52" s="317">
        <v>2.0400000000000001E-2</v>
      </c>
      <c r="T52" s="317">
        <v>7.7200000000000005E-2</v>
      </c>
      <c r="U52" s="317">
        <v>-5.2400000000000002E-2</v>
      </c>
      <c r="V52" s="317">
        <v>-4.5499999999999999E-2</v>
      </c>
      <c r="W52" s="317">
        <v>-5.5300000000000002E-2</v>
      </c>
      <c r="X52" s="317">
        <v>0.13550000000000001</v>
      </c>
      <c r="Y52" s="317">
        <v>-2.5000000000000001E-3</v>
      </c>
      <c r="Z52" s="317">
        <v>-6.7000000000000002E-3</v>
      </c>
      <c r="AA52" s="317">
        <v>5.62E-2</v>
      </c>
      <c r="AB52" s="317">
        <v>0.1497</v>
      </c>
      <c r="AC52" s="317">
        <v>-0.24629999999999999</v>
      </c>
      <c r="AD52" s="317">
        <v>0.25380000000000003</v>
      </c>
      <c r="AE52" s="317">
        <v>0.14230000000000001</v>
      </c>
      <c r="AF52" s="317">
        <v>0.1603</v>
      </c>
      <c r="AG52" s="317">
        <v>4.2999999999999997E-2</v>
      </c>
      <c r="AH52" s="317">
        <v>-0.34620000000000001</v>
      </c>
      <c r="AI52" s="317">
        <v>0.22109999999999999</v>
      </c>
      <c r="AJ52" s="317">
        <v>0.10150000000000001</v>
      </c>
      <c r="AK52" s="317">
        <v>-5.2499999999999998E-2</v>
      </c>
      <c r="AL52" s="317">
        <v>-9.7500000000000003E-2</v>
      </c>
      <c r="AM52" s="317">
        <v>-0.26640000000000003</v>
      </c>
      <c r="AN52" s="317">
        <v>-4.5999999999999999E-3</v>
      </c>
      <c r="AO52" s="317">
        <v>0.17030000000000001</v>
      </c>
      <c r="AP52" s="317">
        <v>4.3E-3</v>
      </c>
      <c r="AQ52" s="317">
        <v>0.1229</v>
      </c>
      <c r="AR52" s="317">
        <v>0.112</v>
      </c>
      <c r="AS52" s="317">
        <v>5.4899999999999997E-2</v>
      </c>
      <c r="AT52" s="317">
        <v>2.3300000000000001E-2</v>
      </c>
      <c r="AU52" s="317">
        <v>2.5100000000000001E-2</v>
      </c>
      <c r="AV52" s="317">
        <v>4.99E-2</v>
      </c>
      <c r="AW52" s="317">
        <v>-0.17860000000000001</v>
      </c>
      <c r="AX52" s="317">
        <v>5.9400000000000001E-2</v>
      </c>
      <c r="AY52" s="317">
        <v>1</v>
      </c>
      <c r="AZ52" s="317">
        <v>-3.27E-2</v>
      </c>
      <c r="BA52" s="317">
        <v>-0.1236</v>
      </c>
      <c r="BB52" s="317">
        <v>1.6000000000000001E-3</v>
      </c>
      <c r="BC52" s="317">
        <v>-0.13669999999999999</v>
      </c>
      <c r="BD52" s="317">
        <v>0.15629999999999999</v>
      </c>
      <c r="BE52" s="317">
        <v>3.0800000000000001E-2</v>
      </c>
      <c r="BF52" s="317">
        <v>-0.16170000000000001</v>
      </c>
      <c r="BG52" s="317">
        <v>-6.7599999999999993E-2</v>
      </c>
      <c r="BH52" s="317">
        <v>-0.14760000000000001</v>
      </c>
      <c r="BI52" s="317">
        <v>3.2199999999999999E-2</v>
      </c>
      <c r="BJ52" s="317">
        <v>8.5999999999999993E-2</v>
      </c>
    </row>
    <row r="53" spans="1:62">
      <c r="A53" s="82" t="s">
        <v>516</v>
      </c>
      <c r="B53" s="317">
        <v>0.38229999999999997</v>
      </c>
      <c r="C53" s="317">
        <v>5.9200000000000003E-2</v>
      </c>
      <c r="D53" s="317">
        <v>-5.5100000000000003E-2</v>
      </c>
      <c r="E53" s="317">
        <v>-5.0000000000000001E-3</v>
      </c>
      <c r="F53" s="317">
        <v>7.85E-2</v>
      </c>
      <c r="G53" s="317">
        <v>8.1500000000000003E-2</v>
      </c>
      <c r="H53" s="317">
        <v>7.9600000000000004E-2</v>
      </c>
      <c r="I53" s="317">
        <v>-4.36E-2</v>
      </c>
      <c r="J53" s="317">
        <v>0.2036</v>
      </c>
      <c r="K53" s="317">
        <v>0.10589999999999999</v>
      </c>
      <c r="L53" s="317">
        <v>0.13919999999999999</v>
      </c>
      <c r="M53" s="317">
        <v>0.1023</v>
      </c>
      <c r="N53" s="317">
        <v>0.3422</v>
      </c>
      <c r="O53" s="317">
        <v>0.24099999999999999</v>
      </c>
      <c r="P53" s="317">
        <v>3.4599999999999999E-2</v>
      </c>
      <c r="Q53" s="317">
        <v>1.5699999999999999E-2</v>
      </c>
      <c r="R53" s="317">
        <v>-9.1999999999999998E-3</v>
      </c>
      <c r="S53" s="317">
        <v>1.95E-2</v>
      </c>
      <c r="T53" s="317">
        <v>-6.7000000000000002E-3</v>
      </c>
      <c r="U53" s="317">
        <v>-0.12870000000000001</v>
      </c>
      <c r="V53" s="317">
        <v>-7.3899999999999993E-2</v>
      </c>
      <c r="W53" s="317">
        <v>-0.1179</v>
      </c>
      <c r="X53" s="317">
        <v>5.3400000000000003E-2</v>
      </c>
      <c r="Y53" s="317">
        <v>-1.2500000000000001E-2</v>
      </c>
      <c r="Z53" s="317">
        <v>0.38579999999999998</v>
      </c>
      <c r="AA53" s="317">
        <v>-0.23719999999999999</v>
      </c>
      <c r="AB53" s="317">
        <v>-7.1300000000000002E-2</v>
      </c>
      <c r="AC53" s="317">
        <v>0.1613</v>
      </c>
      <c r="AD53" s="317">
        <v>-3.0700000000000002E-2</v>
      </c>
      <c r="AE53" s="317">
        <v>-1.35E-2</v>
      </c>
      <c r="AF53" s="317">
        <v>0.14699999999999999</v>
      </c>
      <c r="AG53" s="317">
        <v>1.26E-2</v>
      </c>
      <c r="AH53" s="317">
        <v>0.24690000000000001</v>
      </c>
      <c r="AI53" s="317">
        <v>0.14330000000000001</v>
      </c>
      <c r="AJ53" s="317">
        <v>0.31900000000000001</v>
      </c>
      <c r="AK53" s="317">
        <v>0.13980000000000001</v>
      </c>
      <c r="AL53" s="317">
        <v>9.5999999999999992E-3</v>
      </c>
      <c r="AM53" s="317">
        <v>0.1106</v>
      </c>
      <c r="AN53" s="317">
        <v>-3.0700000000000002E-2</v>
      </c>
      <c r="AO53" s="317">
        <v>8.7099999999999997E-2</v>
      </c>
      <c r="AP53" s="317">
        <v>-6.4999999999999997E-3</v>
      </c>
      <c r="AQ53" s="317">
        <v>-0.16039999999999999</v>
      </c>
      <c r="AR53" s="317">
        <v>-0.1714</v>
      </c>
      <c r="AS53" s="317">
        <v>0.13569999999999999</v>
      </c>
      <c r="AT53" s="317">
        <v>-0.18090000000000001</v>
      </c>
      <c r="AU53" s="317">
        <v>0.16619999999999999</v>
      </c>
      <c r="AV53" s="317">
        <v>-0.27839999999999998</v>
      </c>
      <c r="AW53" s="317">
        <v>9.1600000000000001E-2</v>
      </c>
      <c r="AX53" s="317">
        <v>-5.2900000000000003E-2</v>
      </c>
      <c r="AY53" s="317">
        <v>-3.27E-2</v>
      </c>
      <c r="AZ53" s="317">
        <v>1</v>
      </c>
      <c r="BA53" s="317">
        <v>0.24060000000000001</v>
      </c>
      <c r="BB53" s="317">
        <v>-1.46E-2</v>
      </c>
      <c r="BC53" s="317">
        <v>0.16600000000000001</v>
      </c>
      <c r="BD53" s="317">
        <v>0.3967</v>
      </c>
      <c r="BE53" s="317">
        <v>0.30709999999999998</v>
      </c>
      <c r="BF53" s="317">
        <v>4.0399999999999998E-2</v>
      </c>
      <c r="BG53" s="317">
        <v>6.4899999999999999E-2</v>
      </c>
      <c r="BH53" s="317">
        <v>0.1095</v>
      </c>
      <c r="BI53" s="317">
        <v>-3.3000000000000002E-2</v>
      </c>
      <c r="BJ53" s="317">
        <v>-3.3E-3</v>
      </c>
    </row>
    <row r="54" spans="1:62">
      <c r="A54" s="82" t="s">
        <v>418</v>
      </c>
      <c r="B54" s="317">
        <v>0.35549999999999998</v>
      </c>
      <c r="C54" s="317">
        <v>0.40029999999999999</v>
      </c>
      <c r="D54" s="317">
        <v>9.35E-2</v>
      </c>
      <c r="E54" s="317">
        <v>0.23769999999999999</v>
      </c>
      <c r="F54" s="317">
        <v>0.3407</v>
      </c>
      <c r="G54" s="317">
        <v>0.1048</v>
      </c>
      <c r="H54" s="317">
        <v>-6.7100000000000007E-2</v>
      </c>
      <c r="I54" s="317">
        <v>1.17E-2</v>
      </c>
      <c r="J54" s="317">
        <v>0.26340000000000002</v>
      </c>
      <c r="K54" s="317">
        <v>-0.1399</v>
      </c>
      <c r="L54" s="317">
        <v>-6.2300000000000001E-2</v>
      </c>
      <c r="M54" s="317">
        <v>-0.30570000000000003</v>
      </c>
      <c r="N54" s="317">
        <v>-2.7900000000000001E-2</v>
      </c>
      <c r="O54" s="317">
        <v>7.3800000000000004E-2</v>
      </c>
      <c r="P54" s="317">
        <v>0.21890000000000001</v>
      </c>
      <c r="Q54" s="317">
        <v>-4.3499999999999997E-2</v>
      </c>
      <c r="R54" s="317">
        <v>-0.10349999999999999</v>
      </c>
      <c r="S54" s="317">
        <v>-2.92E-2</v>
      </c>
      <c r="T54" s="317">
        <v>-0.23169999999999999</v>
      </c>
      <c r="U54" s="317">
        <v>-7.85E-2</v>
      </c>
      <c r="V54" s="317">
        <v>-2.3699999999999999E-2</v>
      </c>
      <c r="W54" s="317">
        <v>-6.1800000000000001E-2</v>
      </c>
      <c r="X54" s="317">
        <v>-0.27110000000000001</v>
      </c>
      <c r="Y54" s="317">
        <v>-7.46E-2</v>
      </c>
      <c r="Z54" s="317">
        <v>0.22450000000000001</v>
      </c>
      <c r="AA54" s="317">
        <v>-4.5499999999999999E-2</v>
      </c>
      <c r="AB54" s="317">
        <v>-0.32250000000000001</v>
      </c>
      <c r="AC54" s="317">
        <v>0.18970000000000001</v>
      </c>
      <c r="AD54" s="317">
        <v>-0.36120000000000002</v>
      </c>
      <c r="AE54" s="317">
        <v>-0.21679999999999999</v>
      </c>
      <c r="AF54" s="317">
        <v>-0.33139999999999997</v>
      </c>
      <c r="AG54" s="317">
        <v>0.11799999999999999</v>
      </c>
      <c r="AH54" s="317">
        <v>0.55710000000000004</v>
      </c>
      <c r="AI54" s="317">
        <v>-0.21909999999999999</v>
      </c>
      <c r="AJ54" s="317">
        <v>0.1905</v>
      </c>
      <c r="AK54" s="317">
        <v>5.1999999999999998E-2</v>
      </c>
      <c r="AL54" s="317">
        <v>7.2400000000000006E-2</v>
      </c>
      <c r="AM54" s="317">
        <v>0.39419999999999999</v>
      </c>
      <c r="AN54" s="317">
        <v>-0.1021</v>
      </c>
      <c r="AO54" s="317">
        <v>-0.35199999999999998</v>
      </c>
      <c r="AP54" s="317">
        <v>0.26619999999999999</v>
      </c>
      <c r="AQ54" s="317">
        <v>1.2699999999999999E-2</v>
      </c>
      <c r="AR54" s="317">
        <v>-4.7399999999999998E-2</v>
      </c>
      <c r="AS54" s="317">
        <v>-0.18279999999999999</v>
      </c>
      <c r="AT54" s="317">
        <v>0.1163</v>
      </c>
      <c r="AU54" s="317">
        <v>8.6E-3</v>
      </c>
      <c r="AV54" s="317">
        <v>-0.24340000000000001</v>
      </c>
      <c r="AW54" s="317">
        <v>3.2599999999999997E-2</v>
      </c>
      <c r="AX54" s="317">
        <v>-0.23469999999999999</v>
      </c>
      <c r="AY54" s="317">
        <v>-0.1236</v>
      </c>
      <c r="AZ54" s="317">
        <v>0.24060000000000001</v>
      </c>
      <c r="BA54" s="317">
        <v>1</v>
      </c>
      <c r="BB54" s="317">
        <v>9.7999999999999997E-3</v>
      </c>
      <c r="BC54" s="317">
        <v>0.2732</v>
      </c>
      <c r="BD54" s="317">
        <v>0.2394</v>
      </c>
      <c r="BE54" s="317">
        <v>4.2299999999999997E-2</v>
      </c>
      <c r="BF54" s="317">
        <v>0.5696</v>
      </c>
      <c r="BG54" s="317">
        <v>0.21010000000000001</v>
      </c>
      <c r="BH54" s="317">
        <v>0.37169999999999997</v>
      </c>
      <c r="BI54" s="317">
        <v>0.3085</v>
      </c>
      <c r="BJ54" s="317">
        <v>-0.25569999999999998</v>
      </c>
    </row>
    <row r="55" spans="1:62">
      <c r="A55" s="82" t="s">
        <v>422</v>
      </c>
      <c r="B55" s="317">
        <v>3.0300000000000001E-2</v>
      </c>
      <c r="C55" s="317">
        <v>6.5500000000000003E-2</v>
      </c>
      <c r="D55" s="317">
        <v>-3.3500000000000002E-2</v>
      </c>
      <c r="E55" s="317">
        <v>1.52E-2</v>
      </c>
      <c r="F55" s="317">
        <v>8.0799999999999997E-2</v>
      </c>
      <c r="G55" s="317">
        <v>1.52E-2</v>
      </c>
      <c r="H55" s="317">
        <v>3.4200000000000001E-2</v>
      </c>
      <c r="I55" s="317">
        <v>3.5799999999999998E-2</v>
      </c>
      <c r="J55" s="317">
        <v>9.4999999999999998E-3</v>
      </c>
      <c r="K55" s="317">
        <v>-5.0299999999999997E-2</v>
      </c>
      <c r="L55" s="317">
        <v>-1.1299999999999999E-2</v>
      </c>
      <c r="M55" s="317">
        <v>-1.9099999999999999E-2</v>
      </c>
      <c r="N55" s="317">
        <v>-3.3399999999999999E-2</v>
      </c>
      <c r="O55" s="317">
        <v>4.1799999999999997E-2</v>
      </c>
      <c r="P55" s="317">
        <v>3.9100000000000003E-2</v>
      </c>
      <c r="Q55" s="317">
        <v>5.1999999999999998E-2</v>
      </c>
      <c r="R55" s="317">
        <v>3.8899999999999997E-2</v>
      </c>
      <c r="S55" s="317">
        <v>5.8299999999999998E-2</v>
      </c>
      <c r="T55" s="317">
        <v>-2.53E-2</v>
      </c>
      <c r="U55" s="317">
        <v>3.6499999999999998E-2</v>
      </c>
      <c r="V55" s="317">
        <v>2.35E-2</v>
      </c>
      <c r="W55" s="317">
        <v>3.6799999999999999E-2</v>
      </c>
      <c r="X55" s="317">
        <v>-0.10100000000000001</v>
      </c>
      <c r="Y55" s="317">
        <v>7.8700000000000006E-2</v>
      </c>
      <c r="Z55" s="317">
        <v>7.2099999999999997E-2</v>
      </c>
      <c r="AA55" s="317">
        <v>1.2800000000000001E-2</v>
      </c>
      <c r="AB55" s="317">
        <v>-7.8200000000000006E-2</v>
      </c>
      <c r="AC55" s="317">
        <v>-2.01E-2</v>
      </c>
      <c r="AD55" s="317">
        <v>-6.9900000000000004E-2</v>
      </c>
      <c r="AE55" s="317">
        <v>6.7000000000000002E-3</v>
      </c>
      <c r="AF55" s="317">
        <v>-2.3599999999999999E-2</v>
      </c>
      <c r="AG55" s="317">
        <v>2.8400000000000002E-2</v>
      </c>
      <c r="AH55" s="317">
        <v>6.5000000000000002E-2</v>
      </c>
      <c r="AI55" s="317">
        <v>-5.2600000000000001E-2</v>
      </c>
      <c r="AJ55" s="317">
        <v>2.7799999999999998E-2</v>
      </c>
      <c r="AK55" s="317">
        <v>3.7499999999999999E-2</v>
      </c>
      <c r="AL55" s="317">
        <v>-1.2500000000000001E-2</v>
      </c>
      <c r="AM55" s="317">
        <v>2.47E-2</v>
      </c>
      <c r="AN55" s="317">
        <v>-2.9999999999999997E-4</v>
      </c>
      <c r="AO55" s="317">
        <v>-3.7499999999999999E-2</v>
      </c>
      <c r="AP55" s="317">
        <v>5.0900000000000001E-2</v>
      </c>
      <c r="AQ55" s="317">
        <v>-1.44E-2</v>
      </c>
      <c r="AR55" s="317">
        <v>-3.8699999999999998E-2</v>
      </c>
      <c r="AS55" s="317">
        <v>1.04E-2</v>
      </c>
      <c r="AT55" s="317">
        <v>-2.3999999999999998E-3</v>
      </c>
      <c r="AU55" s="317">
        <v>2.5600000000000001E-2</v>
      </c>
      <c r="AV55" s="317">
        <v>3.1E-2</v>
      </c>
      <c r="AW55" s="317">
        <v>-2.46E-2</v>
      </c>
      <c r="AX55" s="317">
        <v>-2.5000000000000001E-3</v>
      </c>
      <c r="AY55" s="317">
        <v>1.6000000000000001E-3</v>
      </c>
      <c r="AZ55" s="317">
        <v>-1.46E-2</v>
      </c>
      <c r="BA55" s="317">
        <v>9.7999999999999997E-3</v>
      </c>
      <c r="BB55" s="317">
        <v>1</v>
      </c>
      <c r="BC55" s="317">
        <v>-1.44E-2</v>
      </c>
      <c r="BD55" s="317">
        <v>2.1999999999999999E-2</v>
      </c>
      <c r="BE55" s="317">
        <v>3.4799999999999998E-2</v>
      </c>
      <c r="BF55" s="317">
        <v>5.2499999999999998E-2</v>
      </c>
      <c r="BG55" s="317">
        <v>-3.5000000000000001E-3</v>
      </c>
      <c r="BH55" s="317">
        <v>6.5799999999999997E-2</v>
      </c>
      <c r="BI55" s="317">
        <v>1.52E-2</v>
      </c>
      <c r="BJ55" s="317">
        <v>-1.23E-2</v>
      </c>
    </row>
    <row r="56" spans="1:62">
      <c r="A56" s="82" t="s">
        <v>587</v>
      </c>
      <c r="B56" s="317">
        <v>-0.13070000000000001</v>
      </c>
      <c r="C56" s="317">
        <v>0.49320000000000003</v>
      </c>
      <c r="D56" s="317">
        <v>-3.4200000000000001E-2</v>
      </c>
      <c r="E56" s="317">
        <v>0.62309999999999999</v>
      </c>
      <c r="F56" s="317">
        <v>0.43340000000000001</v>
      </c>
      <c r="G56" s="317">
        <v>-5.57E-2</v>
      </c>
      <c r="H56" s="317">
        <v>2.5999999999999999E-3</v>
      </c>
      <c r="I56" s="317">
        <v>-1.1999999999999999E-3</v>
      </c>
      <c r="J56" s="317">
        <v>0.15820000000000001</v>
      </c>
      <c r="K56" s="317">
        <v>-6.1800000000000001E-2</v>
      </c>
      <c r="L56" s="317">
        <v>6.5000000000000002E-2</v>
      </c>
      <c r="M56" s="317">
        <v>-0.4214</v>
      </c>
      <c r="N56" s="317">
        <v>6.2300000000000001E-2</v>
      </c>
      <c r="O56" s="317">
        <v>3.6999999999999998E-2</v>
      </c>
      <c r="P56" s="317">
        <v>0.1439</v>
      </c>
      <c r="Q56" s="317">
        <v>-2.7300000000000001E-2</v>
      </c>
      <c r="R56" s="317">
        <v>-6.2300000000000001E-2</v>
      </c>
      <c r="S56" s="317">
        <v>-2.1499999999999998E-2</v>
      </c>
      <c r="T56" s="317">
        <v>-0.1434</v>
      </c>
      <c r="U56" s="317">
        <v>-7.7200000000000005E-2</v>
      </c>
      <c r="V56" s="317">
        <v>-8.7900000000000006E-2</v>
      </c>
      <c r="W56" s="317">
        <v>-0.1037</v>
      </c>
      <c r="X56" s="317">
        <v>-0.18479999999999999</v>
      </c>
      <c r="Y56" s="317">
        <v>-5.0000000000000001E-4</v>
      </c>
      <c r="Z56" s="317">
        <v>-7.9899999999999999E-2</v>
      </c>
      <c r="AA56" s="317">
        <v>7.7499999999999999E-2</v>
      </c>
      <c r="AB56" s="317">
        <v>-0.17599999999999999</v>
      </c>
      <c r="AC56" s="317">
        <v>0.44119999999999998</v>
      </c>
      <c r="AD56" s="317">
        <v>-0.36659999999999998</v>
      </c>
      <c r="AE56" s="317">
        <v>-0.16669999999999999</v>
      </c>
      <c r="AF56" s="317">
        <v>-0.15659999999999999</v>
      </c>
      <c r="AG56" s="317">
        <v>-0.1096</v>
      </c>
      <c r="AH56" s="317">
        <v>0.6099</v>
      </c>
      <c r="AI56" s="317">
        <v>-0.38350000000000001</v>
      </c>
      <c r="AJ56" s="317">
        <v>4.5999999999999999E-3</v>
      </c>
      <c r="AK56" s="317">
        <v>0.15040000000000001</v>
      </c>
      <c r="AL56" s="317">
        <v>3.8600000000000002E-2</v>
      </c>
      <c r="AM56" s="317">
        <v>0.46779999999999999</v>
      </c>
      <c r="AN56" s="317">
        <v>-7.2099999999999997E-2</v>
      </c>
      <c r="AO56" s="317">
        <v>-0.2445</v>
      </c>
      <c r="AP56" s="317">
        <v>-6.0100000000000001E-2</v>
      </c>
      <c r="AQ56" s="317">
        <v>0.1321</v>
      </c>
      <c r="AR56" s="317">
        <v>-2.23E-2</v>
      </c>
      <c r="AS56" s="317">
        <v>-2.3E-3</v>
      </c>
      <c r="AT56" s="317">
        <v>2.35E-2</v>
      </c>
      <c r="AU56" s="317">
        <v>3.5400000000000001E-2</v>
      </c>
      <c r="AV56" s="317">
        <v>-0.1414</v>
      </c>
      <c r="AW56" s="317">
        <v>0.1401</v>
      </c>
      <c r="AX56" s="317">
        <v>-7.8200000000000006E-2</v>
      </c>
      <c r="AY56" s="317">
        <v>-0.13669999999999999</v>
      </c>
      <c r="AZ56" s="317">
        <v>0.16600000000000001</v>
      </c>
      <c r="BA56" s="317">
        <v>0.2732</v>
      </c>
      <c r="BB56" s="317">
        <v>-1.44E-2</v>
      </c>
      <c r="BC56" s="317">
        <v>1</v>
      </c>
      <c r="BD56" s="317">
        <v>-0.12609999999999999</v>
      </c>
      <c r="BE56" s="317">
        <v>-9.9000000000000005E-2</v>
      </c>
      <c r="BF56" s="317">
        <v>0.30740000000000001</v>
      </c>
      <c r="BG56" s="317">
        <v>0.29420000000000002</v>
      </c>
      <c r="BH56" s="317">
        <v>0.45019999999999999</v>
      </c>
      <c r="BI56" s="317">
        <v>0.2082</v>
      </c>
      <c r="BJ56" s="317">
        <v>-0.18099999999999999</v>
      </c>
    </row>
    <row r="57" spans="1:62">
      <c r="A57" s="82" t="s">
        <v>527</v>
      </c>
      <c r="B57" s="317">
        <v>0.83520000000000005</v>
      </c>
      <c r="C57" s="317">
        <v>-0.1003</v>
      </c>
      <c r="D57" s="317">
        <v>5.8799999999999998E-2</v>
      </c>
      <c r="E57" s="317">
        <v>-0.30759999999999998</v>
      </c>
      <c r="F57" s="317">
        <v>-0.13300000000000001</v>
      </c>
      <c r="G57" s="317">
        <v>0.20480000000000001</v>
      </c>
      <c r="H57" s="317">
        <v>-4.07E-2</v>
      </c>
      <c r="I57" s="317">
        <v>3.0999999999999999E-3</v>
      </c>
      <c r="J57" s="317">
        <v>-6.0100000000000001E-2</v>
      </c>
      <c r="K57" s="317">
        <v>5.0700000000000002E-2</v>
      </c>
      <c r="L57" s="317">
        <v>-3.4299999999999997E-2</v>
      </c>
      <c r="M57" s="317">
        <v>0.2084</v>
      </c>
      <c r="N57" s="317">
        <v>-0.10299999999999999</v>
      </c>
      <c r="O57" s="317">
        <v>0.2326</v>
      </c>
      <c r="P57" s="317">
        <v>-1.1299999999999999E-2</v>
      </c>
      <c r="Q57" s="317">
        <v>8.5000000000000006E-3</v>
      </c>
      <c r="R57" s="317">
        <v>-1.4E-2</v>
      </c>
      <c r="S57" s="317">
        <v>-3.3E-3</v>
      </c>
      <c r="T57" s="317">
        <v>-1.6999999999999999E-3</v>
      </c>
      <c r="U57" s="317">
        <v>-0.1173</v>
      </c>
      <c r="V57" s="317">
        <v>-0.1336</v>
      </c>
      <c r="W57" s="317">
        <v>-0.14990000000000001</v>
      </c>
      <c r="X57" s="317">
        <v>7.0800000000000002E-2</v>
      </c>
      <c r="Y57" s="317">
        <v>-2.92E-2</v>
      </c>
      <c r="Z57" s="317">
        <v>0.30059999999999998</v>
      </c>
      <c r="AA57" s="317">
        <v>-0.25869999999999999</v>
      </c>
      <c r="AB57" s="317">
        <v>6.54E-2</v>
      </c>
      <c r="AC57" s="317">
        <v>-3.3399999999999999E-2</v>
      </c>
      <c r="AD57" s="317">
        <v>0.12379999999999999</v>
      </c>
      <c r="AE57" s="317">
        <v>3.0999999999999999E-3</v>
      </c>
      <c r="AF57" s="317">
        <v>-9.9299999999999999E-2</v>
      </c>
      <c r="AG57" s="317">
        <v>0.22409999999999999</v>
      </c>
      <c r="AH57" s="317">
        <v>0.1072</v>
      </c>
      <c r="AI57" s="317">
        <v>0.1938</v>
      </c>
      <c r="AJ57" s="317">
        <v>0.53290000000000004</v>
      </c>
      <c r="AK57" s="317">
        <v>-3.9699999999999999E-2</v>
      </c>
      <c r="AL57" s="317">
        <v>5.2900000000000003E-2</v>
      </c>
      <c r="AM57" s="317">
        <v>8.6199999999999999E-2</v>
      </c>
      <c r="AN57" s="317">
        <v>-3.5200000000000002E-2</v>
      </c>
      <c r="AO57" s="317">
        <v>-2.9399999999999999E-2</v>
      </c>
      <c r="AP57" s="317">
        <v>0.33679999999999999</v>
      </c>
      <c r="AQ57" s="317">
        <v>-6.4000000000000001E-2</v>
      </c>
      <c r="AR57" s="317">
        <v>7.8299999999999995E-2</v>
      </c>
      <c r="AS57" s="317">
        <v>-4.99E-2</v>
      </c>
      <c r="AT57" s="317">
        <v>4.0800000000000003E-2</v>
      </c>
      <c r="AU57" s="317">
        <v>-3.8699999999999998E-2</v>
      </c>
      <c r="AV57" s="317">
        <v>-0.30659999999999998</v>
      </c>
      <c r="AW57" s="317">
        <v>-6.4500000000000002E-2</v>
      </c>
      <c r="AX57" s="317">
        <v>-0.33900000000000002</v>
      </c>
      <c r="AY57" s="317">
        <v>0.15629999999999999</v>
      </c>
      <c r="AZ57" s="317">
        <v>0.3967</v>
      </c>
      <c r="BA57" s="317">
        <v>0.2394</v>
      </c>
      <c r="BB57" s="317">
        <v>2.1999999999999999E-2</v>
      </c>
      <c r="BC57" s="317">
        <v>-0.12609999999999999</v>
      </c>
      <c r="BD57" s="317">
        <v>1</v>
      </c>
      <c r="BE57" s="317">
        <v>0.15279999999999999</v>
      </c>
      <c r="BF57" s="317">
        <v>0.15540000000000001</v>
      </c>
      <c r="BG57" s="317">
        <v>0.17330000000000001</v>
      </c>
      <c r="BH57" s="317">
        <v>-0.10249999999999999</v>
      </c>
      <c r="BI57" s="317">
        <v>0.27489999999999998</v>
      </c>
      <c r="BJ57" s="317">
        <v>3.1099999999999999E-2</v>
      </c>
    </row>
    <row r="58" spans="1:62">
      <c r="A58" s="82" t="s">
        <v>439</v>
      </c>
      <c r="B58" s="317">
        <v>7.8399999999999997E-2</v>
      </c>
      <c r="C58" s="317">
        <v>-4.36E-2</v>
      </c>
      <c r="D58" s="317">
        <v>2.8899999999999999E-2</v>
      </c>
      <c r="E58" s="317">
        <v>-0.1106</v>
      </c>
      <c r="F58" s="317">
        <v>-5.5300000000000002E-2</v>
      </c>
      <c r="G58" s="317">
        <v>0.1414</v>
      </c>
      <c r="H58" s="317">
        <v>-1.5E-3</v>
      </c>
      <c r="I58" s="317">
        <v>7.7700000000000005E-2</v>
      </c>
      <c r="J58" s="317">
        <v>0.22539999999999999</v>
      </c>
      <c r="K58" s="317">
        <v>5.5100000000000003E-2</v>
      </c>
      <c r="L58" s="317">
        <v>4.9000000000000002E-2</v>
      </c>
      <c r="M58" s="317">
        <v>0.19259999999999999</v>
      </c>
      <c r="N58" s="317">
        <v>0.23930000000000001</v>
      </c>
      <c r="O58" s="317">
        <v>0.69169999999999998</v>
      </c>
      <c r="P58" s="317">
        <v>4.8000000000000001E-2</v>
      </c>
      <c r="Q58" s="317">
        <v>2.3300000000000001E-2</v>
      </c>
      <c r="R58" s="317">
        <v>-1.66E-2</v>
      </c>
      <c r="S58" s="317">
        <v>2.75E-2</v>
      </c>
      <c r="T58" s="317">
        <v>-3.2899999999999999E-2</v>
      </c>
      <c r="U58" s="317">
        <v>8.6E-3</v>
      </c>
      <c r="V58" s="317">
        <v>-2.53E-2</v>
      </c>
      <c r="W58" s="317">
        <v>-1.04E-2</v>
      </c>
      <c r="X58" s="317">
        <v>-9.5600000000000004E-2</v>
      </c>
      <c r="Y58" s="317">
        <v>9.3299999999999994E-2</v>
      </c>
      <c r="Z58" s="317">
        <v>0.2399</v>
      </c>
      <c r="AA58" s="317">
        <v>0.15440000000000001</v>
      </c>
      <c r="AB58" s="317">
        <v>7.6600000000000001E-2</v>
      </c>
      <c r="AC58" s="317">
        <v>-0.2268</v>
      </c>
      <c r="AD58" s="317">
        <v>0.13550000000000001</v>
      </c>
      <c r="AE58" s="317">
        <v>-0.03</v>
      </c>
      <c r="AF58" s="317">
        <v>0.33129999999999998</v>
      </c>
      <c r="AG58" s="317">
        <v>3.9699999999999999E-2</v>
      </c>
      <c r="AH58" s="317">
        <v>1.8200000000000001E-2</v>
      </c>
      <c r="AI58" s="317">
        <v>0.15579999999999999</v>
      </c>
      <c r="AJ58" s="317">
        <v>-8.6999999999999994E-3</v>
      </c>
      <c r="AK58" s="317">
        <v>1.5E-3</v>
      </c>
      <c r="AL58" s="317">
        <v>-1.0200000000000001E-2</v>
      </c>
      <c r="AM58" s="317">
        <v>-5.04E-2</v>
      </c>
      <c r="AN58" s="317">
        <v>9.8699999999999996E-2</v>
      </c>
      <c r="AO58" s="317">
        <v>0.13800000000000001</v>
      </c>
      <c r="AP58" s="317">
        <v>-8.9300000000000004E-2</v>
      </c>
      <c r="AQ58" s="317">
        <v>-0.38090000000000002</v>
      </c>
      <c r="AR58" s="317">
        <v>-0.29970000000000002</v>
      </c>
      <c r="AS58" s="317">
        <v>-5.4600000000000003E-2</v>
      </c>
      <c r="AT58" s="317">
        <v>-0.1082</v>
      </c>
      <c r="AU58" s="317">
        <v>1.8100000000000002E-2</v>
      </c>
      <c r="AV58" s="317">
        <v>-0.23799999999999999</v>
      </c>
      <c r="AW58" s="317">
        <v>-1.8200000000000001E-2</v>
      </c>
      <c r="AX58" s="317">
        <v>0.22370000000000001</v>
      </c>
      <c r="AY58" s="317">
        <v>3.0800000000000001E-2</v>
      </c>
      <c r="AZ58" s="317">
        <v>0.30709999999999998</v>
      </c>
      <c r="BA58" s="317">
        <v>4.2299999999999997E-2</v>
      </c>
      <c r="BB58" s="317">
        <v>3.4799999999999998E-2</v>
      </c>
      <c r="BC58" s="317">
        <v>-9.9000000000000005E-2</v>
      </c>
      <c r="BD58" s="317">
        <v>0.15279999999999999</v>
      </c>
      <c r="BE58" s="317">
        <v>1</v>
      </c>
      <c r="BF58" s="317">
        <v>-0.1053</v>
      </c>
      <c r="BG58" s="317">
        <v>-7.6399999999999996E-2</v>
      </c>
      <c r="BH58" s="317">
        <v>-9.5799999999999996E-2</v>
      </c>
      <c r="BI58" s="317">
        <v>-0.2636</v>
      </c>
      <c r="BJ58" s="317">
        <v>-5.7500000000000002E-2</v>
      </c>
    </row>
    <row r="59" spans="1:62">
      <c r="A59" s="82" t="s">
        <v>449</v>
      </c>
      <c r="B59" s="317">
        <v>0.2198</v>
      </c>
      <c r="C59" s="317">
        <v>0.5423</v>
      </c>
      <c r="D59" s="317">
        <v>0.2175</v>
      </c>
      <c r="E59" s="317">
        <v>0.40229999999999999</v>
      </c>
      <c r="F59" s="317">
        <v>0.41499999999999998</v>
      </c>
      <c r="G59" s="317">
        <v>1.46E-2</v>
      </c>
      <c r="H59" s="317">
        <v>-0.1948</v>
      </c>
      <c r="I59" s="317">
        <v>5.9299999999999999E-2</v>
      </c>
      <c r="J59" s="317">
        <v>0.1353</v>
      </c>
      <c r="K59" s="317">
        <v>-0.35410000000000003</v>
      </c>
      <c r="L59" s="317">
        <v>-0.20810000000000001</v>
      </c>
      <c r="M59" s="317">
        <v>-0.51390000000000002</v>
      </c>
      <c r="N59" s="317">
        <v>-0.17630000000000001</v>
      </c>
      <c r="O59" s="317">
        <v>-0.1124</v>
      </c>
      <c r="P59" s="317">
        <v>0.32579999999999998</v>
      </c>
      <c r="Q59" s="317">
        <v>-9.5799999999999996E-2</v>
      </c>
      <c r="R59" s="317">
        <v>-0.186</v>
      </c>
      <c r="S59" s="317">
        <v>-7.4700000000000003E-2</v>
      </c>
      <c r="T59" s="317">
        <v>-0.35210000000000002</v>
      </c>
      <c r="U59" s="317">
        <v>-0.16200000000000001</v>
      </c>
      <c r="V59" s="317">
        <v>-0.1129</v>
      </c>
      <c r="W59" s="317">
        <v>-0.16719999999999999</v>
      </c>
      <c r="X59" s="317">
        <v>-0.54139999999999999</v>
      </c>
      <c r="Y59" s="317">
        <v>-7.4700000000000003E-2</v>
      </c>
      <c r="Z59" s="317">
        <v>0.1041</v>
      </c>
      <c r="AA59" s="317">
        <v>5.8599999999999999E-2</v>
      </c>
      <c r="AB59" s="317">
        <v>-0.43959999999999999</v>
      </c>
      <c r="AC59" s="317">
        <v>0.25359999999999999</v>
      </c>
      <c r="AD59" s="317">
        <v>-0.57179999999999997</v>
      </c>
      <c r="AE59" s="317">
        <v>-0.42730000000000001</v>
      </c>
      <c r="AF59" s="317">
        <v>-0.61380000000000001</v>
      </c>
      <c r="AG59" s="317">
        <v>0.12509999999999999</v>
      </c>
      <c r="AH59" s="317">
        <v>0.5292</v>
      </c>
      <c r="AI59" s="317">
        <v>-0.3125</v>
      </c>
      <c r="AJ59" s="317">
        <v>0.1273</v>
      </c>
      <c r="AK59" s="317">
        <v>-3.8300000000000001E-2</v>
      </c>
      <c r="AL59" s="317">
        <v>6.4899999999999999E-2</v>
      </c>
      <c r="AM59" s="317">
        <v>0.39400000000000002</v>
      </c>
      <c r="AN59" s="317">
        <v>-0.1787</v>
      </c>
      <c r="AO59" s="317">
        <v>-0.57979999999999998</v>
      </c>
      <c r="AP59" s="317">
        <v>0.36880000000000002</v>
      </c>
      <c r="AQ59" s="317">
        <v>0.23089999999999999</v>
      </c>
      <c r="AR59" s="317">
        <v>0.18329999999999999</v>
      </c>
      <c r="AS59" s="317">
        <v>-0.25230000000000002</v>
      </c>
      <c r="AT59" s="317">
        <v>7.6399999999999996E-2</v>
      </c>
      <c r="AU59" s="317">
        <v>5.9799999999999999E-2</v>
      </c>
      <c r="AV59" s="317">
        <v>-0.2041</v>
      </c>
      <c r="AW59" s="317">
        <v>7.1900000000000006E-2</v>
      </c>
      <c r="AX59" s="317">
        <v>-0.3982</v>
      </c>
      <c r="AY59" s="317">
        <v>-0.16170000000000001</v>
      </c>
      <c r="AZ59" s="317">
        <v>4.0399999999999998E-2</v>
      </c>
      <c r="BA59" s="317">
        <v>0.5696</v>
      </c>
      <c r="BB59" s="317">
        <v>5.2499999999999998E-2</v>
      </c>
      <c r="BC59" s="317">
        <v>0.30740000000000001</v>
      </c>
      <c r="BD59" s="317">
        <v>0.15540000000000001</v>
      </c>
      <c r="BE59" s="317">
        <v>-0.1053</v>
      </c>
      <c r="BF59" s="317">
        <v>1</v>
      </c>
      <c r="BG59" s="317">
        <v>0.2132</v>
      </c>
      <c r="BH59" s="317">
        <v>0.38369999999999999</v>
      </c>
      <c r="BI59" s="317">
        <v>0.58020000000000005</v>
      </c>
      <c r="BJ59" s="317">
        <v>-0.49340000000000001</v>
      </c>
    </row>
    <row r="60" spans="1:62">
      <c r="A60" s="82" t="s">
        <v>109</v>
      </c>
      <c r="B60" s="317">
        <v>7.7700000000000005E-2</v>
      </c>
      <c r="C60" s="317">
        <v>0.28510000000000002</v>
      </c>
      <c r="D60" s="317">
        <v>2.46E-2</v>
      </c>
      <c r="E60" s="317">
        <v>0.28179999999999999</v>
      </c>
      <c r="F60" s="317">
        <v>0.19650000000000001</v>
      </c>
      <c r="G60" s="317">
        <v>-6.8785E-5</v>
      </c>
      <c r="H60" s="317">
        <v>-0.02</v>
      </c>
      <c r="I60" s="317">
        <v>-6.1100000000000002E-2</v>
      </c>
      <c r="J60" s="317">
        <v>2.1100000000000001E-2</v>
      </c>
      <c r="K60" s="317">
        <v>-4.2299999999999997E-2</v>
      </c>
      <c r="L60" s="317">
        <v>3.1199999999999999E-2</v>
      </c>
      <c r="M60" s="317">
        <v>-0.3034</v>
      </c>
      <c r="N60" s="317">
        <v>1.01E-2</v>
      </c>
      <c r="O60" s="317">
        <v>-1.7399999999999999E-2</v>
      </c>
      <c r="P60" s="317">
        <v>2.6100000000000002E-2</v>
      </c>
      <c r="Q60" s="317">
        <v>-2.7799999999999998E-2</v>
      </c>
      <c r="R60" s="317">
        <v>-4.3999999999999997E-2</v>
      </c>
      <c r="S60" s="317">
        <v>-4.24E-2</v>
      </c>
      <c r="T60" s="317">
        <v>-7.8399999999999997E-2</v>
      </c>
      <c r="U60" s="317">
        <v>-1.5100000000000001E-2</v>
      </c>
      <c r="V60" s="317">
        <v>-1.5699999999999999E-2</v>
      </c>
      <c r="W60" s="317">
        <v>-1.78E-2</v>
      </c>
      <c r="X60" s="317">
        <v>-1.5299999999999999E-2</v>
      </c>
      <c r="Y60" s="317">
        <v>-1.7600000000000001E-2</v>
      </c>
      <c r="Z60" s="317">
        <v>-0.1036</v>
      </c>
      <c r="AA60" s="317">
        <v>-0.23269999999999999</v>
      </c>
      <c r="AB60" s="317">
        <v>-1.23E-2</v>
      </c>
      <c r="AC60" s="317">
        <v>0.59989999999999999</v>
      </c>
      <c r="AD60" s="317">
        <v>-0.16450000000000001</v>
      </c>
      <c r="AE60" s="317">
        <v>-9.4700000000000006E-2</v>
      </c>
      <c r="AF60" s="317">
        <v>-0.2185</v>
      </c>
      <c r="AG60" s="317">
        <v>-7.6799999999999993E-2</v>
      </c>
      <c r="AH60" s="317">
        <v>0.51370000000000005</v>
      </c>
      <c r="AI60" s="317">
        <v>-0.25019999999999998</v>
      </c>
      <c r="AJ60" s="317">
        <v>3.2300000000000002E-2</v>
      </c>
      <c r="AK60" s="317">
        <v>0.12709999999999999</v>
      </c>
      <c r="AL60" s="317">
        <v>5.7500000000000002E-2</v>
      </c>
      <c r="AM60" s="317">
        <v>0.84319999999999995</v>
      </c>
      <c r="AN60" s="317">
        <v>-4.8500000000000001E-2</v>
      </c>
      <c r="AO60" s="317">
        <v>-0.16470000000000001</v>
      </c>
      <c r="AP60" s="317">
        <v>-9.1000000000000004E-3</v>
      </c>
      <c r="AQ60" s="317">
        <v>5.0000000000000001E-4</v>
      </c>
      <c r="AR60" s="317">
        <v>-8.6800000000000002E-2</v>
      </c>
      <c r="AS60" s="317">
        <v>-2.5999999999999999E-3</v>
      </c>
      <c r="AT60" s="317">
        <v>-4.99E-2</v>
      </c>
      <c r="AU60" s="317">
        <v>-6.9199999999999998E-2</v>
      </c>
      <c r="AV60" s="317">
        <v>-8.7900000000000006E-2</v>
      </c>
      <c r="AW60" s="317">
        <v>0.11609999999999999</v>
      </c>
      <c r="AX60" s="317">
        <v>-0.25280000000000002</v>
      </c>
      <c r="AY60" s="317">
        <v>-6.7599999999999993E-2</v>
      </c>
      <c r="AZ60" s="317">
        <v>6.4899999999999999E-2</v>
      </c>
      <c r="BA60" s="317">
        <v>0.21010000000000001</v>
      </c>
      <c r="BB60" s="317">
        <v>-3.5000000000000001E-3</v>
      </c>
      <c r="BC60" s="317">
        <v>0.29420000000000002</v>
      </c>
      <c r="BD60" s="317">
        <v>0.17330000000000001</v>
      </c>
      <c r="BE60" s="317">
        <v>-7.6399999999999996E-2</v>
      </c>
      <c r="BF60" s="317">
        <v>0.2132</v>
      </c>
      <c r="BG60" s="317">
        <v>1</v>
      </c>
      <c r="BH60" s="317">
        <v>0.1502</v>
      </c>
      <c r="BI60" s="317">
        <v>0.21820000000000001</v>
      </c>
      <c r="BJ60" s="317">
        <v>-3.2000000000000001E-2</v>
      </c>
    </row>
    <row r="61" spans="1:62">
      <c r="A61" s="82" t="s">
        <v>431</v>
      </c>
      <c r="B61" s="317">
        <v>-7.5499999999999998E-2</v>
      </c>
      <c r="C61" s="317">
        <v>0.495</v>
      </c>
      <c r="D61" s="317">
        <v>3.0499999999999999E-2</v>
      </c>
      <c r="E61" s="317">
        <v>0.46660000000000001</v>
      </c>
      <c r="F61" s="317">
        <v>0.31690000000000002</v>
      </c>
      <c r="G61" s="317">
        <v>-0.159</v>
      </c>
      <c r="H61" s="317">
        <v>3.8899999999999997E-2</v>
      </c>
      <c r="I61" s="317">
        <v>-1.7399999999999999E-2</v>
      </c>
      <c r="J61" s="317">
        <v>0.1041</v>
      </c>
      <c r="K61" s="317">
        <v>-7.4700000000000003E-2</v>
      </c>
      <c r="L61" s="317">
        <v>6.7799999999999999E-2</v>
      </c>
      <c r="M61" s="317">
        <v>-0.39169999999999999</v>
      </c>
      <c r="N61" s="317">
        <v>5.8599999999999999E-2</v>
      </c>
      <c r="O61" s="317">
        <v>-9.0399999999999994E-2</v>
      </c>
      <c r="P61" s="317">
        <v>0.13539999999999999</v>
      </c>
      <c r="Q61" s="317">
        <v>-4.8800000000000003E-2</v>
      </c>
      <c r="R61" s="317">
        <v>-8.6599999999999996E-2</v>
      </c>
      <c r="S61" s="317">
        <v>-6.0699999999999997E-2</v>
      </c>
      <c r="T61" s="317">
        <v>-0.18340000000000001</v>
      </c>
      <c r="U61" s="317">
        <v>-3.8399999999999997E-2</v>
      </c>
      <c r="V61" s="317">
        <v>-3.6999999999999998E-2</v>
      </c>
      <c r="W61" s="317">
        <v>-4.7E-2</v>
      </c>
      <c r="X61" s="317">
        <v>-0.25059999999999999</v>
      </c>
      <c r="Y61" s="317">
        <v>-4.5699999999999998E-2</v>
      </c>
      <c r="Z61" s="317">
        <v>8.1699999999999995E-2</v>
      </c>
      <c r="AA61" s="317">
        <v>0.1242</v>
      </c>
      <c r="AB61" s="317">
        <v>-0.4007</v>
      </c>
      <c r="AC61" s="317">
        <v>0.2792</v>
      </c>
      <c r="AD61" s="317">
        <v>-0.53739999999999999</v>
      </c>
      <c r="AE61" s="317">
        <v>-0.24629999999999999</v>
      </c>
      <c r="AF61" s="317">
        <v>-0.29039999999999999</v>
      </c>
      <c r="AG61" s="317">
        <v>-0.1348</v>
      </c>
      <c r="AH61" s="317">
        <v>0.46560000000000001</v>
      </c>
      <c r="AI61" s="317">
        <v>-0.38840000000000002</v>
      </c>
      <c r="AJ61" s="317">
        <v>-9.0800000000000006E-2</v>
      </c>
      <c r="AK61" s="317">
        <v>0.16039999999999999</v>
      </c>
      <c r="AL61" s="317">
        <v>8.48E-2</v>
      </c>
      <c r="AM61" s="317">
        <v>0.32450000000000001</v>
      </c>
      <c r="AN61" s="317">
        <v>-1.21E-2</v>
      </c>
      <c r="AO61" s="317">
        <v>-0.254</v>
      </c>
      <c r="AP61" s="317">
        <v>5.3499999999999999E-2</v>
      </c>
      <c r="AQ61" s="317">
        <v>0.10920000000000001</v>
      </c>
      <c r="AR61" s="317">
        <v>-1.7299999999999999E-2</v>
      </c>
      <c r="AS61" s="317">
        <v>-3.8399999999999997E-2</v>
      </c>
      <c r="AT61" s="317">
        <v>5.6500000000000002E-2</v>
      </c>
      <c r="AU61" s="317">
        <v>-1.29E-2</v>
      </c>
      <c r="AV61" s="317">
        <v>-5.6300000000000003E-2</v>
      </c>
      <c r="AW61" s="317">
        <v>0.14510000000000001</v>
      </c>
      <c r="AX61" s="317">
        <v>-0.14460000000000001</v>
      </c>
      <c r="AY61" s="317">
        <v>-0.14760000000000001</v>
      </c>
      <c r="AZ61" s="317">
        <v>0.1095</v>
      </c>
      <c r="BA61" s="317">
        <v>0.37169999999999997</v>
      </c>
      <c r="BB61" s="317">
        <v>6.5799999999999997E-2</v>
      </c>
      <c r="BC61" s="317">
        <v>0.45019999999999999</v>
      </c>
      <c r="BD61" s="317">
        <v>-0.10249999999999999</v>
      </c>
      <c r="BE61" s="317">
        <v>-9.5799999999999996E-2</v>
      </c>
      <c r="BF61" s="317">
        <v>0.38369999999999999</v>
      </c>
      <c r="BG61" s="317">
        <v>0.1502</v>
      </c>
      <c r="BH61" s="317">
        <v>1</v>
      </c>
      <c r="BI61" s="317">
        <v>0.23050000000000001</v>
      </c>
      <c r="BJ61" s="317">
        <v>-0.21640000000000001</v>
      </c>
    </row>
    <row r="62" spans="1:62">
      <c r="A62" s="9" t="s">
        <v>535</v>
      </c>
      <c r="B62" s="317">
        <v>0.27150000000000002</v>
      </c>
      <c r="C62" s="317">
        <v>0.2034</v>
      </c>
      <c r="D62" s="317">
        <v>0.1242</v>
      </c>
      <c r="E62" s="317">
        <v>0.1545</v>
      </c>
      <c r="F62" s="317">
        <v>0.1762</v>
      </c>
      <c r="G62" s="317">
        <v>-4.5699999999999998E-2</v>
      </c>
      <c r="H62" s="317">
        <v>-0.10199999999999999</v>
      </c>
      <c r="I62" s="317">
        <v>1.9800000000000002E-2</v>
      </c>
      <c r="J62" s="317">
        <v>-0.15379999999999999</v>
      </c>
      <c r="K62" s="317">
        <v>-0.1406</v>
      </c>
      <c r="L62" s="317">
        <v>-0.1426</v>
      </c>
      <c r="M62" s="317">
        <v>-0.33100000000000002</v>
      </c>
      <c r="N62" s="317">
        <v>-0.42709999999999998</v>
      </c>
      <c r="O62" s="317">
        <v>-0.20200000000000001</v>
      </c>
      <c r="P62" s="317">
        <v>9.8199999999999996E-2</v>
      </c>
      <c r="Q62" s="317">
        <v>-1.6299999999999999E-2</v>
      </c>
      <c r="R62" s="317">
        <v>-3.7400000000000003E-2</v>
      </c>
      <c r="S62" s="317">
        <v>-2.8799999999999999E-2</v>
      </c>
      <c r="T62" s="317">
        <v>-0.1096</v>
      </c>
      <c r="U62" s="317">
        <v>-1.8700000000000001E-2</v>
      </c>
      <c r="V62" s="317">
        <v>1.12E-2</v>
      </c>
      <c r="W62" s="317">
        <v>-6.1999999999999998E-3</v>
      </c>
      <c r="X62" s="317">
        <v>-0.14030000000000001</v>
      </c>
      <c r="Y62" s="317">
        <v>-6.4600000000000005E-2</v>
      </c>
      <c r="Z62" s="317">
        <v>-8.0500000000000002E-2</v>
      </c>
      <c r="AA62" s="317">
        <v>4.9700000000000001E-2</v>
      </c>
      <c r="AB62" s="317">
        <v>-0.19239999999999999</v>
      </c>
      <c r="AC62" s="317">
        <v>9.11E-2</v>
      </c>
      <c r="AD62" s="317">
        <v>-0.29730000000000001</v>
      </c>
      <c r="AE62" s="317">
        <v>-0.1535</v>
      </c>
      <c r="AF62" s="317">
        <v>-0.76190000000000002</v>
      </c>
      <c r="AG62" s="317">
        <v>6.8500000000000005E-2</v>
      </c>
      <c r="AH62" s="317">
        <v>0.2235</v>
      </c>
      <c r="AI62" s="317">
        <v>-0.1905</v>
      </c>
      <c r="AJ62" s="317">
        <v>0.38529999999999998</v>
      </c>
      <c r="AK62" s="317">
        <v>-6.2399999999999997E-2</v>
      </c>
      <c r="AL62" s="317">
        <v>4.4400000000000002E-2</v>
      </c>
      <c r="AM62" s="317">
        <v>0.20799999999999999</v>
      </c>
      <c r="AN62" s="317">
        <v>-0.13819999999999999</v>
      </c>
      <c r="AO62" s="317">
        <v>-0.52429999999999999</v>
      </c>
      <c r="AP62" s="317">
        <v>0.69110000000000005</v>
      </c>
      <c r="AQ62" s="317">
        <v>0.69550000000000001</v>
      </c>
      <c r="AR62" s="317">
        <v>0.69410000000000005</v>
      </c>
      <c r="AS62" s="317">
        <v>-0.20280000000000001</v>
      </c>
      <c r="AT62" s="317">
        <v>0.19139999999999999</v>
      </c>
      <c r="AU62" s="317">
        <v>8.0000000000000002E-3</v>
      </c>
      <c r="AV62" s="317">
        <v>5.21E-2</v>
      </c>
      <c r="AW62" s="317">
        <v>-7.9000000000000008E-3</v>
      </c>
      <c r="AX62" s="317">
        <v>-0.69069999999999998</v>
      </c>
      <c r="AY62" s="317">
        <v>3.2199999999999999E-2</v>
      </c>
      <c r="AZ62" s="317">
        <v>-3.3000000000000002E-2</v>
      </c>
      <c r="BA62" s="317">
        <v>0.3085</v>
      </c>
      <c r="BB62" s="317">
        <v>1.52E-2</v>
      </c>
      <c r="BC62" s="317">
        <v>0.2082</v>
      </c>
      <c r="BD62" s="317">
        <v>0.27489999999999998</v>
      </c>
      <c r="BE62" s="317">
        <v>-0.2636</v>
      </c>
      <c r="BF62" s="317">
        <v>0.58020000000000005</v>
      </c>
      <c r="BG62" s="317">
        <v>0.21820000000000001</v>
      </c>
      <c r="BH62" s="317">
        <v>0.23050000000000001</v>
      </c>
      <c r="BI62" s="317">
        <v>1</v>
      </c>
      <c r="BJ62" s="317">
        <v>-0.13930000000000001</v>
      </c>
    </row>
    <row r="63" spans="1:62">
      <c r="A63" s="209" t="s">
        <v>454</v>
      </c>
      <c r="B63" s="383">
        <v>-4.7199999999999999E-2</v>
      </c>
      <c r="C63" s="383">
        <v>-0.30890000000000001</v>
      </c>
      <c r="D63" s="383">
        <v>-0.22900000000000001</v>
      </c>
      <c r="E63" s="383">
        <v>-0.26840000000000003</v>
      </c>
      <c r="F63" s="383">
        <v>-0.23150000000000001</v>
      </c>
      <c r="G63" s="383">
        <v>-9.6000000000000002E-2</v>
      </c>
      <c r="H63" s="383">
        <v>4.7399999999999998E-2</v>
      </c>
      <c r="I63" s="383">
        <v>-4.41E-2</v>
      </c>
      <c r="J63" s="383">
        <v>-0.21590000000000001</v>
      </c>
      <c r="K63" s="383">
        <v>0.1943</v>
      </c>
      <c r="L63" s="383">
        <v>7.3499999999999996E-2</v>
      </c>
      <c r="M63" s="383">
        <v>0.30280000000000001</v>
      </c>
      <c r="N63" s="383">
        <v>5.0200000000000002E-2</v>
      </c>
      <c r="O63" s="383">
        <v>-2.1000000000000001E-2</v>
      </c>
      <c r="P63" s="383">
        <v>-0.41489999999999999</v>
      </c>
      <c r="Q63" s="383">
        <v>3.5000000000000003E-2</v>
      </c>
      <c r="R63" s="383">
        <v>0.1726</v>
      </c>
      <c r="S63" s="383">
        <v>2.7099999999999999E-2</v>
      </c>
      <c r="T63" s="383">
        <v>0.4662</v>
      </c>
      <c r="U63" s="383">
        <v>0.14169999999999999</v>
      </c>
      <c r="V63" s="383">
        <v>0.19059999999999999</v>
      </c>
      <c r="W63" s="383">
        <v>0.2069</v>
      </c>
      <c r="X63" s="383">
        <v>0.55330000000000001</v>
      </c>
      <c r="Y63" s="383">
        <v>-2.8E-3</v>
      </c>
      <c r="Z63" s="383">
        <v>-0.12870000000000001</v>
      </c>
      <c r="AA63" s="383">
        <v>-8.09E-2</v>
      </c>
      <c r="AB63" s="383">
        <v>0.2863</v>
      </c>
      <c r="AC63" s="383">
        <v>-0.12189999999999999</v>
      </c>
      <c r="AD63" s="383">
        <v>0.26840000000000003</v>
      </c>
      <c r="AE63" s="383">
        <v>0.39410000000000001</v>
      </c>
      <c r="AF63" s="383">
        <v>0.219</v>
      </c>
      <c r="AG63" s="383">
        <v>-0.1061</v>
      </c>
      <c r="AH63" s="383">
        <v>-0.26019999999999999</v>
      </c>
      <c r="AI63" s="383">
        <v>0.14979999999999999</v>
      </c>
      <c r="AJ63" s="383">
        <v>7.8299999999999995E-2</v>
      </c>
      <c r="AK63" s="383">
        <v>-3.7600000000000001E-2</v>
      </c>
      <c r="AL63" s="383">
        <v>-2.7900000000000001E-2</v>
      </c>
      <c r="AM63" s="383">
        <v>-0.15790000000000001</v>
      </c>
      <c r="AN63" s="383">
        <v>-1.1599999999999999E-2</v>
      </c>
      <c r="AO63" s="383">
        <v>0.2346</v>
      </c>
      <c r="AP63" s="383">
        <v>-7.2300000000000003E-2</v>
      </c>
      <c r="AQ63" s="383">
        <v>-6.1000000000000004E-3</v>
      </c>
      <c r="AR63" s="383">
        <v>7.6600000000000001E-2</v>
      </c>
      <c r="AS63" s="383">
        <v>3.61E-2</v>
      </c>
      <c r="AT63" s="383">
        <v>5.2699999999999997E-2</v>
      </c>
      <c r="AU63" s="383">
        <v>-5.5399999999999998E-2</v>
      </c>
      <c r="AV63" s="383">
        <v>0.14910000000000001</v>
      </c>
      <c r="AW63" s="383">
        <v>-1.18E-2</v>
      </c>
      <c r="AX63" s="383">
        <v>6.7000000000000004E-2</v>
      </c>
      <c r="AY63" s="383">
        <v>8.5999999999999993E-2</v>
      </c>
      <c r="AZ63" s="383">
        <v>-3.3E-3</v>
      </c>
      <c r="BA63" s="383">
        <v>-0.25569999999999998</v>
      </c>
      <c r="BB63" s="383">
        <v>-1.23E-2</v>
      </c>
      <c r="BC63" s="383">
        <v>-0.18099999999999999</v>
      </c>
      <c r="BD63" s="383">
        <v>3.1099999999999999E-2</v>
      </c>
      <c r="BE63" s="383">
        <v>-5.7500000000000002E-2</v>
      </c>
      <c r="BF63" s="383">
        <v>-0.49340000000000001</v>
      </c>
      <c r="BG63" s="383">
        <v>-3.2000000000000001E-2</v>
      </c>
      <c r="BH63" s="383">
        <v>-0.21640000000000001</v>
      </c>
      <c r="BI63" s="383">
        <v>-0.13930000000000001</v>
      </c>
      <c r="BJ63" s="383">
        <v>1</v>
      </c>
    </row>
    <row r="64" spans="1:62">
      <c r="A64" s="82" t="s">
        <v>1487</v>
      </c>
    </row>
  </sheetData>
  <sortState xmlns:xlrd2="http://schemas.microsoft.com/office/spreadsheetml/2017/richdata2" ref="A66:CC126">
    <sortCondition ref="A66:A126"/>
  </sortState>
  <conditionalFormatting sqref="B3:BJ63">
    <cfRule type="colorScale" priority="1">
      <colorScale>
        <cfvo type="min"/>
        <cfvo type="percentile" val="50"/>
        <cfvo type="max"/>
        <color rgb="FFF8696B"/>
        <color rgb="FFFFEB84"/>
        <color rgb="FF63BE7B"/>
      </colorScale>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E7025-D73E-4A2D-982F-23325256A44D}">
  <dimension ref="A1:F289"/>
  <sheetViews>
    <sheetView topLeftCell="A259" workbookViewId="0">
      <selection activeCell="E280" sqref="E280"/>
    </sheetView>
  </sheetViews>
  <sheetFormatPr defaultColWidth="8.7890625" defaultRowHeight="14.4"/>
  <cols>
    <col min="1" max="1" width="17.47265625" customWidth="1"/>
    <col min="2" max="2" width="14.15625" style="307" customWidth="1"/>
    <col min="3" max="3" width="10.15625" style="307" bestFit="1" customWidth="1"/>
    <col min="4" max="4" width="10.7890625" style="307" customWidth="1"/>
    <col min="5" max="5" width="24.47265625" style="307" customWidth="1"/>
    <col min="6" max="6" width="16.47265625" style="307" customWidth="1"/>
  </cols>
  <sheetData>
    <row r="1" spans="1:6">
      <c r="A1" s="328" t="s">
        <v>1548</v>
      </c>
      <c r="B1" s="384"/>
      <c r="C1" s="384"/>
      <c r="D1" s="384"/>
      <c r="E1" s="384"/>
      <c r="F1" s="384"/>
    </row>
    <row r="2" spans="1:6" s="319" customFormat="1">
      <c r="A2" s="328" t="s">
        <v>1477</v>
      </c>
      <c r="B2" s="356" t="s">
        <v>1288</v>
      </c>
      <c r="C2" s="356" t="s">
        <v>1289</v>
      </c>
      <c r="D2" s="356" t="s">
        <v>1290</v>
      </c>
      <c r="E2" s="356" t="s">
        <v>1291</v>
      </c>
      <c r="F2" s="356" t="s">
        <v>572</v>
      </c>
    </row>
    <row r="3" spans="1:6">
      <c r="A3" s="82" t="s">
        <v>416</v>
      </c>
      <c r="B3" s="106">
        <v>523309</v>
      </c>
      <c r="C3" s="106">
        <v>176330</v>
      </c>
      <c r="D3" s="106">
        <v>737335</v>
      </c>
      <c r="E3" s="106">
        <v>23689</v>
      </c>
      <c r="F3" s="106">
        <v>490222</v>
      </c>
    </row>
    <row r="4" spans="1:6">
      <c r="A4" s="82" t="s">
        <v>419</v>
      </c>
      <c r="B4" s="106">
        <v>472213</v>
      </c>
      <c r="C4" s="106">
        <v>289399</v>
      </c>
      <c r="D4" s="106">
        <v>502245</v>
      </c>
      <c r="E4" s="106">
        <v>21274</v>
      </c>
      <c r="F4" s="106">
        <v>351580</v>
      </c>
    </row>
    <row r="5" spans="1:6">
      <c r="A5" s="82" t="s">
        <v>421</v>
      </c>
      <c r="B5" s="106">
        <v>258534</v>
      </c>
      <c r="C5" s="106">
        <v>79371.899999999994</v>
      </c>
      <c r="D5" s="106">
        <v>286733</v>
      </c>
      <c r="E5" s="106">
        <v>233416</v>
      </c>
      <c r="F5" s="106">
        <v>265933</v>
      </c>
    </row>
    <row r="6" spans="1:6">
      <c r="A6" s="82" t="s">
        <v>219</v>
      </c>
      <c r="B6" s="106">
        <v>47294</v>
      </c>
      <c r="C6" s="106">
        <v>14234.7</v>
      </c>
      <c r="D6" s="106">
        <v>138070</v>
      </c>
      <c r="E6" s="106">
        <v>386123</v>
      </c>
      <c r="F6" s="106">
        <v>652044</v>
      </c>
    </row>
    <row r="7" spans="1:6">
      <c r="A7" s="82" t="s">
        <v>468</v>
      </c>
      <c r="B7" s="106">
        <v>371012</v>
      </c>
      <c r="C7" s="106">
        <v>188799</v>
      </c>
      <c r="D7" s="106">
        <v>403342</v>
      </c>
      <c r="E7" s="106">
        <v>263169</v>
      </c>
      <c r="F7" s="106">
        <v>557923</v>
      </c>
    </row>
    <row r="8" spans="1:6">
      <c r="A8" s="82" t="s">
        <v>113</v>
      </c>
      <c r="B8" s="106">
        <v>6268.72</v>
      </c>
      <c r="C8" s="106">
        <v>1449.42</v>
      </c>
      <c r="D8" s="106">
        <v>20360.8</v>
      </c>
      <c r="E8" s="106">
        <v>237528</v>
      </c>
      <c r="F8" s="106">
        <v>181585</v>
      </c>
    </row>
    <row r="9" spans="1:6">
      <c r="A9" s="82" t="s">
        <v>115</v>
      </c>
      <c r="B9" s="106">
        <v>6075.09</v>
      </c>
      <c r="C9" s="106">
        <v>4847.9399999999996</v>
      </c>
      <c r="D9" s="106">
        <v>6435.07</v>
      </c>
      <c r="E9" s="106">
        <v>1</v>
      </c>
      <c r="F9" s="106">
        <v>169901</v>
      </c>
    </row>
    <row r="10" spans="1:6">
      <c r="A10" s="82" t="s">
        <v>118</v>
      </c>
      <c r="B10" s="106">
        <v>5022.0600000000004</v>
      </c>
      <c r="C10" s="106">
        <v>3350.7</v>
      </c>
      <c r="D10" s="106">
        <v>5474.97</v>
      </c>
      <c r="E10" s="106">
        <v>952</v>
      </c>
      <c r="F10" s="106">
        <v>144503</v>
      </c>
    </row>
    <row r="11" spans="1:6">
      <c r="A11" s="82" t="s">
        <v>120</v>
      </c>
      <c r="B11" s="106">
        <v>3652.49</v>
      </c>
      <c r="C11" s="106">
        <v>2455.65</v>
      </c>
      <c r="D11" s="106">
        <v>3968.52</v>
      </c>
      <c r="E11" s="106">
        <v>915</v>
      </c>
      <c r="F11" s="106">
        <v>106372</v>
      </c>
    </row>
    <row r="12" spans="1:6">
      <c r="A12" s="82" t="s">
        <v>121</v>
      </c>
      <c r="B12" s="106">
        <v>3350.24</v>
      </c>
      <c r="C12" s="106">
        <v>2252.48</v>
      </c>
      <c r="D12" s="106">
        <v>3639.33</v>
      </c>
      <c r="E12" s="106">
        <v>890</v>
      </c>
      <c r="F12" s="106">
        <v>94790</v>
      </c>
    </row>
    <row r="13" spans="1:6">
      <c r="A13" s="82" t="s">
        <v>122</v>
      </c>
      <c r="B13" s="106">
        <v>3498.51</v>
      </c>
      <c r="C13" s="106">
        <v>2361.4299999999998</v>
      </c>
      <c r="D13" s="106">
        <v>3804.91</v>
      </c>
      <c r="E13" s="106">
        <v>894</v>
      </c>
      <c r="F13" s="106">
        <v>98185</v>
      </c>
    </row>
    <row r="14" spans="1:6">
      <c r="A14" s="82" t="s">
        <v>138</v>
      </c>
      <c r="B14" s="106">
        <v>444167</v>
      </c>
      <c r="C14" s="106">
        <v>79792.399999999994</v>
      </c>
      <c r="D14" s="106">
        <v>1269180</v>
      </c>
      <c r="E14" s="106">
        <v>599410</v>
      </c>
      <c r="F14" s="106">
        <v>397338</v>
      </c>
    </row>
    <row r="15" spans="1:6">
      <c r="A15" s="82" t="s">
        <v>140</v>
      </c>
      <c r="B15" s="106">
        <v>258608</v>
      </c>
      <c r="C15" s="106">
        <v>128116</v>
      </c>
      <c r="D15" s="106">
        <v>293614</v>
      </c>
      <c r="E15" s="106">
        <v>24950</v>
      </c>
      <c r="F15" s="106">
        <v>262883</v>
      </c>
    </row>
    <row r="16" spans="1:6">
      <c r="A16" s="82" t="s">
        <v>141</v>
      </c>
      <c r="B16" s="106">
        <v>258219</v>
      </c>
      <c r="C16" s="106">
        <v>129149</v>
      </c>
      <c r="D16" s="106">
        <v>294269</v>
      </c>
      <c r="E16" s="106">
        <v>24414</v>
      </c>
      <c r="F16" s="106">
        <v>261810</v>
      </c>
    </row>
    <row r="17" spans="1:6">
      <c r="A17" s="82" t="s">
        <v>142</v>
      </c>
      <c r="B17" s="106">
        <v>261277</v>
      </c>
      <c r="C17" s="106">
        <v>129168</v>
      </c>
      <c r="D17" s="106">
        <v>297051</v>
      </c>
      <c r="E17" s="106">
        <v>24274</v>
      </c>
      <c r="F17" s="106">
        <v>265721</v>
      </c>
    </row>
    <row r="18" spans="1:6">
      <c r="A18" s="82" t="s">
        <v>189</v>
      </c>
      <c r="B18" s="106">
        <v>17834.099999999999</v>
      </c>
      <c r="C18" s="106">
        <v>12596</v>
      </c>
      <c r="D18" s="106">
        <v>19217.3</v>
      </c>
      <c r="E18" s="106">
        <v>918</v>
      </c>
      <c r="F18" s="106">
        <v>87047</v>
      </c>
    </row>
    <row r="19" spans="1:6">
      <c r="A19" s="82" t="s">
        <v>190</v>
      </c>
      <c r="B19" s="106">
        <v>15600.2</v>
      </c>
      <c r="C19" s="106">
        <v>10871.5</v>
      </c>
      <c r="D19" s="106">
        <v>16920</v>
      </c>
      <c r="E19" s="106">
        <v>2070</v>
      </c>
      <c r="F19" s="106">
        <v>75920</v>
      </c>
    </row>
    <row r="20" spans="1:6">
      <c r="A20" s="82" t="s">
        <v>191</v>
      </c>
      <c r="B20" s="106">
        <v>13637.4</v>
      </c>
      <c r="C20" s="106">
        <v>9348.5300000000007</v>
      </c>
      <c r="D20" s="106">
        <v>14971.4</v>
      </c>
      <c r="E20" s="106">
        <v>11241</v>
      </c>
      <c r="F20" s="106">
        <v>63937</v>
      </c>
    </row>
    <row r="21" spans="1:6">
      <c r="A21" s="82" t="s">
        <v>192</v>
      </c>
      <c r="B21" s="106">
        <v>16137.9</v>
      </c>
      <c r="C21" s="106">
        <v>11036.1</v>
      </c>
      <c r="D21" s="106">
        <v>17462.3</v>
      </c>
      <c r="E21" s="106">
        <v>1562</v>
      </c>
      <c r="F21" s="106">
        <v>76321</v>
      </c>
    </row>
    <row r="22" spans="1:6">
      <c r="A22" s="82" t="s">
        <v>34</v>
      </c>
      <c r="B22" s="106">
        <v>30437.200000000001</v>
      </c>
      <c r="C22" s="106">
        <v>14873.7</v>
      </c>
      <c r="D22" s="106">
        <v>40517.1</v>
      </c>
      <c r="E22" s="106">
        <v>32239</v>
      </c>
      <c r="F22" s="106">
        <v>3222456</v>
      </c>
    </row>
    <row r="23" spans="1:6">
      <c r="A23" s="82" t="s">
        <v>35</v>
      </c>
      <c r="B23" s="106">
        <v>693917</v>
      </c>
      <c r="C23" s="106">
        <v>464618</v>
      </c>
      <c r="D23" s="106">
        <v>697168</v>
      </c>
      <c r="E23" s="106">
        <v>708916</v>
      </c>
      <c r="F23" s="106">
        <v>762916</v>
      </c>
    </row>
    <row r="24" spans="1:6">
      <c r="A24" s="82" t="s">
        <v>37</v>
      </c>
      <c r="B24" s="106">
        <v>29766.9</v>
      </c>
      <c r="C24" s="106">
        <v>12244.3</v>
      </c>
      <c r="D24" s="106">
        <v>41062.300000000003</v>
      </c>
      <c r="E24" s="106">
        <v>84757</v>
      </c>
      <c r="F24" s="106">
        <v>3187572</v>
      </c>
    </row>
    <row r="25" spans="1:6">
      <c r="A25" s="82" t="s">
        <v>39</v>
      </c>
      <c r="B25" s="106">
        <v>14577.5</v>
      </c>
      <c r="C25" s="106">
        <v>5042.58</v>
      </c>
      <c r="D25" s="106">
        <v>33579.9</v>
      </c>
      <c r="E25" s="106">
        <v>434976</v>
      </c>
      <c r="F25" s="106">
        <v>78811</v>
      </c>
    </row>
    <row r="26" spans="1:6">
      <c r="A26" s="82" t="s">
        <v>194</v>
      </c>
      <c r="B26" s="106">
        <v>10246.299999999999</v>
      </c>
      <c r="C26" s="106">
        <v>1721.76</v>
      </c>
      <c r="D26" s="106">
        <v>39291.4</v>
      </c>
      <c r="E26" s="106">
        <v>602647</v>
      </c>
      <c r="F26" s="106">
        <v>72517</v>
      </c>
    </row>
    <row r="27" spans="1:6">
      <c r="A27" s="82" t="s">
        <v>196</v>
      </c>
      <c r="B27" s="106">
        <v>2303.16</v>
      </c>
      <c r="C27" s="106">
        <v>465.39800000000002</v>
      </c>
      <c r="D27" s="106">
        <v>7442.53</v>
      </c>
      <c r="E27" s="106">
        <v>597857</v>
      </c>
      <c r="F27" s="106">
        <v>14476</v>
      </c>
    </row>
    <row r="28" spans="1:6">
      <c r="A28" s="82" t="s">
        <v>1502</v>
      </c>
      <c r="B28" s="106">
        <v>74797.399999999994</v>
      </c>
      <c r="C28" s="106">
        <v>37424.6</v>
      </c>
      <c r="D28" s="106">
        <v>85157.8</v>
      </c>
      <c r="E28" s="106">
        <v>24558</v>
      </c>
      <c r="F28" s="106">
        <v>75520</v>
      </c>
    </row>
    <row r="29" spans="1:6">
      <c r="A29" s="82" t="s">
        <v>222</v>
      </c>
      <c r="B29" s="106">
        <v>10169.799999999999</v>
      </c>
      <c r="C29" s="106">
        <v>2332.41</v>
      </c>
      <c r="D29" s="106">
        <v>37269.9</v>
      </c>
      <c r="E29" s="106">
        <v>649377</v>
      </c>
      <c r="F29" s="106">
        <v>46350</v>
      </c>
    </row>
    <row r="30" spans="1:6">
      <c r="A30" s="82" t="s">
        <v>168</v>
      </c>
      <c r="B30" s="106">
        <v>29813.9</v>
      </c>
      <c r="C30" s="106">
        <v>8243.2800000000007</v>
      </c>
      <c r="D30" s="106">
        <v>88112.6</v>
      </c>
      <c r="E30" s="106">
        <v>254179</v>
      </c>
      <c r="F30" s="106">
        <v>330306</v>
      </c>
    </row>
    <row r="31" spans="1:6">
      <c r="A31" s="82" t="s">
        <v>172</v>
      </c>
      <c r="B31" s="106">
        <v>30673.3</v>
      </c>
      <c r="C31" s="106">
        <v>7801.06</v>
      </c>
      <c r="D31" s="106">
        <v>81788.399999999994</v>
      </c>
      <c r="E31" s="106">
        <v>267031</v>
      </c>
      <c r="F31" s="106">
        <v>273859</v>
      </c>
    </row>
    <row r="32" spans="1:6">
      <c r="A32" s="82" t="s">
        <v>175</v>
      </c>
      <c r="B32" s="106">
        <v>17973.5</v>
      </c>
      <c r="C32" s="106">
        <v>9762.3799999999992</v>
      </c>
      <c r="D32" s="106">
        <v>19271.2</v>
      </c>
      <c r="E32" s="106">
        <v>121419</v>
      </c>
      <c r="F32" s="106">
        <v>162333</v>
      </c>
    </row>
    <row r="33" spans="1:6">
      <c r="A33" s="82" t="s">
        <v>177</v>
      </c>
      <c r="B33" s="106">
        <v>23377</v>
      </c>
      <c r="C33" s="106">
        <v>10635.5</v>
      </c>
      <c r="D33" s="106">
        <v>47101.2</v>
      </c>
      <c r="E33" s="106">
        <v>136050</v>
      </c>
      <c r="F33" s="106">
        <v>231898</v>
      </c>
    </row>
    <row r="34" spans="1:6">
      <c r="A34" s="82" t="s">
        <v>180</v>
      </c>
      <c r="B34" s="106">
        <v>25305.5</v>
      </c>
      <c r="C34" s="106">
        <v>12089.6</v>
      </c>
      <c r="D34" s="106">
        <v>48985.5</v>
      </c>
      <c r="E34" s="106">
        <v>110116</v>
      </c>
      <c r="F34" s="106">
        <v>253998</v>
      </c>
    </row>
    <row r="35" spans="1:6">
      <c r="A35" s="82" t="s">
        <v>183</v>
      </c>
      <c r="B35" s="106">
        <v>22356.6</v>
      </c>
      <c r="C35" s="106">
        <v>9699.7099999999991</v>
      </c>
      <c r="D35" s="106">
        <v>45957.9</v>
      </c>
      <c r="E35" s="106">
        <v>151141</v>
      </c>
      <c r="F35" s="106">
        <v>240653</v>
      </c>
    </row>
    <row r="36" spans="1:6">
      <c r="A36" s="82" t="s">
        <v>211</v>
      </c>
      <c r="B36" s="106">
        <v>121348</v>
      </c>
      <c r="C36" s="106">
        <v>75353.100000000006</v>
      </c>
      <c r="D36" s="106">
        <v>217296</v>
      </c>
      <c r="E36" s="106">
        <v>3655</v>
      </c>
      <c r="F36" s="106">
        <v>808134</v>
      </c>
    </row>
    <row r="37" spans="1:6">
      <c r="A37" s="82" t="s">
        <v>214</v>
      </c>
      <c r="B37" s="106">
        <v>109647</v>
      </c>
      <c r="C37" s="106">
        <v>67845.2</v>
      </c>
      <c r="D37" s="106">
        <v>121153</v>
      </c>
      <c r="E37" s="106">
        <v>2376</v>
      </c>
      <c r="F37" s="106">
        <v>731725</v>
      </c>
    </row>
    <row r="38" spans="1:6">
      <c r="A38" s="82" t="s">
        <v>215</v>
      </c>
      <c r="B38" s="106">
        <v>79980.800000000003</v>
      </c>
      <c r="C38" s="106">
        <v>50851.8</v>
      </c>
      <c r="D38" s="106">
        <v>87196.7</v>
      </c>
      <c r="E38" s="106">
        <v>2708</v>
      </c>
      <c r="F38" s="106">
        <v>542356</v>
      </c>
    </row>
    <row r="39" spans="1:6">
      <c r="A39" s="82" t="s">
        <v>216</v>
      </c>
      <c r="B39" s="106">
        <v>84398.9</v>
      </c>
      <c r="C39" s="106">
        <v>53513.1</v>
      </c>
      <c r="D39" s="106">
        <v>92585.9</v>
      </c>
      <c r="E39" s="106">
        <v>2572</v>
      </c>
      <c r="F39" s="106">
        <v>550293</v>
      </c>
    </row>
    <row r="40" spans="1:6">
      <c r="A40" s="82" t="s">
        <v>217</v>
      </c>
      <c r="B40" s="106">
        <v>79079.7</v>
      </c>
      <c r="C40" s="106">
        <v>50591.7</v>
      </c>
      <c r="D40" s="106">
        <v>86341.6</v>
      </c>
      <c r="E40" s="106">
        <v>2654</v>
      </c>
      <c r="F40" s="106">
        <v>533842</v>
      </c>
    </row>
    <row r="41" spans="1:6">
      <c r="A41" s="82" t="s">
        <v>199</v>
      </c>
      <c r="B41" s="106">
        <v>66993.2</v>
      </c>
      <c r="C41" s="106">
        <v>36658.5</v>
      </c>
      <c r="D41" s="106">
        <v>129559</v>
      </c>
      <c r="E41" s="106">
        <v>7277</v>
      </c>
      <c r="F41" s="106">
        <v>353336</v>
      </c>
    </row>
    <row r="42" spans="1:6">
      <c r="A42" s="82" t="s">
        <v>202</v>
      </c>
      <c r="B42" s="106">
        <v>35515.9</v>
      </c>
      <c r="C42" s="106">
        <v>23825.3</v>
      </c>
      <c r="D42" s="106">
        <v>38485.1</v>
      </c>
      <c r="E42" s="106">
        <v>868</v>
      </c>
      <c r="F42" s="106">
        <v>196048</v>
      </c>
    </row>
    <row r="43" spans="1:6">
      <c r="A43" s="82" t="s">
        <v>204</v>
      </c>
      <c r="B43" s="106">
        <v>55423.7</v>
      </c>
      <c r="C43" s="106">
        <v>28086.3</v>
      </c>
      <c r="D43" s="106">
        <v>118811</v>
      </c>
      <c r="E43" s="106">
        <v>22159</v>
      </c>
      <c r="F43" s="106">
        <v>293367</v>
      </c>
    </row>
    <row r="44" spans="1:6">
      <c r="A44" s="82" t="s">
        <v>206</v>
      </c>
      <c r="B44" s="106">
        <v>56799.6</v>
      </c>
      <c r="C44" s="106">
        <v>29185.9</v>
      </c>
      <c r="D44" s="106">
        <v>119701</v>
      </c>
      <c r="E44" s="106">
        <v>18681</v>
      </c>
      <c r="F44" s="106">
        <v>295004</v>
      </c>
    </row>
    <row r="45" spans="1:6">
      <c r="A45" s="82" t="s">
        <v>208</v>
      </c>
      <c r="B45" s="106">
        <v>57074.6</v>
      </c>
      <c r="C45" s="106">
        <v>29309.1</v>
      </c>
      <c r="D45" s="106">
        <v>120331</v>
      </c>
      <c r="E45" s="106">
        <v>19155</v>
      </c>
      <c r="F45" s="106">
        <v>301061</v>
      </c>
    </row>
    <row r="46" spans="1:6">
      <c r="A46" s="82" t="s">
        <v>160</v>
      </c>
      <c r="B46" s="106">
        <v>1689730</v>
      </c>
      <c r="C46" s="106">
        <v>1201620</v>
      </c>
      <c r="D46" s="106">
        <v>1845800</v>
      </c>
      <c r="E46" s="106">
        <v>643</v>
      </c>
      <c r="F46" s="106">
        <v>145765</v>
      </c>
    </row>
    <row r="47" spans="1:6">
      <c r="A47" s="82" t="s">
        <v>163</v>
      </c>
      <c r="B47" s="106">
        <v>1459600</v>
      </c>
      <c r="C47" s="106">
        <v>898040</v>
      </c>
      <c r="D47" s="106">
        <v>1618840</v>
      </c>
      <c r="E47" s="106">
        <v>2592</v>
      </c>
      <c r="F47" s="106">
        <v>142274</v>
      </c>
    </row>
    <row r="48" spans="1:6">
      <c r="A48" s="82" t="s">
        <v>164</v>
      </c>
      <c r="B48" s="106">
        <v>975574</v>
      </c>
      <c r="C48" s="106">
        <v>621943</v>
      </c>
      <c r="D48" s="106">
        <v>1072130</v>
      </c>
      <c r="E48" s="106">
        <v>2376</v>
      </c>
      <c r="F48" s="106">
        <v>89342</v>
      </c>
    </row>
    <row r="49" spans="1:6">
      <c r="A49" s="82" t="s">
        <v>165</v>
      </c>
      <c r="B49" s="106">
        <v>1023200</v>
      </c>
      <c r="C49" s="106">
        <v>655151</v>
      </c>
      <c r="D49" s="106">
        <v>1122520</v>
      </c>
      <c r="E49" s="106">
        <v>2366</v>
      </c>
      <c r="F49" s="106">
        <v>93792</v>
      </c>
    </row>
    <row r="50" spans="1:6">
      <c r="A50" s="82" t="s">
        <v>166</v>
      </c>
      <c r="B50" s="106">
        <v>1097460</v>
      </c>
      <c r="C50" s="106">
        <v>694469</v>
      </c>
      <c r="D50" s="106">
        <v>1214510</v>
      </c>
      <c r="E50" s="106">
        <v>2429</v>
      </c>
      <c r="F50" s="106">
        <v>107580</v>
      </c>
    </row>
    <row r="51" spans="1:6">
      <c r="A51" s="82" t="s">
        <v>225</v>
      </c>
      <c r="B51" s="106">
        <v>24046.400000000001</v>
      </c>
      <c r="C51" s="106">
        <v>6669.09</v>
      </c>
      <c r="D51" s="106">
        <v>43334.3</v>
      </c>
      <c r="E51" s="106">
        <v>492902</v>
      </c>
      <c r="F51" s="106">
        <v>443295</v>
      </c>
    </row>
    <row r="52" spans="1:6">
      <c r="A52" s="82" t="s">
        <v>227</v>
      </c>
      <c r="B52" s="106">
        <v>107649</v>
      </c>
      <c r="C52" s="106">
        <v>53856.6</v>
      </c>
      <c r="D52" s="106">
        <v>121825</v>
      </c>
      <c r="E52" s="106">
        <v>24317</v>
      </c>
      <c r="F52" s="106">
        <v>97123</v>
      </c>
    </row>
    <row r="53" spans="1:6">
      <c r="A53" s="82" t="s">
        <v>228</v>
      </c>
      <c r="B53" s="106">
        <v>12432.4</v>
      </c>
      <c r="C53" s="106">
        <v>6086.55</v>
      </c>
      <c r="D53" s="106">
        <v>13966.7</v>
      </c>
      <c r="E53" s="106">
        <v>208592</v>
      </c>
      <c r="F53" s="106">
        <v>58729</v>
      </c>
    </row>
    <row r="54" spans="1:6">
      <c r="A54" s="82" t="s">
        <v>230</v>
      </c>
      <c r="B54" s="106">
        <v>12011.8</v>
      </c>
      <c r="C54" s="106">
        <v>5734.24</v>
      </c>
      <c r="D54" s="106">
        <v>13555.2</v>
      </c>
      <c r="E54" s="106">
        <v>232009</v>
      </c>
      <c r="F54" s="106">
        <v>58156</v>
      </c>
    </row>
    <row r="55" spans="1:6">
      <c r="A55" s="82" t="s">
        <v>232</v>
      </c>
      <c r="B55" s="106">
        <v>12393.9</v>
      </c>
      <c r="C55" s="106">
        <v>6067.96</v>
      </c>
      <c r="D55" s="106">
        <v>13919.7</v>
      </c>
      <c r="E55" s="106">
        <v>209925</v>
      </c>
      <c r="F55" s="106">
        <v>57484</v>
      </c>
    </row>
    <row r="56" spans="1:6">
      <c r="A56" s="82" t="s">
        <v>257</v>
      </c>
      <c r="B56" s="106">
        <v>894089</v>
      </c>
      <c r="C56" s="106">
        <v>150278</v>
      </c>
      <c r="D56" s="106">
        <v>1012130</v>
      </c>
      <c r="E56" s="106">
        <v>133862</v>
      </c>
      <c r="F56" s="106">
        <v>1320015</v>
      </c>
    </row>
    <row r="57" spans="1:6">
      <c r="A57" s="82" t="s">
        <v>259</v>
      </c>
      <c r="B57" s="106">
        <v>306435</v>
      </c>
      <c r="C57" s="106">
        <v>73147.600000000006</v>
      </c>
      <c r="D57" s="106">
        <v>1161410</v>
      </c>
      <c r="E57" s="106">
        <v>340281</v>
      </c>
      <c r="F57" s="106">
        <v>355857</v>
      </c>
    </row>
    <row r="58" spans="1:6">
      <c r="A58" s="82" t="s">
        <v>260</v>
      </c>
      <c r="B58" s="106">
        <v>1014100</v>
      </c>
      <c r="C58" s="106">
        <v>348791</v>
      </c>
      <c r="D58" s="106">
        <v>1130470</v>
      </c>
      <c r="E58" s="106">
        <v>61020</v>
      </c>
      <c r="F58" s="106">
        <v>1589995</v>
      </c>
    </row>
    <row r="59" spans="1:6">
      <c r="A59" s="82" t="s">
        <v>261</v>
      </c>
      <c r="B59" s="106">
        <v>1025160</v>
      </c>
      <c r="C59" s="106">
        <v>353327</v>
      </c>
      <c r="D59" s="106">
        <v>1141510</v>
      </c>
      <c r="E59" s="106">
        <v>59374</v>
      </c>
      <c r="F59" s="106">
        <v>1600074</v>
      </c>
    </row>
    <row r="60" spans="1:6">
      <c r="A60" s="82" t="s">
        <v>262</v>
      </c>
      <c r="B60" s="106">
        <v>1046340</v>
      </c>
      <c r="C60" s="106">
        <v>366621</v>
      </c>
      <c r="D60" s="106">
        <v>1162880</v>
      </c>
      <c r="E60" s="106">
        <v>56845</v>
      </c>
      <c r="F60" s="106">
        <v>1616334</v>
      </c>
    </row>
    <row r="61" spans="1:6">
      <c r="A61" s="82" t="s">
        <v>235</v>
      </c>
      <c r="B61" s="106">
        <v>772213</v>
      </c>
      <c r="C61" s="106">
        <v>129048</v>
      </c>
      <c r="D61" s="106">
        <v>875126</v>
      </c>
      <c r="E61" s="106">
        <v>138308</v>
      </c>
      <c r="F61" s="106">
        <v>1244580</v>
      </c>
    </row>
    <row r="62" spans="1:6">
      <c r="A62" s="82" t="s">
        <v>237</v>
      </c>
      <c r="B62" s="106">
        <v>254718</v>
      </c>
      <c r="C62" s="106">
        <v>60618.9</v>
      </c>
      <c r="D62" s="106">
        <v>960925</v>
      </c>
      <c r="E62" s="106">
        <v>348214</v>
      </c>
      <c r="F62" s="106">
        <v>325634</v>
      </c>
    </row>
    <row r="63" spans="1:6">
      <c r="A63" s="82" t="s">
        <v>239</v>
      </c>
      <c r="B63" s="106">
        <v>896815</v>
      </c>
      <c r="C63" s="106">
        <v>315156</v>
      </c>
      <c r="D63" s="106">
        <v>997239</v>
      </c>
      <c r="E63" s="106">
        <v>57534</v>
      </c>
      <c r="F63" s="106">
        <v>1576454</v>
      </c>
    </row>
    <row r="64" spans="1:6">
      <c r="A64" s="82" t="s">
        <v>241</v>
      </c>
      <c r="B64" s="106">
        <v>891392</v>
      </c>
      <c r="C64" s="106">
        <v>309429</v>
      </c>
      <c r="D64" s="106">
        <v>992289</v>
      </c>
      <c r="E64" s="106">
        <v>58113</v>
      </c>
      <c r="F64" s="106">
        <v>1571534</v>
      </c>
    </row>
    <row r="65" spans="1:6">
      <c r="A65" s="82" t="s">
        <v>243</v>
      </c>
      <c r="B65" s="106">
        <v>898407</v>
      </c>
      <c r="C65" s="106">
        <v>313734</v>
      </c>
      <c r="D65" s="106">
        <v>999550</v>
      </c>
      <c r="E65" s="106">
        <v>57020</v>
      </c>
      <c r="F65" s="106">
        <v>1576325</v>
      </c>
    </row>
    <row r="66" spans="1:6">
      <c r="A66" s="82" t="s">
        <v>246</v>
      </c>
      <c r="B66" s="106">
        <v>857108</v>
      </c>
      <c r="C66" s="106">
        <v>143553</v>
      </c>
      <c r="D66" s="106">
        <v>979461</v>
      </c>
      <c r="E66" s="106">
        <v>139457</v>
      </c>
      <c r="F66" s="106">
        <v>1231289</v>
      </c>
    </row>
    <row r="67" spans="1:6">
      <c r="A67" s="82" t="s">
        <v>247</v>
      </c>
      <c r="B67" s="106">
        <v>303133</v>
      </c>
      <c r="C67" s="106">
        <v>72359.7</v>
      </c>
      <c r="D67" s="106">
        <v>1150100</v>
      </c>
      <c r="E67" s="106">
        <v>342265</v>
      </c>
      <c r="F67" s="106">
        <v>355196</v>
      </c>
    </row>
    <row r="68" spans="1:6">
      <c r="A68" s="82" t="s">
        <v>248</v>
      </c>
      <c r="B68" s="106">
        <v>983547</v>
      </c>
      <c r="C68" s="106">
        <v>386692</v>
      </c>
      <c r="D68" s="106">
        <v>1102170</v>
      </c>
      <c r="E68" s="106">
        <v>61031</v>
      </c>
      <c r="F68" s="106">
        <v>1523319</v>
      </c>
    </row>
    <row r="69" spans="1:6">
      <c r="A69" s="82" t="s">
        <v>249</v>
      </c>
      <c r="B69" s="106">
        <v>996174</v>
      </c>
      <c r="C69" s="106">
        <v>397104</v>
      </c>
      <c r="D69" s="106">
        <v>1114810</v>
      </c>
      <c r="E69" s="106">
        <v>58985</v>
      </c>
      <c r="F69" s="106">
        <v>1536707</v>
      </c>
    </row>
    <row r="70" spans="1:6">
      <c r="A70" s="82" t="s">
        <v>250</v>
      </c>
      <c r="B70" s="106">
        <v>1002600</v>
      </c>
      <c r="C70" s="106">
        <v>401173</v>
      </c>
      <c r="D70" s="106">
        <v>1121870</v>
      </c>
      <c r="E70" s="106">
        <v>58047</v>
      </c>
      <c r="F70" s="106">
        <v>1534104</v>
      </c>
    </row>
    <row r="71" spans="1:6">
      <c r="A71" s="82" t="s">
        <v>252</v>
      </c>
      <c r="B71" s="106">
        <v>622090</v>
      </c>
      <c r="C71" s="106">
        <v>104463</v>
      </c>
      <c r="D71" s="106">
        <v>703607</v>
      </c>
      <c r="E71" s="106">
        <v>46346</v>
      </c>
      <c r="F71" s="106">
        <v>926571</v>
      </c>
    </row>
    <row r="72" spans="1:6">
      <c r="A72" s="82" t="s">
        <v>253</v>
      </c>
      <c r="B72" s="106">
        <v>329392</v>
      </c>
      <c r="C72" s="106">
        <v>165057</v>
      </c>
      <c r="D72" s="106">
        <v>375709</v>
      </c>
      <c r="E72" s="106">
        <v>24041</v>
      </c>
      <c r="F72" s="106">
        <v>448756</v>
      </c>
    </row>
    <row r="73" spans="1:6">
      <c r="A73" s="82" t="s">
        <v>254</v>
      </c>
      <c r="B73" s="106">
        <v>665813</v>
      </c>
      <c r="C73" s="106">
        <v>274857</v>
      </c>
      <c r="D73" s="106">
        <v>746525</v>
      </c>
      <c r="E73" s="106">
        <v>25193</v>
      </c>
      <c r="F73" s="106">
        <v>1140808</v>
      </c>
    </row>
    <row r="74" spans="1:6">
      <c r="A74" s="82" t="s">
        <v>255</v>
      </c>
      <c r="B74" s="106">
        <v>678571</v>
      </c>
      <c r="C74" s="106">
        <v>281071</v>
      </c>
      <c r="D74" s="106">
        <v>759394</v>
      </c>
      <c r="E74" s="106">
        <v>24255</v>
      </c>
      <c r="F74" s="106">
        <v>1152903</v>
      </c>
    </row>
    <row r="75" spans="1:6">
      <c r="A75" s="82" t="s">
        <v>256</v>
      </c>
      <c r="B75" s="106">
        <v>687721</v>
      </c>
      <c r="C75" s="106">
        <v>286877</v>
      </c>
      <c r="D75" s="106">
        <v>768033</v>
      </c>
      <c r="E75" s="106">
        <v>23699</v>
      </c>
      <c r="F75" s="106">
        <v>1161035</v>
      </c>
    </row>
    <row r="76" spans="1:6">
      <c r="A76" s="82" t="s">
        <v>263</v>
      </c>
      <c r="B76" s="106">
        <v>918065</v>
      </c>
      <c r="C76" s="106">
        <v>156563</v>
      </c>
      <c r="D76" s="106">
        <v>1045580</v>
      </c>
      <c r="E76" s="106">
        <v>134145</v>
      </c>
      <c r="F76" s="106">
        <v>1253277</v>
      </c>
    </row>
    <row r="77" spans="1:6">
      <c r="A77" s="82" t="s">
        <v>265</v>
      </c>
      <c r="B77" s="106">
        <v>324963</v>
      </c>
      <c r="C77" s="106">
        <v>77546.399999999994</v>
      </c>
      <c r="D77" s="106">
        <v>1232260</v>
      </c>
      <c r="E77" s="106">
        <v>341154</v>
      </c>
      <c r="F77" s="106">
        <v>355577</v>
      </c>
    </row>
    <row r="78" spans="1:6">
      <c r="A78" s="82" t="s">
        <v>266</v>
      </c>
      <c r="B78" s="106">
        <v>937870</v>
      </c>
      <c r="C78" s="106">
        <v>352421</v>
      </c>
      <c r="D78" s="106">
        <v>1057220</v>
      </c>
      <c r="E78" s="106">
        <v>65469</v>
      </c>
      <c r="F78" s="106">
        <v>1209792</v>
      </c>
    </row>
    <row r="79" spans="1:6">
      <c r="A79" s="82" t="s">
        <v>267</v>
      </c>
      <c r="B79" s="106">
        <v>945609</v>
      </c>
      <c r="C79" s="106">
        <v>359632</v>
      </c>
      <c r="D79" s="106">
        <v>1064810</v>
      </c>
      <c r="E79" s="106">
        <v>63679</v>
      </c>
      <c r="F79" s="106">
        <v>1215699</v>
      </c>
    </row>
    <row r="80" spans="1:6">
      <c r="A80" s="82" t="s">
        <v>268</v>
      </c>
      <c r="B80" s="106">
        <v>944516</v>
      </c>
      <c r="C80" s="106">
        <v>360014</v>
      </c>
      <c r="D80" s="106">
        <v>1064100</v>
      </c>
      <c r="E80" s="106">
        <v>63396</v>
      </c>
      <c r="F80" s="106">
        <v>1214210</v>
      </c>
    </row>
    <row r="81" spans="1:6">
      <c r="A81" s="82" t="s">
        <v>8</v>
      </c>
      <c r="B81" s="106">
        <v>625792</v>
      </c>
      <c r="C81" s="106">
        <v>317768</v>
      </c>
      <c r="D81" s="106">
        <v>1403810</v>
      </c>
      <c r="E81" s="106">
        <v>11427</v>
      </c>
      <c r="F81" s="106">
        <v>633996</v>
      </c>
    </row>
    <row r="82" spans="1:6">
      <c r="A82" s="82" t="s">
        <v>10</v>
      </c>
      <c r="B82" s="106">
        <v>436210</v>
      </c>
      <c r="C82" s="106">
        <v>216746</v>
      </c>
      <c r="D82" s="106">
        <v>495390</v>
      </c>
      <c r="E82" s="106">
        <v>24530</v>
      </c>
      <c r="F82" s="106">
        <v>445359</v>
      </c>
    </row>
    <row r="83" spans="1:6">
      <c r="A83" s="82" t="s">
        <v>13</v>
      </c>
      <c r="B83" s="106">
        <v>491119</v>
      </c>
      <c r="C83" s="106">
        <v>231253</v>
      </c>
      <c r="D83" s="106">
        <v>1269020</v>
      </c>
      <c r="E83" s="106">
        <v>35007</v>
      </c>
      <c r="F83" s="106">
        <v>485770</v>
      </c>
    </row>
    <row r="84" spans="1:6">
      <c r="A84" s="82" t="s">
        <v>15</v>
      </c>
      <c r="B84" s="106">
        <v>492201</v>
      </c>
      <c r="C84" s="106">
        <v>231870</v>
      </c>
      <c r="D84" s="106">
        <v>1273180</v>
      </c>
      <c r="E84" s="106">
        <v>35359</v>
      </c>
      <c r="F84" s="106">
        <v>498887</v>
      </c>
    </row>
    <row r="85" spans="1:6">
      <c r="A85" s="82" t="s">
        <v>17</v>
      </c>
      <c r="B85" s="106">
        <v>480519</v>
      </c>
      <c r="C85" s="106">
        <v>223454</v>
      </c>
      <c r="D85" s="106">
        <v>1262150</v>
      </c>
      <c r="E85" s="106">
        <v>38538</v>
      </c>
      <c r="F85" s="106">
        <v>486980</v>
      </c>
    </row>
    <row r="86" spans="1:6">
      <c r="A86" s="82" t="s">
        <v>270</v>
      </c>
      <c r="B86" s="106">
        <v>6024.47</v>
      </c>
      <c r="C86" s="106">
        <v>1555.92</v>
      </c>
      <c r="D86" s="106">
        <v>6703.29</v>
      </c>
      <c r="E86" s="106">
        <v>95264</v>
      </c>
      <c r="F86" s="106">
        <v>757600</v>
      </c>
    </row>
    <row r="87" spans="1:6">
      <c r="A87" s="82" t="s">
        <v>272</v>
      </c>
      <c r="B87" s="106">
        <v>365247</v>
      </c>
      <c r="C87" s="106">
        <v>181480</v>
      </c>
      <c r="D87" s="106">
        <v>415008</v>
      </c>
      <c r="E87" s="106">
        <v>24474</v>
      </c>
      <c r="F87" s="106">
        <v>384257</v>
      </c>
    </row>
    <row r="88" spans="1:6">
      <c r="A88" s="82" t="s">
        <v>273</v>
      </c>
      <c r="B88" s="106">
        <v>6167.52</v>
      </c>
      <c r="C88" s="106">
        <v>3502.75</v>
      </c>
      <c r="D88" s="106">
        <v>6772.52</v>
      </c>
      <c r="E88" s="106">
        <v>16507</v>
      </c>
      <c r="F88" s="106">
        <v>724630</v>
      </c>
    </row>
    <row r="89" spans="1:6">
      <c r="A89" s="82" t="s">
        <v>275</v>
      </c>
      <c r="B89" s="106">
        <v>6495.51</v>
      </c>
      <c r="C89" s="106">
        <v>3792.97</v>
      </c>
      <c r="D89" s="106">
        <v>7104.28</v>
      </c>
      <c r="E89" s="106">
        <v>12523</v>
      </c>
      <c r="F89" s="106">
        <v>763457</v>
      </c>
    </row>
    <row r="90" spans="1:6">
      <c r="A90" s="82" t="s">
        <v>277</v>
      </c>
      <c r="B90" s="106">
        <v>6312.82</v>
      </c>
      <c r="C90" s="106">
        <v>3653.53</v>
      </c>
      <c r="D90" s="106">
        <v>6915.96</v>
      </c>
      <c r="E90" s="106">
        <v>14335</v>
      </c>
      <c r="F90" s="106">
        <v>738632</v>
      </c>
    </row>
    <row r="91" spans="1:6">
      <c r="A91" s="82" t="s">
        <v>280</v>
      </c>
      <c r="B91" s="106">
        <v>4571.6099999999997</v>
      </c>
      <c r="C91" s="106">
        <v>1058.78</v>
      </c>
      <c r="D91" s="106">
        <v>4870.3599999999997</v>
      </c>
      <c r="E91" s="106">
        <v>88303</v>
      </c>
      <c r="F91" s="106">
        <v>745819</v>
      </c>
    </row>
    <row r="92" spans="1:6">
      <c r="A92" s="82" t="s">
        <v>281</v>
      </c>
      <c r="B92" s="106">
        <v>400351</v>
      </c>
      <c r="C92" s="106">
        <v>198753</v>
      </c>
      <c r="D92" s="106">
        <v>454855</v>
      </c>
      <c r="E92" s="106">
        <v>24526</v>
      </c>
      <c r="F92" s="106">
        <v>424436</v>
      </c>
    </row>
    <row r="93" spans="1:6">
      <c r="A93" s="82" t="s">
        <v>282</v>
      </c>
      <c r="B93" s="106">
        <v>6060.71</v>
      </c>
      <c r="C93" s="106">
        <v>3408.26</v>
      </c>
      <c r="D93" s="106">
        <v>6473.51</v>
      </c>
      <c r="E93" s="106">
        <v>5619</v>
      </c>
      <c r="F93" s="106">
        <v>903327</v>
      </c>
    </row>
    <row r="94" spans="1:6">
      <c r="A94" s="82" t="s">
        <v>283</v>
      </c>
      <c r="B94" s="106">
        <v>5870.92</v>
      </c>
      <c r="C94" s="106">
        <v>3285.55</v>
      </c>
      <c r="D94" s="106">
        <v>6272.66</v>
      </c>
      <c r="E94" s="106">
        <v>5776</v>
      </c>
      <c r="F94" s="106">
        <v>878537</v>
      </c>
    </row>
    <row r="95" spans="1:6">
      <c r="A95" s="82" t="s">
        <v>284</v>
      </c>
      <c r="B95" s="106">
        <v>6112.95</v>
      </c>
      <c r="C95" s="106">
        <v>3442.31</v>
      </c>
      <c r="D95" s="106">
        <v>6523.64</v>
      </c>
      <c r="E95" s="106">
        <v>5106</v>
      </c>
      <c r="F95" s="106">
        <v>922958</v>
      </c>
    </row>
    <row r="96" spans="1:6">
      <c r="A96" s="82" t="s">
        <v>286</v>
      </c>
      <c r="B96" s="106">
        <v>2016.79</v>
      </c>
      <c r="C96" s="106">
        <v>458.43900000000002</v>
      </c>
      <c r="D96" s="106">
        <v>2351.63</v>
      </c>
      <c r="E96" s="106">
        <v>98590</v>
      </c>
      <c r="F96" s="106">
        <v>745819</v>
      </c>
    </row>
    <row r="97" spans="1:6">
      <c r="A97" s="82" t="s">
        <v>287</v>
      </c>
      <c r="B97" s="106">
        <v>386284</v>
      </c>
      <c r="C97" s="106">
        <v>191857</v>
      </c>
      <c r="D97" s="106">
        <v>438699</v>
      </c>
      <c r="E97" s="106">
        <v>24522</v>
      </c>
      <c r="F97" s="106">
        <v>411861</v>
      </c>
    </row>
    <row r="98" spans="1:6">
      <c r="A98" s="82" t="s">
        <v>288</v>
      </c>
      <c r="B98" s="106">
        <v>2215.8000000000002</v>
      </c>
      <c r="C98" s="106">
        <v>1181.56</v>
      </c>
      <c r="D98" s="106">
        <v>2528.4</v>
      </c>
      <c r="E98" s="106">
        <v>13225</v>
      </c>
      <c r="F98" s="106">
        <v>728444</v>
      </c>
    </row>
    <row r="99" spans="1:6">
      <c r="A99" s="82" t="s">
        <v>289</v>
      </c>
      <c r="B99" s="106">
        <v>2205.69</v>
      </c>
      <c r="C99" s="106">
        <v>1178.33</v>
      </c>
      <c r="D99" s="106">
        <v>2515.1</v>
      </c>
      <c r="E99" s="106">
        <v>12372</v>
      </c>
      <c r="F99" s="106">
        <v>727022</v>
      </c>
    </row>
    <row r="100" spans="1:6">
      <c r="A100" s="82" t="s">
        <v>290</v>
      </c>
      <c r="B100" s="106">
        <v>2205.85</v>
      </c>
      <c r="C100" s="106">
        <v>1174.3699999999999</v>
      </c>
      <c r="D100" s="106">
        <v>2517.83</v>
      </c>
      <c r="E100" s="106">
        <v>12561</v>
      </c>
      <c r="F100" s="106">
        <v>731292</v>
      </c>
    </row>
    <row r="101" spans="1:6">
      <c r="A101" s="82" t="s">
        <v>292</v>
      </c>
      <c r="B101" s="106">
        <v>58499.8</v>
      </c>
      <c r="C101" s="106">
        <v>24238.799999999999</v>
      </c>
      <c r="D101" s="106">
        <v>169889</v>
      </c>
      <c r="E101" s="106">
        <v>95547</v>
      </c>
      <c r="F101" s="106">
        <v>300842</v>
      </c>
    </row>
    <row r="102" spans="1:6">
      <c r="A102" s="82" t="s">
        <v>295</v>
      </c>
      <c r="B102" s="106">
        <v>341628</v>
      </c>
      <c r="C102" s="106">
        <v>169016</v>
      </c>
      <c r="D102" s="106">
        <v>387496</v>
      </c>
      <c r="E102" s="106">
        <v>24534</v>
      </c>
      <c r="F102" s="106">
        <v>318847</v>
      </c>
    </row>
    <row r="103" spans="1:6">
      <c r="A103" s="82" t="s">
        <v>297</v>
      </c>
      <c r="B103" s="106">
        <v>56013.4</v>
      </c>
      <c r="C103" s="106">
        <v>22224.799999999999</v>
      </c>
      <c r="D103" s="106">
        <v>168159</v>
      </c>
      <c r="E103" s="106">
        <v>126284</v>
      </c>
      <c r="F103" s="106">
        <v>288430</v>
      </c>
    </row>
    <row r="104" spans="1:6">
      <c r="A104" s="82" t="s">
        <v>299</v>
      </c>
      <c r="B104" s="106">
        <v>53798.8</v>
      </c>
      <c r="C104" s="106">
        <v>20620.8</v>
      </c>
      <c r="D104" s="106">
        <v>166085</v>
      </c>
      <c r="E104" s="106">
        <v>153495</v>
      </c>
      <c r="F104" s="106">
        <v>283883</v>
      </c>
    </row>
    <row r="105" spans="1:6">
      <c r="A105" s="82" t="s">
        <v>301</v>
      </c>
      <c r="B105" s="106">
        <v>53377.599999999999</v>
      </c>
      <c r="C105" s="106">
        <v>20397.2</v>
      </c>
      <c r="D105" s="106">
        <v>165349</v>
      </c>
      <c r="E105" s="106">
        <v>155391</v>
      </c>
      <c r="F105" s="106">
        <v>278315</v>
      </c>
    </row>
    <row r="106" spans="1:6">
      <c r="A106" s="82" t="s">
        <v>343</v>
      </c>
      <c r="B106" s="106">
        <v>79506.8</v>
      </c>
      <c r="C106" s="106">
        <v>8786.69</v>
      </c>
      <c r="D106" s="106">
        <v>96873.600000000006</v>
      </c>
      <c r="E106" s="106">
        <v>612059</v>
      </c>
      <c r="F106" s="106">
        <v>621056</v>
      </c>
    </row>
    <row r="107" spans="1:6">
      <c r="A107" s="82" t="s">
        <v>344</v>
      </c>
      <c r="B107" s="106">
        <v>78197.399999999994</v>
      </c>
      <c r="C107" s="106">
        <v>4212.88</v>
      </c>
      <c r="D107" s="106">
        <v>96381.3</v>
      </c>
      <c r="E107" s="106">
        <v>703071</v>
      </c>
      <c r="F107" s="106">
        <v>613026</v>
      </c>
    </row>
    <row r="108" spans="1:6">
      <c r="A108" s="82" t="s">
        <v>345</v>
      </c>
      <c r="B108" s="106">
        <v>50352.4</v>
      </c>
      <c r="C108" s="106">
        <v>24952.400000000001</v>
      </c>
      <c r="D108" s="106">
        <v>57923.3</v>
      </c>
      <c r="E108" s="106">
        <v>113722</v>
      </c>
      <c r="F108" s="106">
        <v>355446</v>
      </c>
    </row>
    <row r="109" spans="1:6">
      <c r="A109" s="82" t="s">
        <v>346</v>
      </c>
      <c r="B109" s="106">
        <v>48465.599999999999</v>
      </c>
      <c r="C109" s="106">
        <v>23533.9</v>
      </c>
      <c r="D109" s="106">
        <v>56242.1</v>
      </c>
      <c r="E109" s="106">
        <v>131654</v>
      </c>
      <c r="F109" s="106">
        <v>348046</v>
      </c>
    </row>
    <row r="110" spans="1:6">
      <c r="A110" s="82" t="s">
        <v>347</v>
      </c>
      <c r="B110" s="106">
        <v>45553.599999999999</v>
      </c>
      <c r="C110" s="106">
        <v>21391.5</v>
      </c>
      <c r="D110" s="106">
        <v>53374.7</v>
      </c>
      <c r="E110" s="106">
        <v>162588</v>
      </c>
      <c r="F110" s="106">
        <v>337964</v>
      </c>
    </row>
    <row r="111" spans="1:6">
      <c r="A111" s="82" t="s">
        <v>304</v>
      </c>
      <c r="B111" s="106">
        <v>57067</v>
      </c>
      <c r="C111" s="106">
        <v>33534.300000000003</v>
      </c>
      <c r="D111" s="106">
        <v>61529.1</v>
      </c>
      <c r="E111" s="106">
        <v>20492</v>
      </c>
      <c r="F111" s="106">
        <v>230981</v>
      </c>
    </row>
    <row r="112" spans="1:6">
      <c r="A112" s="82" t="s">
        <v>307</v>
      </c>
      <c r="B112" s="106">
        <v>46418</v>
      </c>
      <c r="C112" s="106">
        <v>28345.599999999999</v>
      </c>
      <c r="D112" s="106">
        <v>51580.2</v>
      </c>
      <c r="E112" s="106">
        <v>2754</v>
      </c>
      <c r="F112" s="106">
        <v>212374</v>
      </c>
    </row>
    <row r="113" spans="1:6">
      <c r="A113" s="82" t="s">
        <v>309</v>
      </c>
      <c r="B113" s="106">
        <v>41334.6</v>
      </c>
      <c r="C113" s="106">
        <v>23109.200000000001</v>
      </c>
      <c r="D113" s="106">
        <v>44429.4</v>
      </c>
      <c r="E113" s="106">
        <v>139266</v>
      </c>
      <c r="F113" s="106">
        <v>173470</v>
      </c>
    </row>
    <row r="114" spans="1:6">
      <c r="A114" s="82" t="s">
        <v>312</v>
      </c>
      <c r="B114" s="106">
        <v>43927.3</v>
      </c>
      <c r="C114" s="106">
        <v>24879.200000000001</v>
      </c>
      <c r="D114" s="106">
        <v>47318.400000000001</v>
      </c>
      <c r="E114" s="106">
        <v>107623</v>
      </c>
      <c r="F114" s="106">
        <v>162857</v>
      </c>
    </row>
    <row r="115" spans="1:6">
      <c r="A115" s="82" t="s">
        <v>315</v>
      </c>
      <c r="B115" s="106">
        <v>47063.7</v>
      </c>
      <c r="C115" s="106">
        <v>26885.200000000001</v>
      </c>
      <c r="D115" s="106">
        <v>50697.2</v>
      </c>
      <c r="E115" s="106">
        <v>79256</v>
      </c>
      <c r="F115" s="106">
        <v>179045</v>
      </c>
    </row>
    <row r="116" spans="1:6">
      <c r="A116" s="82" t="s">
        <v>333</v>
      </c>
      <c r="B116" s="106">
        <v>97875.199999999997</v>
      </c>
      <c r="C116" s="106">
        <v>58664.6</v>
      </c>
      <c r="D116" s="106">
        <v>117958</v>
      </c>
      <c r="E116" s="106">
        <v>12472</v>
      </c>
      <c r="F116" s="106">
        <v>2118238</v>
      </c>
    </row>
    <row r="117" spans="1:6">
      <c r="A117" s="82" t="s">
        <v>335</v>
      </c>
      <c r="B117" s="106">
        <v>703707</v>
      </c>
      <c r="C117" s="106">
        <v>349155</v>
      </c>
      <c r="D117" s="106">
        <v>797780</v>
      </c>
      <c r="E117" s="106">
        <v>24628</v>
      </c>
      <c r="F117" s="106">
        <v>657396</v>
      </c>
    </row>
    <row r="118" spans="1:6">
      <c r="A118" s="82" t="s">
        <v>336</v>
      </c>
      <c r="B118" s="106">
        <v>86915.3</v>
      </c>
      <c r="C118" s="106">
        <v>50422.400000000001</v>
      </c>
      <c r="D118" s="106">
        <v>107019</v>
      </c>
      <c r="E118" s="106">
        <v>21327</v>
      </c>
      <c r="F118" s="106">
        <v>1832961</v>
      </c>
    </row>
    <row r="119" spans="1:6">
      <c r="A119" s="82" t="s">
        <v>337</v>
      </c>
      <c r="B119" s="106">
        <v>80586</v>
      </c>
      <c r="C119" s="106">
        <v>45324.2</v>
      </c>
      <c r="D119" s="106">
        <v>100672</v>
      </c>
      <c r="E119" s="106">
        <v>30559</v>
      </c>
      <c r="F119" s="106">
        <v>1770102</v>
      </c>
    </row>
    <row r="120" spans="1:6">
      <c r="A120" s="82" t="s">
        <v>338</v>
      </c>
      <c r="B120" s="106">
        <v>71370</v>
      </c>
      <c r="C120" s="106">
        <v>38278.699999999997</v>
      </c>
      <c r="D120" s="106">
        <v>91482.7</v>
      </c>
      <c r="E120" s="106">
        <v>50822</v>
      </c>
      <c r="F120" s="106">
        <v>1630775</v>
      </c>
    </row>
    <row r="121" spans="1:6">
      <c r="A121" s="82" t="s">
        <v>51</v>
      </c>
      <c r="B121" s="106">
        <v>229062</v>
      </c>
      <c r="C121" s="106">
        <v>118162</v>
      </c>
      <c r="D121" s="106">
        <v>252929</v>
      </c>
      <c r="E121" s="106">
        <v>7258</v>
      </c>
      <c r="F121" s="106">
        <v>222914</v>
      </c>
    </row>
    <row r="122" spans="1:6">
      <c r="A122" s="82" t="s">
        <v>54</v>
      </c>
      <c r="B122" s="106">
        <v>210043</v>
      </c>
      <c r="C122" s="106">
        <v>104037</v>
      </c>
      <c r="D122" s="106">
        <v>238251</v>
      </c>
      <c r="E122" s="106">
        <v>24937</v>
      </c>
      <c r="F122" s="106">
        <v>208283</v>
      </c>
    </row>
    <row r="123" spans="1:6">
      <c r="A123" s="82" t="s">
        <v>56</v>
      </c>
      <c r="B123" s="106">
        <v>179461</v>
      </c>
      <c r="C123" s="106">
        <v>94371.7</v>
      </c>
      <c r="D123" s="106">
        <v>196225</v>
      </c>
      <c r="E123" s="106">
        <v>8537</v>
      </c>
      <c r="F123" s="106">
        <v>172973</v>
      </c>
    </row>
    <row r="124" spans="1:6">
      <c r="A124" s="82" t="s">
        <v>59</v>
      </c>
      <c r="B124" s="106">
        <v>169689</v>
      </c>
      <c r="C124" s="106">
        <v>88553.8</v>
      </c>
      <c r="D124" s="106">
        <v>186723</v>
      </c>
      <c r="E124" s="106">
        <v>7858</v>
      </c>
      <c r="F124" s="106">
        <v>162333</v>
      </c>
    </row>
    <row r="125" spans="1:6">
      <c r="A125" s="82" t="s">
        <v>62</v>
      </c>
      <c r="B125" s="106">
        <v>160095</v>
      </c>
      <c r="C125" s="106">
        <v>84347.4</v>
      </c>
      <c r="D125" s="106">
        <v>176163</v>
      </c>
      <c r="E125" s="106">
        <v>7971</v>
      </c>
      <c r="F125" s="106">
        <v>156572</v>
      </c>
    </row>
    <row r="126" spans="1:6">
      <c r="A126" s="82" t="s">
        <v>319</v>
      </c>
      <c r="B126" s="106">
        <v>839846</v>
      </c>
      <c r="C126" s="106">
        <v>229637</v>
      </c>
      <c r="D126" s="106">
        <v>2444510</v>
      </c>
      <c r="E126" s="106">
        <v>279328</v>
      </c>
      <c r="F126" s="106">
        <v>299375</v>
      </c>
    </row>
    <row r="127" spans="1:6">
      <c r="A127" s="82" t="s">
        <v>322</v>
      </c>
      <c r="B127" s="106">
        <v>795590</v>
      </c>
      <c r="C127" s="106">
        <v>208843</v>
      </c>
      <c r="D127" s="106">
        <v>2090150</v>
      </c>
      <c r="E127" s="106">
        <v>270367</v>
      </c>
      <c r="F127" s="106">
        <v>250057</v>
      </c>
    </row>
    <row r="128" spans="1:6">
      <c r="A128" s="82" t="s">
        <v>324</v>
      </c>
      <c r="B128" s="106">
        <v>543429</v>
      </c>
      <c r="C128" s="106">
        <v>303260</v>
      </c>
      <c r="D128" s="106">
        <v>583024</v>
      </c>
      <c r="E128" s="106">
        <v>98946</v>
      </c>
      <c r="F128" s="106">
        <v>168616</v>
      </c>
    </row>
    <row r="129" spans="1:6">
      <c r="A129" s="82" t="s">
        <v>326</v>
      </c>
      <c r="B129" s="106">
        <v>813599</v>
      </c>
      <c r="C129" s="106">
        <v>372714</v>
      </c>
      <c r="D129" s="106">
        <v>1635150</v>
      </c>
      <c r="E129" s="106">
        <v>141401</v>
      </c>
      <c r="F129" s="106">
        <v>271105</v>
      </c>
    </row>
    <row r="130" spans="1:6">
      <c r="A130" s="82" t="s">
        <v>328</v>
      </c>
      <c r="B130" s="106">
        <v>768459</v>
      </c>
      <c r="C130" s="106">
        <v>340772</v>
      </c>
      <c r="D130" s="106">
        <v>1595000</v>
      </c>
      <c r="E130" s="106">
        <v>164045</v>
      </c>
      <c r="F130" s="106">
        <v>260583</v>
      </c>
    </row>
    <row r="131" spans="1:6">
      <c r="A131" s="82" t="s">
        <v>1283</v>
      </c>
      <c r="B131" s="106">
        <v>770732</v>
      </c>
      <c r="C131" s="106">
        <v>341714</v>
      </c>
      <c r="D131" s="106">
        <v>1596820</v>
      </c>
      <c r="E131" s="106">
        <v>161963</v>
      </c>
      <c r="F131" s="106">
        <v>262909</v>
      </c>
    </row>
    <row r="132" spans="1:6">
      <c r="A132" s="82" t="s">
        <v>349</v>
      </c>
      <c r="B132" s="106">
        <v>186323</v>
      </c>
      <c r="C132" s="106">
        <v>117682</v>
      </c>
      <c r="D132" s="106">
        <v>205136</v>
      </c>
      <c r="E132" s="106">
        <v>6415</v>
      </c>
      <c r="F132" s="106">
        <v>887973</v>
      </c>
    </row>
    <row r="133" spans="1:6">
      <c r="A133" s="82" t="s">
        <v>352</v>
      </c>
      <c r="B133" s="106">
        <v>165301</v>
      </c>
      <c r="C133" s="106">
        <v>112005</v>
      </c>
      <c r="D133" s="106">
        <v>178145</v>
      </c>
      <c r="E133" s="106">
        <v>225</v>
      </c>
      <c r="F133" s="106">
        <v>792641</v>
      </c>
    </row>
    <row r="134" spans="1:6">
      <c r="A134" s="82" t="s">
        <v>355</v>
      </c>
      <c r="B134" s="106">
        <v>152524</v>
      </c>
      <c r="C134" s="106">
        <v>92089.8</v>
      </c>
      <c r="D134" s="106">
        <v>171397</v>
      </c>
      <c r="E134" s="106">
        <v>18315</v>
      </c>
      <c r="F134" s="106">
        <v>730756</v>
      </c>
    </row>
    <row r="135" spans="1:6">
      <c r="A135" s="82" t="s">
        <v>358</v>
      </c>
      <c r="B135" s="106">
        <v>155735</v>
      </c>
      <c r="C135" s="106">
        <v>94596.6</v>
      </c>
      <c r="D135" s="106">
        <v>174485</v>
      </c>
      <c r="E135" s="106">
        <v>16641</v>
      </c>
      <c r="F135" s="106">
        <v>739333</v>
      </c>
    </row>
    <row r="136" spans="1:6">
      <c r="A136" s="82" t="s">
        <v>361</v>
      </c>
      <c r="B136" s="106">
        <v>155381</v>
      </c>
      <c r="C136" s="106">
        <v>94433.1</v>
      </c>
      <c r="D136" s="106">
        <v>174216</v>
      </c>
      <c r="E136" s="106">
        <v>16627</v>
      </c>
      <c r="F136" s="106">
        <v>730992</v>
      </c>
    </row>
    <row r="137" spans="1:6">
      <c r="A137" s="82" t="s">
        <v>365</v>
      </c>
      <c r="B137" s="106">
        <v>10414200</v>
      </c>
      <c r="C137" s="106">
        <v>3172680</v>
      </c>
      <c r="D137" s="106">
        <v>30105200</v>
      </c>
      <c r="E137" s="106">
        <v>220101</v>
      </c>
      <c r="F137" s="106">
        <v>1154572</v>
      </c>
    </row>
    <row r="138" spans="1:6">
      <c r="A138" s="82" t="s">
        <v>366</v>
      </c>
      <c r="B138" s="106">
        <v>11207900</v>
      </c>
      <c r="C138" s="106">
        <v>3439480</v>
      </c>
      <c r="D138" s="106">
        <v>28541400</v>
      </c>
      <c r="E138" s="106">
        <v>211114</v>
      </c>
      <c r="F138" s="106">
        <v>1132350</v>
      </c>
    </row>
    <row r="139" spans="1:6">
      <c r="A139" s="82" t="s">
        <v>367</v>
      </c>
      <c r="B139" s="106">
        <v>9901490</v>
      </c>
      <c r="C139" s="106">
        <v>5767610</v>
      </c>
      <c r="D139" s="106">
        <v>10685900</v>
      </c>
      <c r="E139" s="106">
        <v>73181</v>
      </c>
      <c r="F139" s="106">
        <v>941526</v>
      </c>
    </row>
    <row r="140" spans="1:6">
      <c r="A140" s="82" t="s">
        <v>368</v>
      </c>
      <c r="B140" s="106">
        <v>9570970</v>
      </c>
      <c r="C140" s="106">
        <v>5327860</v>
      </c>
      <c r="D140" s="106">
        <v>14913300</v>
      </c>
      <c r="E140" s="106">
        <v>54641</v>
      </c>
      <c r="F140" s="106">
        <v>961475</v>
      </c>
    </row>
    <row r="141" spans="1:6">
      <c r="A141" s="82" t="s">
        <v>369</v>
      </c>
      <c r="B141" s="106">
        <v>9728580</v>
      </c>
      <c r="C141" s="106">
        <v>5437170</v>
      </c>
      <c r="D141" s="106">
        <v>15084800</v>
      </c>
      <c r="E141" s="106">
        <v>52043</v>
      </c>
      <c r="F141" s="106">
        <v>996760</v>
      </c>
    </row>
    <row r="142" spans="1:6">
      <c r="A142" s="82" t="s">
        <v>370</v>
      </c>
      <c r="B142" s="106">
        <v>9181070</v>
      </c>
      <c r="C142" s="106">
        <v>5080060</v>
      </c>
      <c r="D142" s="106">
        <v>14519400</v>
      </c>
      <c r="E142" s="106">
        <v>60937</v>
      </c>
      <c r="F142" s="106">
        <v>950249</v>
      </c>
    </row>
    <row r="143" spans="1:6">
      <c r="A143" s="82" t="s">
        <v>66</v>
      </c>
      <c r="B143" s="106">
        <v>337207</v>
      </c>
      <c r="C143" s="106">
        <v>182366</v>
      </c>
      <c r="D143" s="106">
        <v>357097</v>
      </c>
      <c r="E143" s="106">
        <v>112717</v>
      </c>
      <c r="F143" s="106">
        <v>3399599</v>
      </c>
    </row>
    <row r="144" spans="1:6">
      <c r="A144" s="82" t="s">
        <v>91</v>
      </c>
      <c r="B144" s="106">
        <v>336510</v>
      </c>
      <c r="C144" s="106">
        <v>182725</v>
      </c>
      <c r="D144" s="106">
        <v>356398</v>
      </c>
      <c r="E144" s="106">
        <v>114312</v>
      </c>
      <c r="F144" s="106">
        <v>3390788</v>
      </c>
    </row>
    <row r="145" spans="1:6">
      <c r="A145" s="82" t="s">
        <v>94</v>
      </c>
      <c r="B145" s="106">
        <v>290414</v>
      </c>
      <c r="C145" s="106">
        <v>148199</v>
      </c>
      <c r="D145" s="106">
        <v>308247</v>
      </c>
      <c r="E145" s="106">
        <v>64482</v>
      </c>
      <c r="F145" s="106">
        <v>2882175</v>
      </c>
    </row>
    <row r="146" spans="1:6">
      <c r="A146" s="82" t="s">
        <v>96</v>
      </c>
      <c r="B146" s="106">
        <v>285840</v>
      </c>
      <c r="C146" s="106">
        <v>143235</v>
      </c>
      <c r="D146" s="106">
        <v>303478</v>
      </c>
      <c r="E146" s="106">
        <v>68554</v>
      </c>
      <c r="F146" s="106">
        <v>2837940</v>
      </c>
    </row>
    <row r="147" spans="1:6">
      <c r="A147" s="82" t="s">
        <v>98</v>
      </c>
      <c r="B147" s="106">
        <v>286235</v>
      </c>
      <c r="C147" s="106">
        <v>144080</v>
      </c>
      <c r="D147" s="106">
        <v>303924</v>
      </c>
      <c r="E147" s="106">
        <v>67534</v>
      </c>
      <c r="F147" s="106">
        <v>2832119</v>
      </c>
    </row>
    <row r="148" spans="1:6">
      <c r="A148" s="82" t="s">
        <v>101</v>
      </c>
      <c r="B148" s="106">
        <v>336155</v>
      </c>
      <c r="C148" s="106">
        <v>182008</v>
      </c>
      <c r="D148" s="106">
        <v>356047</v>
      </c>
      <c r="E148" s="106">
        <v>110215</v>
      </c>
      <c r="F148" s="106">
        <v>3388385</v>
      </c>
    </row>
    <row r="149" spans="1:6">
      <c r="A149" s="82" t="s">
        <v>104</v>
      </c>
      <c r="B149" s="106">
        <v>337097</v>
      </c>
      <c r="C149" s="106">
        <v>184104</v>
      </c>
      <c r="D149" s="106">
        <v>356967</v>
      </c>
      <c r="E149" s="106">
        <v>114989</v>
      </c>
      <c r="F149" s="106">
        <v>3396100</v>
      </c>
    </row>
    <row r="150" spans="1:6">
      <c r="A150" s="82" t="s">
        <v>68</v>
      </c>
      <c r="B150" s="106">
        <v>336065</v>
      </c>
      <c r="C150" s="106">
        <v>182148</v>
      </c>
      <c r="D150" s="106">
        <v>355942</v>
      </c>
      <c r="E150" s="106">
        <v>113172</v>
      </c>
      <c r="F150" s="106">
        <v>3384115</v>
      </c>
    </row>
    <row r="151" spans="1:6">
      <c r="A151" s="82" t="s">
        <v>71</v>
      </c>
      <c r="B151" s="106">
        <v>336452</v>
      </c>
      <c r="C151" s="106">
        <v>182127</v>
      </c>
      <c r="D151" s="106">
        <v>356347</v>
      </c>
      <c r="E151" s="106">
        <v>113205</v>
      </c>
      <c r="F151" s="106">
        <v>3391135</v>
      </c>
    </row>
    <row r="152" spans="1:6">
      <c r="A152" s="82" t="s">
        <v>74</v>
      </c>
      <c r="B152" s="106">
        <v>334298</v>
      </c>
      <c r="C152" s="106">
        <v>181315</v>
      </c>
      <c r="D152" s="106">
        <v>353983</v>
      </c>
      <c r="E152" s="106">
        <v>118391</v>
      </c>
      <c r="F152" s="106">
        <v>3359785</v>
      </c>
    </row>
    <row r="153" spans="1:6">
      <c r="A153" s="82" t="s">
        <v>77</v>
      </c>
      <c r="B153" s="106">
        <v>336480</v>
      </c>
      <c r="C153" s="106">
        <v>182521</v>
      </c>
      <c r="D153" s="106">
        <v>356367</v>
      </c>
      <c r="E153" s="106">
        <v>113960</v>
      </c>
      <c r="F153" s="106">
        <v>3393238</v>
      </c>
    </row>
    <row r="154" spans="1:6">
      <c r="A154" s="82" t="s">
        <v>80</v>
      </c>
      <c r="B154" s="106">
        <v>335277</v>
      </c>
      <c r="C154" s="106">
        <v>180210</v>
      </c>
      <c r="D154" s="106">
        <v>355097</v>
      </c>
      <c r="E154" s="106">
        <v>111499</v>
      </c>
      <c r="F154" s="106">
        <v>3376331</v>
      </c>
    </row>
    <row r="155" spans="1:6">
      <c r="A155" s="82" t="s">
        <v>83</v>
      </c>
      <c r="B155" s="106">
        <v>336187</v>
      </c>
      <c r="C155" s="106">
        <v>181208</v>
      </c>
      <c r="D155" s="106">
        <v>356071</v>
      </c>
      <c r="E155" s="106">
        <v>113836</v>
      </c>
      <c r="F155" s="106">
        <v>3384280</v>
      </c>
    </row>
    <row r="156" spans="1:6">
      <c r="A156" s="82" t="s">
        <v>86</v>
      </c>
      <c r="B156" s="106">
        <v>336941</v>
      </c>
      <c r="C156" s="106">
        <v>182061</v>
      </c>
      <c r="D156" s="106">
        <v>356827</v>
      </c>
      <c r="E156" s="106">
        <v>112765</v>
      </c>
      <c r="F156" s="106">
        <v>3396939</v>
      </c>
    </row>
    <row r="157" spans="1:6">
      <c r="A157" s="82" t="s">
        <v>88</v>
      </c>
      <c r="B157" s="106">
        <v>336341</v>
      </c>
      <c r="C157" s="106">
        <v>183336</v>
      </c>
      <c r="D157" s="106">
        <v>356962</v>
      </c>
      <c r="E157" s="106">
        <v>108226</v>
      </c>
      <c r="F157" s="106">
        <v>3388688</v>
      </c>
    </row>
    <row r="158" spans="1:6">
      <c r="A158" s="82" t="s">
        <v>373</v>
      </c>
      <c r="B158" s="106">
        <v>240092</v>
      </c>
      <c r="C158" s="106">
        <v>91211.199999999997</v>
      </c>
      <c r="D158" s="106">
        <v>569764</v>
      </c>
      <c r="E158" s="106">
        <v>135643</v>
      </c>
      <c r="F158" s="106">
        <v>1150055</v>
      </c>
    </row>
    <row r="159" spans="1:6">
      <c r="A159" s="82" t="s">
        <v>374</v>
      </c>
      <c r="B159" s="106">
        <v>249254</v>
      </c>
      <c r="C159" s="106">
        <v>91010.2</v>
      </c>
      <c r="D159" s="106">
        <v>512514</v>
      </c>
      <c r="E159" s="106">
        <v>150815</v>
      </c>
      <c r="F159" s="106">
        <v>1129163</v>
      </c>
    </row>
    <row r="160" spans="1:6">
      <c r="A160" s="82" t="s">
        <v>375</v>
      </c>
      <c r="B160" s="106">
        <v>239927</v>
      </c>
      <c r="C160" s="106">
        <v>138078</v>
      </c>
      <c r="D160" s="106">
        <v>256527</v>
      </c>
      <c r="E160" s="106">
        <v>192223</v>
      </c>
      <c r="F160" s="106">
        <v>1092073</v>
      </c>
    </row>
    <row r="161" spans="1:6">
      <c r="A161" s="82" t="s">
        <v>376</v>
      </c>
      <c r="B161" s="106">
        <v>264913</v>
      </c>
      <c r="C161" s="106">
        <v>141959</v>
      </c>
      <c r="D161" s="106">
        <v>438376</v>
      </c>
      <c r="E161" s="106">
        <v>141689</v>
      </c>
      <c r="F161" s="106">
        <v>1221985</v>
      </c>
    </row>
    <row r="162" spans="1:6">
      <c r="A162" s="82" t="s">
        <v>377</v>
      </c>
      <c r="B162" s="106">
        <v>267567</v>
      </c>
      <c r="C162" s="106">
        <v>143713</v>
      </c>
      <c r="D162" s="106">
        <v>440590</v>
      </c>
      <c r="E162" s="106">
        <v>140037</v>
      </c>
      <c r="F162" s="106">
        <v>1228175</v>
      </c>
    </row>
    <row r="163" spans="1:6">
      <c r="A163" s="82" t="s">
        <v>378</v>
      </c>
      <c r="B163" s="106">
        <v>267978</v>
      </c>
      <c r="C163" s="106">
        <v>144094</v>
      </c>
      <c r="D163" s="106">
        <v>440718</v>
      </c>
      <c r="E163" s="106">
        <v>139380</v>
      </c>
      <c r="F163" s="106">
        <v>1228606</v>
      </c>
    </row>
    <row r="164" spans="1:6">
      <c r="A164" s="82" t="s">
        <v>474</v>
      </c>
      <c r="B164" s="106">
        <v>1319.91</v>
      </c>
      <c r="C164" s="106">
        <v>565.82899999999995</v>
      </c>
      <c r="D164" s="106">
        <v>1692.17</v>
      </c>
      <c r="E164" s="106">
        <v>240038</v>
      </c>
      <c r="F164" s="106">
        <v>73906</v>
      </c>
    </row>
    <row r="165" spans="1:6">
      <c r="A165" s="82" t="s">
        <v>477</v>
      </c>
      <c r="B165" s="106">
        <v>1068.1199999999999</v>
      </c>
      <c r="C165" s="106">
        <v>484.67899999999997</v>
      </c>
      <c r="D165" s="106">
        <v>1143.1600000000001</v>
      </c>
      <c r="E165" s="106">
        <v>292634</v>
      </c>
      <c r="F165" s="106">
        <v>59225</v>
      </c>
    </row>
    <row r="166" spans="1:6">
      <c r="A166" s="82" t="s">
        <v>481</v>
      </c>
      <c r="B166" s="106">
        <v>143307</v>
      </c>
      <c r="C166" s="106">
        <v>71278</v>
      </c>
      <c r="D166" s="106">
        <v>161867</v>
      </c>
      <c r="E166" s="106">
        <v>24859</v>
      </c>
      <c r="F166" s="106">
        <v>141864</v>
      </c>
    </row>
    <row r="167" spans="1:6">
      <c r="A167" s="82" t="s">
        <v>482</v>
      </c>
      <c r="B167" s="106">
        <v>123414</v>
      </c>
      <c r="C167" s="106">
        <v>61162.8</v>
      </c>
      <c r="D167" s="106">
        <v>139156</v>
      </c>
      <c r="E167" s="106">
        <v>25444</v>
      </c>
      <c r="F167" s="106">
        <v>126391</v>
      </c>
    </row>
    <row r="168" spans="1:6">
      <c r="A168" s="82" t="s">
        <v>483</v>
      </c>
      <c r="B168" s="106">
        <v>107615</v>
      </c>
      <c r="C168" s="106">
        <v>53582.9</v>
      </c>
      <c r="D168" s="106">
        <v>121918</v>
      </c>
      <c r="E168" s="106">
        <v>24654</v>
      </c>
      <c r="F168" s="106">
        <v>99006</v>
      </c>
    </row>
    <row r="169" spans="1:6">
      <c r="A169" s="82" t="s">
        <v>484</v>
      </c>
      <c r="B169" s="106">
        <v>96354.4</v>
      </c>
      <c r="C169" s="106">
        <v>48049.9</v>
      </c>
      <c r="D169" s="106">
        <v>108845</v>
      </c>
      <c r="E169" s="106">
        <v>24505</v>
      </c>
      <c r="F169" s="106">
        <v>102342</v>
      </c>
    </row>
    <row r="170" spans="1:6">
      <c r="A170" s="82" t="s">
        <v>1284</v>
      </c>
      <c r="B170" s="106">
        <v>170871</v>
      </c>
      <c r="C170" s="106">
        <v>85017.8</v>
      </c>
      <c r="D170" s="106">
        <v>193064</v>
      </c>
      <c r="E170" s="106">
        <v>24949</v>
      </c>
      <c r="F170" s="106">
        <v>170115</v>
      </c>
    </row>
    <row r="171" spans="1:6">
      <c r="A171" s="82" t="s">
        <v>1285</v>
      </c>
      <c r="B171" s="106">
        <v>136378</v>
      </c>
      <c r="C171" s="106">
        <v>67746.399999999994</v>
      </c>
      <c r="D171" s="106">
        <v>153935</v>
      </c>
      <c r="E171" s="106">
        <v>25476</v>
      </c>
      <c r="F171" s="106">
        <v>134352</v>
      </c>
    </row>
    <row r="172" spans="1:6">
      <c r="A172" s="82" t="s">
        <v>1286</v>
      </c>
      <c r="B172" s="106">
        <v>127686</v>
      </c>
      <c r="C172" s="106">
        <v>63559.4</v>
      </c>
      <c r="D172" s="106">
        <v>144763</v>
      </c>
      <c r="E172" s="106">
        <v>24786</v>
      </c>
      <c r="F172" s="106">
        <v>120906</v>
      </c>
    </row>
    <row r="173" spans="1:6">
      <c r="A173" s="82" t="s">
        <v>1287</v>
      </c>
      <c r="B173" s="106">
        <v>104239</v>
      </c>
      <c r="C173" s="106">
        <v>51961.3</v>
      </c>
      <c r="D173" s="106">
        <v>117768</v>
      </c>
      <c r="E173" s="106">
        <v>24581</v>
      </c>
      <c r="F173" s="106">
        <v>113831</v>
      </c>
    </row>
    <row r="174" spans="1:6">
      <c r="A174" s="82" t="s">
        <v>487</v>
      </c>
      <c r="B174" s="106">
        <v>162831</v>
      </c>
      <c r="C174" s="106">
        <v>80892.399999999994</v>
      </c>
      <c r="D174" s="106">
        <v>183943</v>
      </c>
      <c r="E174" s="106">
        <v>24912</v>
      </c>
      <c r="F174" s="106">
        <v>146400</v>
      </c>
    </row>
    <row r="175" spans="1:6">
      <c r="A175" s="82" t="s">
        <v>488</v>
      </c>
      <c r="B175" s="106">
        <v>115747</v>
      </c>
      <c r="C175" s="106">
        <v>57278.9</v>
      </c>
      <c r="D175" s="106">
        <v>130572</v>
      </c>
      <c r="E175" s="106">
        <v>25458</v>
      </c>
      <c r="F175" s="106">
        <v>101184</v>
      </c>
    </row>
    <row r="176" spans="1:6">
      <c r="A176" s="82" t="s">
        <v>489</v>
      </c>
      <c r="B176" s="106">
        <v>116757</v>
      </c>
      <c r="C176" s="106">
        <v>58044</v>
      </c>
      <c r="D176" s="106">
        <v>132298</v>
      </c>
      <c r="E176" s="106">
        <v>24685</v>
      </c>
      <c r="F176" s="106">
        <v>105229</v>
      </c>
    </row>
    <row r="177" spans="1:6">
      <c r="A177" s="82" t="s">
        <v>490</v>
      </c>
      <c r="B177" s="106">
        <v>107806</v>
      </c>
      <c r="C177" s="106">
        <v>53749</v>
      </c>
      <c r="D177" s="106">
        <v>121896</v>
      </c>
      <c r="E177" s="106">
        <v>24601</v>
      </c>
      <c r="F177" s="106">
        <v>107616</v>
      </c>
    </row>
    <row r="178" spans="1:6">
      <c r="A178" s="82" t="s">
        <v>380</v>
      </c>
      <c r="B178" s="106">
        <v>31667.8</v>
      </c>
      <c r="C178" s="106">
        <v>21274.6</v>
      </c>
      <c r="D178" s="106">
        <v>34296</v>
      </c>
      <c r="E178" s="106">
        <v>855</v>
      </c>
      <c r="F178" s="106">
        <v>169683</v>
      </c>
    </row>
    <row r="179" spans="1:6">
      <c r="A179" s="82" t="s">
        <v>381</v>
      </c>
      <c r="B179" s="106">
        <v>21948.9</v>
      </c>
      <c r="C179" s="106">
        <v>14832.3</v>
      </c>
      <c r="D179" s="106">
        <v>23718.6</v>
      </c>
      <c r="E179" s="106">
        <v>808</v>
      </c>
      <c r="F179" s="106">
        <v>120359</v>
      </c>
    </row>
    <row r="180" spans="1:6">
      <c r="A180" s="82" t="s">
        <v>382</v>
      </c>
      <c r="B180" s="106">
        <v>22086.3</v>
      </c>
      <c r="C180" s="106">
        <v>14912.6</v>
      </c>
      <c r="D180" s="106">
        <v>23874.2</v>
      </c>
      <c r="E180" s="106">
        <v>807</v>
      </c>
      <c r="F180" s="106">
        <v>114742</v>
      </c>
    </row>
    <row r="181" spans="1:6">
      <c r="A181" s="82" t="s">
        <v>383</v>
      </c>
      <c r="B181" s="106">
        <v>22948.400000000001</v>
      </c>
      <c r="C181" s="106">
        <v>15508.2</v>
      </c>
      <c r="D181" s="106">
        <v>24809.4</v>
      </c>
      <c r="E181" s="106">
        <v>806</v>
      </c>
      <c r="F181" s="106">
        <v>122330</v>
      </c>
    </row>
    <row r="182" spans="1:6">
      <c r="A182" s="82" t="s">
        <v>20</v>
      </c>
      <c r="B182" s="106">
        <v>2056050</v>
      </c>
      <c r="C182" s="106">
        <v>1168910</v>
      </c>
      <c r="D182" s="106">
        <v>2148040</v>
      </c>
      <c r="E182" s="106">
        <v>4687</v>
      </c>
      <c r="F182" s="106">
        <v>4103060</v>
      </c>
    </row>
    <row r="183" spans="1:6">
      <c r="A183" s="82" t="s">
        <v>22</v>
      </c>
      <c r="B183" s="106">
        <v>1908920</v>
      </c>
      <c r="C183" s="106">
        <v>1186750</v>
      </c>
      <c r="D183" s="106">
        <v>2356390</v>
      </c>
      <c r="E183" s="106">
        <v>4895</v>
      </c>
      <c r="F183" s="106">
        <v>3985883</v>
      </c>
    </row>
    <row r="184" spans="1:6">
      <c r="A184" s="82" t="s">
        <v>25</v>
      </c>
      <c r="B184" s="106">
        <v>1762790</v>
      </c>
      <c r="C184" s="106">
        <v>1039550</v>
      </c>
      <c r="D184" s="106">
        <v>1889790</v>
      </c>
      <c r="E184" s="106">
        <v>55280</v>
      </c>
      <c r="F184" s="106">
        <v>3668121</v>
      </c>
    </row>
    <row r="185" spans="1:6">
      <c r="A185" s="82" t="s">
        <v>26</v>
      </c>
      <c r="B185" s="106">
        <v>2101830</v>
      </c>
      <c r="C185" s="106">
        <v>1267330</v>
      </c>
      <c r="D185" s="106">
        <v>2261000</v>
      </c>
      <c r="E185" s="106">
        <v>3484</v>
      </c>
      <c r="F185" s="106">
        <v>4266722</v>
      </c>
    </row>
    <row r="186" spans="1:6">
      <c r="A186" s="82" t="s">
        <v>28</v>
      </c>
      <c r="B186" s="106">
        <v>2094890</v>
      </c>
      <c r="C186" s="106">
        <v>1261800</v>
      </c>
      <c r="D186" s="106">
        <v>2254880</v>
      </c>
      <c r="E186" s="106">
        <v>3525</v>
      </c>
      <c r="F186" s="106">
        <v>4251917</v>
      </c>
    </row>
    <row r="187" spans="1:6">
      <c r="A187" s="82" t="s">
        <v>30</v>
      </c>
      <c r="B187" s="106">
        <v>2091130</v>
      </c>
      <c r="C187" s="106">
        <v>1257490</v>
      </c>
      <c r="D187" s="106">
        <v>2251770</v>
      </c>
      <c r="E187" s="106">
        <v>3553</v>
      </c>
      <c r="F187" s="106">
        <v>4248340</v>
      </c>
    </row>
    <row r="188" spans="1:6">
      <c r="A188" s="82" t="s">
        <v>108</v>
      </c>
      <c r="B188" s="106">
        <v>115997</v>
      </c>
      <c r="C188" s="106">
        <v>59099</v>
      </c>
      <c r="D188" s="106">
        <v>124717</v>
      </c>
      <c r="E188" s="106">
        <v>263186</v>
      </c>
      <c r="F188" s="106">
        <v>430439</v>
      </c>
    </row>
    <row r="189" spans="1:6">
      <c r="A189" s="82" t="s">
        <v>385</v>
      </c>
      <c r="B189" s="106">
        <v>9786.91</v>
      </c>
      <c r="C189" s="106">
        <v>4050.15</v>
      </c>
      <c r="D189" s="106">
        <v>11534.3</v>
      </c>
      <c r="E189" s="106">
        <v>51758</v>
      </c>
      <c r="F189" s="106">
        <v>46467</v>
      </c>
    </row>
    <row r="190" spans="1:6">
      <c r="A190" s="82" t="s">
        <v>387</v>
      </c>
      <c r="B190" s="106">
        <v>432457</v>
      </c>
      <c r="C190" s="106">
        <v>214376</v>
      </c>
      <c r="D190" s="106">
        <v>490813</v>
      </c>
      <c r="E190" s="106">
        <v>24482</v>
      </c>
      <c r="F190" s="106">
        <v>334940</v>
      </c>
    </row>
    <row r="191" spans="1:6">
      <c r="A191" s="82" t="s">
        <v>388</v>
      </c>
      <c r="B191" s="106">
        <v>324913</v>
      </c>
      <c r="C191" s="106">
        <v>161171</v>
      </c>
      <c r="D191" s="106">
        <v>367818</v>
      </c>
      <c r="E191" s="106">
        <v>24879</v>
      </c>
      <c r="F191" s="106">
        <v>260751</v>
      </c>
    </row>
    <row r="192" spans="1:6">
      <c r="A192" s="82" t="s">
        <v>389</v>
      </c>
      <c r="B192" s="106">
        <v>310501</v>
      </c>
      <c r="C192" s="106">
        <v>154860</v>
      </c>
      <c r="D192" s="106">
        <v>353209</v>
      </c>
      <c r="E192" s="106">
        <v>24401</v>
      </c>
      <c r="F192" s="106">
        <v>252819</v>
      </c>
    </row>
    <row r="193" spans="1:6">
      <c r="A193" s="82" t="s">
        <v>390</v>
      </c>
      <c r="B193" s="106">
        <v>264261</v>
      </c>
      <c r="C193" s="106">
        <v>130019</v>
      </c>
      <c r="D193" s="106">
        <v>300092</v>
      </c>
      <c r="E193" s="106">
        <v>24211</v>
      </c>
      <c r="F193" s="106">
        <v>241780</v>
      </c>
    </row>
    <row r="194" spans="1:6">
      <c r="A194" s="82" t="s">
        <v>392</v>
      </c>
      <c r="B194" s="106">
        <v>254966</v>
      </c>
      <c r="C194" s="106">
        <v>170950</v>
      </c>
      <c r="D194" s="106">
        <v>272104</v>
      </c>
      <c r="E194" s="106">
        <v>18565</v>
      </c>
      <c r="F194" s="106">
        <v>1153341</v>
      </c>
    </row>
    <row r="195" spans="1:6">
      <c r="A195" s="82" t="s">
        <v>394</v>
      </c>
      <c r="B195" s="106">
        <v>237642</v>
      </c>
      <c r="C195" s="106">
        <v>140182</v>
      </c>
      <c r="D195" s="106">
        <v>253592</v>
      </c>
      <c r="E195" s="106">
        <v>92171</v>
      </c>
      <c r="F195" s="106">
        <v>1090782</v>
      </c>
    </row>
    <row r="196" spans="1:6">
      <c r="A196" s="82" t="s">
        <v>395</v>
      </c>
      <c r="B196" s="106">
        <v>236135</v>
      </c>
      <c r="C196" s="106">
        <v>139167</v>
      </c>
      <c r="D196" s="106">
        <v>251899</v>
      </c>
      <c r="E196" s="106">
        <v>95605</v>
      </c>
      <c r="F196" s="106">
        <v>1097643</v>
      </c>
    </row>
    <row r="197" spans="1:6">
      <c r="A197" s="82" t="s">
        <v>396</v>
      </c>
      <c r="B197" s="106">
        <v>243371</v>
      </c>
      <c r="C197" s="106">
        <v>144141</v>
      </c>
      <c r="D197" s="106">
        <v>259599</v>
      </c>
      <c r="E197" s="106">
        <v>82559</v>
      </c>
      <c r="F197" s="106">
        <v>1114636</v>
      </c>
    </row>
    <row r="198" spans="1:6">
      <c r="A198" s="82" t="s">
        <v>479</v>
      </c>
      <c r="B198" s="106">
        <v>554526</v>
      </c>
      <c r="C198" s="106">
        <v>282433</v>
      </c>
      <c r="D198" s="106">
        <v>603311</v>
      </c>
      <c r="E198" s="106">
        <v>263201</v>
      </c>
      <c r="F198" s="106">
        <v>507803</v>
      </c>
    </row>
    <row r="199" spans="1:6">
      <c r="A199" s="82" t="s">
        <v>124</v>
      </c>
      <c r="B199" s="106">
        <v>478788</v>
      </c>
      <c r="C199" s="106">
        <v>130969</v>
      </c>
      <c r="D199" s="106">
        <v>1137840</v>
      </c>
      <c r="E199" s="106">
        <v>463399</v>
      </c>
      <c r="F199" s="106">
        <v>309043</v>
      </c>
    </row>
    <row r="200" spans="1:6">
      <c r="A200" s="82" t="s">
        <v>127</v>
      </c>
      <c r="B200" s="106">
        <v>532875</v>
      </c>
      <c r="C200" s="106">
        <v>337129</v>
      </c>
      <c r="D200" s="106">
        <v>587054</v>
      </c>
      <c r="E200" s="106">
        <v>1980</v>
      </c>
      <c r="F200" s="106">
        <v>337126</v>
      </c>
    </row>
    <row r="201" spans="1:6">
      <c r="A201" s="82" t="s">
        <v>129</v>
      </c>
      <c r="B201" s="106">
        <v>559412</v>
      </c>
      <c r="C201" s="106">
        <v>328896</v>
      </c>
      <c r="D201" s="106">
        <v>1010770</v>
      </c>
      <c r="E201" s="106">
        <v>16939</v>
      </c>
      <c r="F201" s="106">
        <v>351846</v>
      </c>
    </row>
    <row r="202" spans="1:6">
      <c r="A202" s="82" t="s">
        <v>131</v>
      </c>
      <c r="B202" s="106">
        <v>554828</v>
      </c>
      <c r="C202" s="106">
        <v>327770</v>
      </c>
      <c r="D202" s="106">
        <v>999939</v>
      </c>
      <c r="E202" s="106">
        <v>15823</v>
      </c>
      <c r="F202" s="106">
        <v>347974</v>
      </c>
    </row>
    <row r="203" spans="1:6">
      <c r="A203" s="82" t="s">
        <v>133</v>
      </c>
      <c r="B203" s="106">
        <v>565271</v>
      </c>
      <c r="C203" s="106">
        <v>335101</v>
      </c>
      <c r="D203" s="106">
        <v>1011750</v>
      </c>
      <c r="E203" s="106">
        <v>14616</v>
      </c>
      <c r="F203" s="106">
        <v>353850</v>
      </c>
    </row>
    <row r="204" spans="1:6">
      <c r="A204" s="82" t="s">
        <v>135</v>
      </c>
      <c r="B204" s="106">
        <v>696459</v>
      </c>
      <c r="C204" s="106">
        <v>427584</v>
      </c>
      <c r="D204" s="106">
        <v>1144780</v>
      </c>
      <c r="E204" s="106">
        <v>4724</v>
      </c>
      <c r="F204" s="106">
        <v>437416</v>
      </c>
    </row>
    <row r="205" spans="1:6">
      <c r="A205" s="82" t="s">
        <v>398</v>
      </c>
      <c r="B205" s="106">
        <v>94762.7</v>
      </c>
      <c r="C205" s="106">
        <v>55373.7</v>
      </c>
      <c r="D205" s="106">
        <v>104484</v>
      </c>
      <c r="E205" s="106">
        <v>46031</v>
      </c>
      <c r="F205" s="106">
        <v>654740</v>
      </c>
    </row>
    <row r="206" spans="1:6">
      <c r="A206" s="82" t="s">
        <v>400</v>
      </c>
      <c r="B206" s="106">
        <v>75352.100000000006</v>
      </c>
      <c r="C206" s="106">
        <v>47128.3</v>
      </c>
      <c r="D206" s="106">
        <v>81104.399999999994</v>
      </c>
      <c r="E206" s="106">
        <v>11604</v>
      </c>
      <c r="F206" s="106">
        <v>513857</v>
      </c>
    </row>
    <row r="207" spans="1:6">
      <c r="A207" s="82" t="s">
        <v>401</v>
      </c>
      <c r="B207" s="106">
        <v>78165.7</v>
      </c>
      <c r="C207" s="106">
        <v>43912.6</v>
      </c>
      <c r="D207" s="106">
        <v>87070.5</v>
      </c>
      <c r="E207" s="106">
        <v>124117</v>
      </c>
      <c r="F207" s="106">
        <v>548598</v>
      </c>
    </row>
    <row r="208" spans="1:6">
      <c r="A208" s="82" t="s">
        <v>403</v>
      </c>
      <c r="B208" s="106">
        <v>79895.8</v>
      </c>
      <c r="C208" s="106">
        <v>45670</v>
      </c>
      <c r="D208" s="106">
        <v>88772.5</v>
      </c>
      <c r="E208" s="106">
        <v>111564</v>
      </c>
      <c r="F208" s="106">
        <v>543710</v>
      </c>
    </row>
    <row r="209" spans="1:6">
      <c r="A209" s="82" t="s">
        <v>405</v>
      </c>
      <c r="B209" s="106">
        <v>80131.5</v>
      </c>
      <c r="C209" s="106">
        <v>45819</v>
      </c>
      <c r="D209" s="106">
        <v>89058</v>
      </c>
      <c r="E209" s="106">
        <v>111572</v>
      </c>
      <c r="F209" s="106">
        <v>542216</v>
      </c>
    </row>
    <row r="210" spans="1:6">
      <c r="A210" s="82" t="s">
        <v>494</v>
      </c>
      <c r="B210" s="106">
        <v>75941</v>
      </c>
      <c r="C210" s="106">
        <v>52040.6</v>
      </c>
      <c r="D210" s="106">
        <v>83312.3</v>
      </c>
      <c r="E210" s="106">
        <v>899</v>
      </c>
      <c r="F210" s="106">
        <v>362840</v>
      </c>
    </row>
    <row r="211" spans="1:6">
      <c r="A211" s="82" t="s">
        <v>495</v>
      </c>
      <c r="B211" s="106">
        <v>55752</v>
      </c>
      <c r="C211" s="106">
        <v>38456.199999999997</v>
      </c>
      <c r="D211" s="106">
        <v>60405.4</v>
      </c>
      <c r="E211" s="106">
        <v>742</v>
      </c>
      <c r="F211" s="106">
        <v>265115</v>
      </c>
    </row>
    <row r="212" spans="1:6">
      <c r="A212" s="82" t="s">
        <v>496</v>
      </c>
      <c r="B212" s="106">
        <v>58925.5</v>
      </c>
      <c r="C212" s="106">
        <v>40726</v>
      </c>
      <c r="D212" s="106">
        <v>64039.199999999997</v>
      </c>
      <c r="E212" s="106">
        <v>751</v>
      </c>
      <c r="F212" s="106">
        <v>277807</v>
      </c>
    </row>
    <row r="213" spans="1:6">
      <c r="A213" s="82" t="s">
        <v>497</v>
      </c>
      <c r="B213" s="106">
        <v>57781.3</v>
      </c>
      <c r="C213" s="106">
        <v>39790.400000000001</v>
      </c>
      <c r="D213" s="106">
        <v>62688.1</v>
      </c>
      <c r="E213" s="106">
        <v>751</v>
      </c>
      <c r="F213" s="106">
        <v>274244</v>
      </c>
    </row>
    <row r="214" spans="1:6">
      <c r="A214" s="82" t="s">
        <v>501</v>
      </c>
      <c r="B214" s="106">
        <v>768776</v>
      </c>
      <c r="C214" s="106">
        <v>391812</v>
      </c>
      <c r="D214" s="106">
        <v>833733</v>
      </c>
      <c r="E214" s="106">
        <v>262441</v>
      </c>
      <c r="F214" s="106">
        <v>452535</v>
      </c>
    </row>
    <row r="215" spans="1:6">
      <c r="A215" s="82" t="s">
        <v>408</v>
      </c>
      <c r="B215" s="106">
        <v>125277</v>
      </c>
      <c r="C215" s="106">
        <v>87642.1</v>
      </c>
      <c r="D215" s="106">
        <v>128827</v>
      </c>
      <c r="E215" s="106">
        <v>9093</v>
      </c>
      <c r="F215" s="106">
        <v>528956</v>
      </c>
    </row>
    <row r="216" spans="1:6">
      <c r="A216" s="82" t="s">
        <v>411</v>
      </c>
      <c r="B216" s="106">
        <v>75252.5</v>
      </c>
      <c r="C216" s="106">
        <v>47083.199999999997</v>
      </c>
      <c r="D216" s="106">
        <v>80716.399999999994</v>
      </c>
      <c r="E216" s="106">
        <v>14886</v>
      </c>
      <c r="F216" s="106">
        <v>315142</v>
      </c>
    </row>
    <row r="217" spans="1:6">
      <c r="A217" s="82" t="s">
        <v>413</v>
      </c>
      <c r="B217" s="106">
        <v>62700.800000000003</v>
      </c>
      <c r="C217" s="106">
        <v>37765.5</v>
      </c>
      <c r="D217" s="106">
        <v>67188</v>
      </c>
      <c r="E217" s="106">
        <v>54030</v>
      </c>
      <c r="F217" s="106">
        <v>262769</v>
      </c>
    </row>
    <row r="218" spans="1:6">
      <c r="A218" s="82" t="s">
        <v>414</v>
      </c>
      <c r="B218" s="106">
        <v>67354.3</v>
      </c>
      <c r="C218" s="106">
        <v>41294.699999999997</v>
      </c>
      <c r="D218" s="106">
        <v>72197.899999999994</v>
      </c>
      <c r="E218" s="106">
        <v>30153</v>
      </c>
      <c r="F218" s="106">
        <v>282195</v>
      </c>
    </row>
    <row r="219" spans="1:6">
      <c r="A219" s="82" t="s">
        <v>415</v>
      </c>
      <c r="B219" s="106">
        <v>66397.100000000006</v>
      </c>
      <c r="C219" s="106">
        <v>40592</v>
      </c>
      <c r="D219" s="106">
        <v>71194.7</v>
      </c>
      <c r="E219" s="106">
        <v>33230</v>
      </c>
      <c r="F219" s="106">
        <v>277928</v>
      </c>
    </row>
    <row r="220" spans="1:6">
      <c r="A220" s="82" t="s">
        <v>152</v>
      </c>
      <c r="B220" s="106">
        <v>287678</v>
      </c>
      <c r="C220" s="106">
        <v>206018</v>
      </c>
      <c r="D220" s="106">
        <v>310295</v>
      </c>
      <c r="E220" s="106">
        <v>407</v>
      </c>
      <c r="F220" s="106">
        <v>274867</v>
      </c>
    </row>
    <row r="221" spans="1:6">
      <c r="A221" s="82" t="s">
        <v>153</v>
      </c>
      <c r="B221" s="106">
        <v>253062</v>
      </c>
      <c r="C221" s="106">
        <v>125317</v>
      </c>
      <c r="D221" s="106">
        <v>287678</v>
      </c>
      <c r="E221" s="106">
        <v>24379</v>
      </c>
      <c r="F221" s="106">
        <v>247717</v>
      </c>
    </row>
    <row r="222" spans="1:6">
      <c r="A222" s="82" t="s">
        <v>154</v>
      </c>
      <c r="B222" s="106">
        <v>189416</v>
      </c>
      <c r="C222" s="106">
        <v>93383.1</v>
      </c>
      <c r="D222" s="106">
        <v>214896</v>
      </c>
      <c r="E222" s="106">
        <v>24763</v>
      </c>
      <c r="F222" s="106">
        <v>186803</v>
      </c>
    </row>
    <row r="223" spans="1:6">
      <c r="A223" s="82" t="s">
        <v>155</v>
      </c>
      <c r="B223" s="106">
        <v>184843</v>
      </c>
      <c r="C223" s="106">
        <v>92202.2</v>
      </c>
      <c r="D223" s="106">
        <v>210392</v>
      </c>
      <c r="E223" s="106">
        <v>24264</v>
      </c>
      <c r="F223" s="106">
        <v>176701</v>
      </c>
    </row>
    <row r="224" spans="1:6">
      <c r="A224" s="82" t="s">
        <v>156</v>
      </c>
      <c r="B224" s="106">
        <v>141965</v>
      </c>
      <c r="C224" s="106">
        <v>70077</v>
      </c>
      <c r="D224" s="106">
        <v>161637</v>
      </c>
      <c r="E224" s="106">
        <v>24106</v>
      </c>
      <c r="F224" s="106">
        <v>147059</v>
      </c>
    </row>
    <row r="225" spans="1:6">
      <c r="A225" s="82" t="s">
        <v>503</v>
      </c>
      <c r="B225" s="106">
        <v>8268.75</v>
      </c>
      <c r="C225" s="106">
        <v>5583.15</v>
      </c>
      <c r="D225" s="106">
        <v>9902.3799999999992</v>
      </c>
      <c r="E225" s="106">
        <v>866</v>
      </c>
      <c r="F225" s="106">
        <v>391081</v>
      </c>
    </row>
    <row r="226" spans="1:6">
      <c r="A226" s="82" t="s">
        <v>506</v>
      </c>
      <c r="B226" s="106">
        <v>8246.35</v>
      </c>
      <c r="C226" s="106">
        <v>5050.01</v>
      </c>
      <c r="D226" s="106">
        <v>9172.1</v>
      </c>
      <c r="E226" s="106">
        <v>2269</v>
      </c>
      <c r="F226" s="106">
        <v>387639</v>
      </c>
    </row>
    <row r="227" spans="1:6">
      <c r="A227" s="82" t="s">
        <v>507</v>
      </c>
      <c r="B227" s="106">
        <v>6254.82</v>
      </c>
      <c r="C227" s="106">
        <v>4346.07</v>
      </c>
      <c r="D227" s="106">
        <v>7903.93</v>
      </c>
      <c r="E227" s="106">
        <v>751</v>
      </c>
      <c r="F227" s="106">
        <v>294018</v>
      </c>
    </row>
    <row r="228" spans="1:6">
      <c r="A228" s="82" t="s">
        <v>510</v>
      </c>
      <c r="B228" s="106">
        <v>5814.33</v>
      </c>
      <c r="C228" s="106">
        <v>4044.72</v>
      </c>
      <c r="D228" s="106">
        <v>7451.43</v>
      </c>
      <c r="E228" s="106">
        <v>722</v>
      </c>
      <c r="F228" s="106">
        <v>273345</v>
      </c>
    </row>
    <row r="229" spans="1:6">
      <c r="A229" s="82" t="s">
        <v>513</v>
      </c>
      <c r="B229" s="106">
        <v>6083.27</v>
      </c>
      <c r="C229" s="106">
        <v>4240.4799999999996</v>
      </c>
      <c r="D229" s="106">
        <v>7718.11</v>
      </c>
      <c r="E229" s="106">
        <v>726</v>
      </c>
      <c r="F229" s="106">
        <v>288283</v>
      </c>
    </row>
    <row r="230" spans="1:6">
      <c r="A230" s="82" t="s">
        <v>517</v>
      </c>
      <c r="B230" s="106">
        <v>2095.34</v>
      </c>
      <c r="C230" s="106">
        <v>1071.55</v>
      </c>
      <c r="D230" s="106">
        <v>3450.93</v>
      </c>
      <c r="E230" s="106">
        <v>9703</v>
      </c>
      <c r="F230" s="106">
        <v>72308</v>
      </c>
    </row>
    <row r="231" spans="1:6">
      <c r="A231" s="82" t="s">
        <v>519</v>
      </c>
      <c r="B231" s="106">
        <v>1609.44</v>
      </c>
      <c r="C231" s="106">
        <v>734.48699999999997</v>
      </c>
      <c r="D231" s="106">
        <v>1722.69</v>
      </c>
      <c r="E231" s="106">
        <v>291982</v>
      </c>
      <c r="F231" s="106">
        <v>59176</v>
      </c>
    </row>
    <row r="232" spans="1:6">
      <c r="A232" s="82" t="s">
        <v>423</v>
      </c>
      <c r="B232" s="106">
        <v>36894.699999999997</v>
      </c>
      <c r="C232" s="106">
        <v>13680.2</v>
      </c>
      <c r="D232" s="106">
        <v>90219</v>
      </c>
      <c r="E232" s="106">
        <v>129479</v>
      </c>
      <c r="F232" s="106">
        <v>198252</v>
      </c>
    </row>
    <row r="233" spans="1:6">
      <c r="A233" s="82" t="s">
        <v>425</v>
      </c>
      <c r="B233" s="106">
        <v>31939.9</v>
      </c>
      <c r="C233" s="106">
        <v>10663.2</v>
      </c>
      <c r="D233" s="106">
        <v>85867.199999999997</v>
      </c>
      <c r="E233" s="106">
        <v>217592</v>
      </c>
      <c r="F233" s="106">
        <v>176413</v>
      </c>
    </row>
    <row r="234" spans="1:6">
      <c r="A234" s="82" t="s">
        <v>427</v>
      </c>
      <c r="B234" s="106">
        <v>34387.699999999997</v>
      </c>
      <c r="C234" s="106">
        <v>12129</v>
      </c>
      <c r="D234" s="106">
        <v>88177.4</v>
      </c>
      <c r="E234" s="106">
        <v>171137</v>
      </c>
      <c r="F234" s="106">
        <v>181013</v>
      </c>
    </row>
    <row r="235" spans="1:6">
      <c r="A235" s="82" t="s">
        <v>429</v>
      </c>
      <c r="B235" s="106">
        <v>33939</v>
      </c>
      <c r="C235" s="106">
        <v>11830.9</v>
      </c>
      <c r="D235" s="106">
        <v>87842.3</v>
      </c>
      <c r="E235" s="106">
        <v>180431</v>
      </c>
      <c r="F235" s="106">
        <v>181490</v>
      </c>
    </row>
    <row r="236" spans="1:6">
      <c r="A236" s="82" t="s">
        <v>47</v>
      </c>
      <c r="B236" s="106">
        <v>111471</v>
      </c>
      <c r="C236" s="106">
        <v>55883.9</v>
      </c>
      <c r="D236" s="106">
        <v>120474</v>
      </c>
      <c r="E236" s="106">
        <v>255835</v>
      </c>
      <c r="F236" s="106">
        <v>172502</v>
      </c>
    </row>
    <row r="237" spans="1:6">
      <c r="A237" s="82" t="s">
        <v>521</v>
      </c>
      <c r="B237" s="106">
        <v>399198</v>
      </c>
      <c r="C237" s="106">
        <v>197696</v>
      </c>
      <c r="D237" s="106">
        <v>452755</v>
      </c>
      <c r="E237" s="106">
        <v>24469</v>
      </c>
      <c r="F237" s="106">
        <v>418236</v>
      </c>
    </row>
    <row r="238" spans="1:6">
      <c r="A238" s="82" t="s">
        <v>522</v>
      </c>
      <c r="B238" s="106">
        <v>258725</v>
      </c>
      <c r="C238" s="106">
        <v>127967</v>
      </c>
      <c r="D238" s="106">
        <v>292598</v>
      </c>
      <c r="E238" s="106">
        <v>24841</v>
      </c>
      <c r="F238" s="106">
        <v>266205</v>
      </c>
    </row>
    <row r="239" spans="1:6">
      <c r="A239" s="82" t="s">
        <v>523</v>
      </c>
      <c r="B239" s="106">
        <v>251151</v>
      </c>
      <c r="C239" s="106">
        <v>125121</v>
      </c>
      <c r="D239" s="106">
        <v>285774</v>
      </c>
      <c r="E239" s="106">
        <v>24323</v>
      </c>
      <c r="F239" s="106">
        <v>270006</v>
      </c>
    </row>
    <row r="240" spans="1:6">
      <c r="A240" s="82" t="s">
        <v>524</v>
      </c>
      <c r="B240" s="106">
        <v>288900</v>
      </c>
      <c r="C240" s="106">
        <v>142546</v>
      </c>
      <c r="D240" s="106">
        <v>327708</v>
      </c>
      <c r="E240" s="106">
        <v>24268</v>
      </c>
      <c r="F240" s="106">
        <v>288619</v>
      </c>
    </row>
    <row r="241" spans="1:6">
      <c r="A241" s="82" t="s">
        <v>499</v>
      </c>
      <c r="B241" s="106">
        <v>45139.9</v>
      </c>
      <c r="C241" s="106">
        <v>23566.7</v>
      </c>
      <c r="D241" s="106">
        <v>50878.9</v>
      </c>
      <c r="E241" s="106">
        <v>226948</v>
      </c>
      <c r="F241" s="106">
        <v>606824</v>
      </c>
    </row>
    <row r="242" spans="1:6">
      <c r="A242" s="82" t="s">
        <v>528</v>
      </c>
      <c r="B242" s="106">
        <v>1121700</v>
      </c>
      <c r="C242" s="106">
        <v>635169</v>
      </c>
      <c r="D242" s="106">
        <v>1169930</v>
      </c>
      <c r="E242" s="106">
        <v>1521</v>
      </c>
      <c r="F242" s="106">
        <v>1369289</v>
      </c>
    </row>
    <row r="243" spans="1:6">
      <c r="A243" s="82" t="s">
        <v>531</v>
      </c>
      <c r="B243" s="106">
        <v>976038</v>
      </c>
      <c r="C243" s="106">
        <v>490198</v>
      </c>
      <c r="D243" s="106">
        <v>1038850</v>
      </c>
      <c r="E243" s="106">
        <v>43250</v>
      </c>
      <c r="F243" s="106">
        <v>1186201</v>
      </c>
    </row>
    <row r="244" spans="1:6">
      <c r="A244" s="82" t="s">
        <v>532</v>
      </c>
      <c r="B244" s="106">
        <v>972324</v>
      </c>
      <c r="C244" s="106">
        <v>485393</v>
      </c>
      <c r="D244" s="106">
        <v>1034870</v>
      </c>
      <c r="E244" s="106">
        <v>44349</v>
      </c>
      <c r="F244" s="106">
        <v>1199015</v>
      </c>
    </row>
    <row r="245" spans="1:6">
      <c r="A245" s="82" t="s">
        <v>533</v>
      </c>
      <c r="B245" s="106">
        <v>985285</v>
      </c>
      <c r="C245" s="106">
        <v>493897</v>
      </c>
      <c r="D245" s="106">
        <v>1048370</v>
      </c>
      <c r="E245" s="106">
        <v>42600</v>
      </c>
      <c r="F245" s="106">
        <v>1236413</v>
      </c>
    </row>
    <row r="246" spans="1:6">
      <c r="A246" s="82" t="s">
        <v>534</v>
      </c>
      <c r="B246" s="106">
        <v>1112860</v>
      </c>
      <c r="C246" s="106">
        <v>625166</v>
      </c>
      <c r="D246" s="106">
        <v>1183360</v>
      </c>
      <c r="E246" s="106">
        <v>17493</v>
      </c>
      <c r="F246" s="106">
        <v>1349722</v>
      </c>
    </row>
    <row r="247" spans="1:6">
      <c r="A247" s="82" t="s">
        <v>440</v>
      </c>
      <c r="B247" s="106">
        <v>31798.2</v>
      </c>
      <c r="C247" s="106">
        <v>11572.9</v>
      </c>
      <c r="D247" s="106">
        <v>36460.199999999997</v>
      </c>
      <c r="E247" s="106">
        <v>652374</v>
      </c>
      <c r="F247" s="106">
        <v>167145</v>
      </c>
    </row>
    <row r="248" spans="1:6">
      <c r="A248" s="82" t="s">
        <v>442</v>
      </c>
      <c r="B248" s="106">
        <v>61046.8</v>
      </c>
      <c r="C248" s="106">
        <v>30720.2</v>
      </c>
      <c r="D248" s="106">
        <v>69704.600000000006</v>
      </c>
      <c r="E248" s="106">
        <v>24057</v>
      </c>
      <c r="F248" s="106">
        <v>52957</v>
      </c>
    </row>
    <row r="249" spans="1:6">
      <c r="A249" s="82" t="s">
        <v>443</v>
      </c>
      <c r="B249" s="106">
        <v>31018</v>
      </c>
      <c r="C249" s="106">
        <v>10794.5</v>
      </c>
      <c r="D249" s="106">
        <v>35670.800000000003</v>
      </c>
      <c r="E249" s="106">
        <v>685756</v>
      </c>
      <c r="F249" s="106">
        <v>165982</v>
      </c>
    </row>
    <row r="250" spans="1:6">
      <c r="A250" s="82" t="s">
        <v>445</v>
      </c>
      <c r="B250" s="106">
        <v>31142.2</v>
      </c>
      <c r="C250" s="106">
        <v>10976.3</v>
      </c>
      <c r="D250" s="106">
        <v>35803.300000000003</v>
      </c>
      <c r="E250" s="106">
        <v>676771</v>
      </c>
      <c r="F250" s="106">
        <v>164274</v>
      </c>
    </row>
    <row r="251" spans="1:6">
      <c r="A251" s="82" t="s">
        <v>447</v>
      </c>
      <c r="B251" s="106">
        <v>31456.9</v>
      </c>
      <c r="C251" s="106">
        <v>11244.1</v>
      </c>
      <c r="D251" s="106">
        <v>36122.199999999997</v>
      </c>
      <c r="E251" s="106">
        <v>664881</v>
      </c>
      <c r="F251" s="106">
        <v>165399</v>
      </c>
    </row>
    <row r="252" spans="1:6">
      <c r="A252" s="82" t="s">
        <v>450</v>
      </c>
      <c r="B252" s="106">
        <v>1315530</v>
      </c>
      <c r="C252" s="106">
        <v>882872</v>
      </c>
      <c r="D252" s="106">
        <v>1416040</v>
      </c>
      <c r="E252" s="106">
        <v>13639</v>
      </c>
      <c r="F252" s="106">
        <v>1193923</v>
      </c>
    </row>
    <row r="253" spans="1:6">
      <c r="A253" s="82" t="s">
        <v>451</v>
      </c>
      <c r="B253" s="106">
        <v>1150770</v>
      </c>
      <c r="C253" s="106">
        <v>764860</v>
      </c>
      <c r="D253" s="106">
        <v>1239420</v>
      </c>
      <c r="E253" s="106">
        <v>43342</v>
      </c>
      <c r="F253" s="106">
        <v>1051174</v>
      </c>
    </row>
    <row r="254" spans="1:6">
      <c r="A254" s="82" t="s">
        <v>452</v>
      </c>
      <c r="B254" s="106">
        <v>1157080</v>
      </c>
      <c r="C254" s="106">
        <v>769036</v>
      </c>
      <c r="D254" s="106">
        <v>1244980</v>
      </c>
      <c r="E254" s="106">
        <v>43757</v>
      </c>
      <c r="F254" s="106">
        <v>1059108</v>
      </c>
    </row>
    <row r="255" spans="1:6">
      <c r="A255" s="82" t="s">
        <v>453</v>
      </c>
      <c r="B255" s="106">
        <v>1133930</v>
      </c>
      <c r="C255" s="106">
        <v>751173</v>
      </c>
      <c r="D255" s="106">
        <v>1220520</v>
      </c>
      <c r="E255" s="106">
        <v>46913</v>
      </c>
      <c r="F255" s="106">
        <v>1026698</v>
      </c>
    </row>
    <row r="256" spans="1:6">
      <c r="A256" s="82" t="s">
        <v>110</v>
      </c>
      <c r="B256" s="106">
        <v>555379</v>
      </c>
      <c r="C256" s="106">
        <v>282759</v>
      </c>
      <c r="D256" s="106">
        <v>601507</v>
      </c>
      <c r="E256" s="106">
        <v>262855</v>
      </c>
      <c r="F256" s="106">
        <v>564692</v>
      </c>
    </row>
    <row r="257" spans="1:6">
      <c r="A257" s="82" t="s">
        <v>432</v>
      </c>
      <c r="B257" s="106">
        <v>96906.2</v>
      </c>
      <c r="C257" s="106">
        <v>27854.6</v>
      </c>
      <c r="D257" s="106">
        <v>257762</v>
      </c>
      <c r="E257" s="106">
        <v>535126</v>
      </c>
      <c r="F257" s="106">
        <v>763479</v>
      </c>
    </row>
    <row r="258" spans="1:6">
      <c r="A258" s="82" t="s">
        <v>434</v>
      </c>
      <c r="B258" s="106">
        <v>67902.100000000006</v>
      </c>
      <c r="C258" s="106">
        <v>22241.8</v>
      </c>
      <c r="D258" s="106">
        <v>149123</v>
      </c>
      <c r="E258" s="106">
        <v>155255</v>
      </c>
      <c r="F258" s="106">
        <v>466290</v>
      </c>
    </row>
    <row r="259" spans="1:6">
      <c r="A259" s="82" t="s">
        <v>435</v>
      </c>
      <c r="B259" s="106">
        <v>68697.600000000006</v>
      </c>
      <c r="C259" s="106">
        <v>36849.300000000003</v>
      </c>
      <c r="D259" s="106">
        <v>73827</v>
      </c>
      <c r="E259" s="106">
        <v>147718</v>
      </c>
      <c r="F259" s="106">
        <v>478565</v>
      </c>
    </row>
    <row r="260" spans="1:6">
      <c r="A260" s="82" t="s">
        <v>436</v>
      </c>
      <c r="B260" s="106">
        <v>79780.3</v>
      </c>
      <c r="C260" s="106">
        <v>39449.4</v>
      </c>
      <c r="D260" s="106">
        <v>137309</v>
      </c>
      <c r="E260" s="106">
        <v>125957</v>
      </c>
      <c r="F260" s="106">
        <v>560372</v>
      </c>
    </row>
    <row r="261" spans="1:6">
      <c r="A261" s="82" t="s">
        <v>437</v>
      </c>
      <c r="B261" s="106">
        <v>78271.199999999997</v>
      </c>
      <c r="C261" s="106">
        <v>38261.199999999997</v>
      </c>
      <c r="D261" s="106">
        <v>135780</v>
      </c>
      <c r="E261" s="106">
        <v>131474</v>
      </c>
      <c r="F261" s="106">
        <v>555022</v>
      </c>
    </row>
    <row r="262" spans="1:6">
      <c r="A262" s="82" t="s">
        <v>438</v>
      </c>
      <c r="B262" s="106">
        <v>79212.100000000006</v>
      </c>
      <c r="C262" s="106">
        <v>39140.6</v>
      </c>
      <c r="D262" s="106">
        <v>136589</v>
      </c>
      <c r="E262" s="106">
        <v>127415</v>
      </c>
      <c r="F262" s="106">
        <v>551559</v>
      </c>
    </row>
    <row r="263" spans="1:6">
      <c r="A263" s="82" t="s">
        <v>536</v>
      </c>
      <c r="B263" s="106">
        <v>854099</v>
      </c>
      <c r="C263" s="106">
        <v>461814</v>
      </c>
      <c r="D263" s="106">
        <v>902844</v>
      </c>
      <c r="E263" s="106">
        <v>4008</v>
      </c>
      <c r="F263" s="106">
        <v>967434</v>
      </c>
    </row>
    <row r="264" spans="1:6">
      <c r="A264" s="82" t="s">
        <v>539</v>
      </c>
      <c r="B264" s="106">
        <v>849760</v>
      </c>
      <c r="C264" s="106">
        <v>457086</v>
      </c>
      <c r="D264" s="106">
        <v>898410</v>
      </c>
      <c r="E264" s="106">
        <v>3689</v>
      </c>
      <c r="F264" s="106">
        <v>959370</v>
      </c>
    </row>
    <row r="265" spans="1:6">
      <c r="A265" s="82" t="s">
        <v>542</v>
      </c>
      <c r="B265" s="106">
        <v>846721</v>
      </c>
      <c r="C265" s="106">
        <v>454864</v>
      </c>
      <c r="D265" s="106">
        <v>895327</v>
      </c>
      <c r="E265" s="106">
        <v>3739</v>
      </c>
      <c r="F265" s="106">
        <v>971559</v>
      </c>
    </row>
    <row r="266" spans="1:6">
      <c r="A266" s="82" t="s">
        <v>545</v>
      </c>
      <c r="B266" s="106">
        <v>841371</v>
      </c>
      <c r="C266" s="106">
        <v>448191</v>
      </c>
      <c r="D266" s="106">
        <v>889955</v>
      </c>
      <c r="E266" s="106">
        <v>3480</v>
      </c>
      <c r="F266" s="106">
        <v>960937</v>
      </c>
    </row>
    <row r="267" spans="1:6">
      <c r="A267" s="82" t="s">
        <v>548</v>
      </c>
      <c r="B267" s="106">
        <v>843231</v>
      </c>
      <c r="C267" s="106">
        <v>452205</v>
      </c>
      <c r="D267" s="106">
        <v>891809</v>
      </c>
      <c r="E267" s="106">
        <v>4051</v>
      </c>
      <c r="F267" s="106">
        <v>953078</v>
      </c>
    </row>
    <row r="268" spans="1:6">
      <c r="A268" s="82" t="s">
        <v>551</v>
      </c>
      <c r="B268" s="106">
        <v>769670</v>
      </c>
      <c r="C268" s="106">
        <v>378526</v>
      </c>
      <c r="D268" s="106">
        <v>815026</v>
      </c>
      <c r="E268" s="106">
        <v>7369</v>
      </c>
      <c r="F268" s="106">
        <v>878174</v>
      </c>
    </row>
    <row r="269" spans="1:6">
      <c r="A269" s="82" t="s">
        <v>554</v>
      </c>
      <c r="B269" s="106">
        <v>793708</v>
      </c>
      <c r="C269" s="106">
        <v>401658</v>
      </c>
      <c r="D269" s="106">
        <v>839227</v>
      </c>
      <c r="E269" s="106">
        <v>6304</v>
      </c>
      <c r="F269" s="106">
        <v>903760</v>
      </c>
    </row>
    <row r="270" spans="1:6">
      <c r="A270" s="82" t="s">
        <v>557</v>
      </c>
      <c r="B270" s="106">
        <v>776075</v>
      </c>
      <c r="C270" s="106">
        <v>382595</v>
      </c>
      <c r="D270" s="106">
        <v>821738</v>
      </c>
      <c r="E270" s="106">
        <v>7213</v>
      </c>
      <c r="F270" s="106">
        <v>916708</v>
      </c>
    </row>
    <row r="271" spans="1:6">
      <c r="A271" s="82" t="s">
        <v>560</v>
      </c>
      <c r="B271" s="106">
        <v>848358</v>
      </c>
      <c r="C271" s="106">
        <v>456063</v>
      </c>
      <c r="D271" s="106">
        <v>896967</v>
      </c>
      <c r="E271" s="106">
        <v>3993</v>
      </c>
      <c r="F271" s="106">
        <v>965586</v>
      </c>
    </row>
    <row r="272" spans="1:6">
      <c r="A272" s="82" t="s">
        <v>455</v>
      </c>
      <c r="B272" s="106">
        <v>48486.9</v>
      </c>
      <c r="C272" s="106">
        <v>9558.0400000000009</v>
      </c>
      <c r="D272" s="106">
        <v>59224.2</v>
      </c>
      <c r="E272" s="106">
        <v>367234</v>
      </c>
      <c r="F272" s="106">
        <v>933969</v>
      </c>
    </row>
    <row r="273" spans="1:6">
      <c r="A273" s="82" t="s">
        <v>457</v>
      </c>
      <c r="B273" s="106">
        <v>41700.1</v>
      </c>
      <c r="C273" s="106">
        <v>22463.1</v>
      </c>
      <c r="D273" s="106">
        <v>66378.2</v>
      </c>
      <c r="E273" s="106">
        <v>120672</v>
      </c>
      <c r="F273" s="106">
        <v>498896</v>
      </c>
    </row>
    <row r="274" spans="1:6">
      <c r="A274" s="82" t="s">
        <v>459</v>
      </c>
      <c r="B274" s="106">
        <v>457777</v>
      </c>
      <c r="C274" s="106">
        <v>226991</v>
      </c>
      <c r="D274" s="106">
        <v>519302</v>
      </c>
      <c r="E274" s="106">
        <v>24545</v>
      </c>
      <c r="F274" s="106">
        <v>488556</v>
      </c>
    </row>
    <row r="275" spans="1:6">
      <c r="A275" s="82" t="s">
        <v>460</v>
      </c>
      <c r="B275" s="106">
        <v>33444.300000000003</v>
      </c>
      <c r="C275" s="106">
        <v>16830.5</v>
      </c>
      <c r="D275" s="106">
        <v>58287.5</v>
      </c>
      <c r="E275" s="106">
        <v>206348</v>
      </c>
      <c r="F275" s="106">
        <v>393839</v>
      </c>
    </row>
    <row r="276" spans="1:6">
      <c r="A276" s="82" t="s">
        <v>462</v>
      </c>
      <c r="B276" s="106">
        <v>32450.400000000001</v>
      </c>
      <c r="C276" s="106">
        <v>16127.3</v>
      </c>
      <c r="D276" s="106">
        <v>57393.5</v>
      </c>
      <c r="E276" s="106">
        <v>221485</v>
      </c>
      <c r="F276" s="106">
        <v>387141</v>
      </c>
    </row>
    <row r="277" spans="1:6">
      <c r="A277" s="209" t="s">
        <v>464</v>
      </c>
      <c r="B277" s="210">
        <v>31679.8</v>
      </c>
      <c r="C277" s="210">
        <v>15621.3</v>
      </c>
      <c r="D277" s="210">
        <v>56616</v>
      </c>
      <c r="E277" s="210">
        <v>233094</v>
      </c>
      <c r="F277" s="210">
        <v>382971</v>
      </c>
    </row>
    <row r="278" spans="1:6" ht="48" customHeight="1">
      <c r="A278" s="566" t="s">
        <v>1726</v>
      </c>
      <c r="B278" s="566"/>
      <c r="C278" s="566"/>
      <c r="D278" s="566"/>
      <c r="E278" s="566"/>
      <c r="F278" s="566"/>
    </row>
    <row r="284" spans="1:6">
      <c r="B284"/>
      <c r="C284"/>
      <c r="D284"/>
      <c r="E284"/>
      <c r="F284"/>
    </row>
    <row r="285" spans="1:6">
      <c r="B285"/>
      <c r="C285"/>
      <c r="D285"/>
      <c r="E285"/>
      <c r="F285"/>
    </row>
    <row r="286" spans="1:6">
      <c r="B286"/>
      <c r="C286"/>
      <c r="D286"/>
      <c r="E286"/>
      <c r="F286"/>
    </row>
    <row r="287" spans="1:6">
      <c r="B287"/>
      <c r="C287"/>
      <c r="D287"/>
      <c r="E287"/>
      <c r="F287"/>
    </row>
    <row r="288" spans="1:6">
      <c r="B288"/>
      <c r="C288"/>
      <c r="D288"/>
      <c r="E288"/>
      <c r="F288"/>
    </row>
    <row r="289" customFormat="1"/>
  </sheetData>
  <sortState xmlns:xlrd2="http://schemas.microsoft.com/office/spreadsheetml/2017/richdata2" ref="A3:F278">
    <sortCondition ref="A3:A278"/>
  </sortState>
  <mergeCells count="1">
    <mergeCell ref="A278:F27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CD82D-E9C0-4840-B89A-E8D1AFCED50B}">
  <dimension ref="A1:F45"/>
  <sheetViews>
    <sheetView topLeftCell="A34" zoomScaleNormal="100" workbookViewId="0">
      <selection activeCell="E21" sqref="E21"/>
    </sheetView>
  </sheetViews>
  <sheetFormatPr defaultColWidth="13.7890625" defaultRowHeight="13.8"/>
  <cols>
    <col min="1" max="1" width="10.47265625" style="267" customWidth="1"/>
    <col min="2" max="2" width="23.15625" style="267" customWidth="1"/>
    <col min="3" max="3" width="44.47265625" style="267" customWidth="1"/>
    <col min="4" max="4" width="28" style="267" customWidth="1"/>
    <col min="5" max="5" width="60.47265625" style="267" customWidth="1"/>
    <col min="6" max="6" width="21.47265625" style="267" customWidth="1"/>
    <col min="7" max="21" width="8.47265625" style="272" customWidth="1"/>
    <col min="22" max="16384" width="13.7890625" style="272"/>
  </cols>
  <sheetData>
    <row r="1" spans="1:6" ht="14.5" customHeight="1">
      <c r="A1" s="265" t="s">
        <v>1549</v>
      </c>
      <c r="B1" s="266"/>
      <c r="C1" s="266"/>
      <c r="D1" s="266"/>
    </row>
    <row r="2" spans="1:6">
      <c r="A2" s="683" t="s">
        <v>0</v>
      </c>
      <c r="B2" s="684"/>
      <c r="C2" s="687" t="s">
        <v>875</v>
      </c>
      <c r="D2" s="688"/>
      <c r="E2" s="687" t="s">
        <v>876</v>
      </c>
      <c r="F2" s="689"/>
    </row>
    <row r="3" spans="1:6" ht="20.399999999999999">
      <c r="A3" s="685"/>
      <c r="B3" s="686"/>
      <c r="C3" s="268" t="s">
        <v>591</v>
      </c>
      <c r="D3" s="269" t="s">
        <v>877</v>
      </c>
      <c r="E3" s="268" t="s">
        <v>591</v>
      </c>
      <c r="F3" s="387" t="s">
        <v>877</v>
      </c>
    </row>
    <row r="4" spans="1:6" s="273" customFormat="1" ht="10.199999999999999">
      <c r="A4" s="263"/>
      <c r="B4" s="263"/>
      <c r="C4" s="270"/>
      <c r="D4" s="271"/>
      <c r="E4" s="270"/>
      <c r="F4" s="271"/>
    </row>
    <row r="5" spans="1:6" s="264" customFormat="1" ht="14.5" customHeight="1">
      <c r="A5" s="279" t="s">
        <v>564</v>
      </c>
      <c r="B5" s="280"/>
      <c r="C5" s="276"/>
      <c r="D5" s="277"/>
      <c r="E5" s="278"/>
      <c r="F5" s="388"/>
    </row>
    <row r="6" spans="1:6" s="273" customFormat="1" ht="14.5" customHeight="1">
      <c r="A6" s="389"/>
      <c r="B6" s="263" t="s">
        <v>897</v>
      </c>
      <c r="C6" s="680" t="s">
        <v>9</v>
      </c>
      <c r="D6" s="681"/>
      <c r="E6" s="691" t="s">
        <v>9</v>
      </c>
      <c r="F6" s="692"/>
    </row>
    <row r="7" spans="1:6" s="273" customFormat="1" ht="33.25" customHeight="1">
      <c r="A7" s="389"/>
      <c r="B7" s="321" t="s">
        <v>898</v>
      </c>
      <c r="C7" s="679" t="s">
        <v>9</v>
      </c>
      <c r="D7" s="678"/>
      <c r="E7" s="677" t="s">
        <v>9</v>
      </c>
      <c r="F7" s="678"/>
    </row>
    <row r="8" spans="1:6" s="273" customFormat="1" ht="27" customHeight="1">
      <c r="A8" s="389"/>
      <c r="B8" s="264" t="s">
        <v>251</v>
      </c>
      <c r="C8" s="320" t="s">
        <v>899</v>
      </c>
      <c r="D8" s="321" t="s">
        <v>880</v>
      </c>
      <c r="E8" s="320" t="s">
        <v>900</v>
      </c>
      <c r="F8" s="321" t="s">
        <v>880</v>
      </c>
    </row>
    <row r="9" spans="1:6" s="273" customFormat="1" ht="14.5" customHeight="1">
      <c r="A9" s="389"/>
      <c r="B9" s="271" t="s">
        <v>884</v>
      </c>
      <c r="C9" s="679" t="s">
        <v>9</v>
      </c>
      <c r="D9" s="678"/>
      <c r="E9" s="677" t="s">
        <v>9</v>
      </c>
      <c r="F9" s="678"/>
    </row>
    <row r="10" spans="1:6" s="273" customFormat="1" ht="14.5" customHeight="1">
      <c r="A10" s="389"/>
      <c r="B10" s="263" t="s">
        <v>885</v>
      </c>
      <c r="C10" s="670" t="s">
        <v>9</v>
      </c>
      <c r="D10" s="693"/>
      <c r="E10" s="670" t="s">
        <v>9</v>
      </c>
      <c r="F10" s="671"/>
    </row>
    <row r="11" spans="1:6" s="273" customFormat="1" ht="30.6">
      <c r="A11" s="389"/>
      <c r="B11" s="263" t="s">
        <v>269</v>
      </c>
      <c r="C11" s="270" t="s">
        <v>1539</v>
      </c>
      <c r="D11" s="322" t="s">
        <v>878</v>
      </c>
      <c r="E11" s="270" t="s">
        <v>1175</v>
      </c>
      <c r="F11" s="271" t="s">
        <v>880</v>
      </c>
    </row>
    <row r="12" spans="1:6" s="273" customFormat="1" ht="27.25" customHeight="1">
      <c r="A12" s="389"/>
      <c r="B12" s="263" t="s">
        <v>279</v>
      </c>
      <c r="C12" s="270" t="s">
        <v>1262</v>
      </c>
      <c r="D12" s="244" t="s">
        <v>878</v>
      </c>
      <c r="E12" s="670" t="s">
        <v>9</v>
      </c>
      <c r="F12" s="671"/>
    </row>
    <row r="13" spans="1:6" s="273" customFormat="1" ht="30.6">
      <c r="A13" s="389"/>
      <c r="B13" s="263" t="s">
        <v>285</v>
      </c>
      <c r="C13" s="270" t="s">
        <v>1540</v>
      </c>
      <c r="D13" s="322" t="s">
        <v>878</v>
      </c>
      <c r="E13" s="270" t="s">
        <v>1175</v>
      </c>
      <c r="F13" s="271" t="s">
        <v>880</v>
      </c>
    </row>
    <row r="14" spans="1:6" s="273" customFormat="1" ht="10.199999999999999">
      <c r="A14" s="263"/>
      <c r="B14" s="263"/>
      <c r="C14" s="270"/>
      <c r="D14" s="271"/>
      <c r="E14" s="270"/>
      <c r="F14" s="271"/>
    </row>
    <row r="15" spans="1:6" s="273" customFormat="1" ht="10.199999999999999">
      <c r="A15" s="263"/>
      <c r="B15" s="263"/>
      <c r="C15" s="270"/>
      <c r="D15" s="271"/>
      <c r="E15" s="270"/>
      <c r="F15" s="271"/>
    </row>
    <row r="16" spans="1:6" s="273" customFormat="1" ht="14.5" customHeight="1">
      <c r="A16" s="690" t="s">
        <v>32</v>
      </c>
      <c r="B16" s="690"/>
      <c r="C16" s="276"/>
      <c r="D16" s="277"/>
      <c r="E16" s="278"/>
      <c r="F16" s="388"/>
    </row>
    <row r="17" spans="1:6" s="273" customFormat="1" ht="30.6">
      <c r="A17" s="389"/>
      <c r="B17" s="390" t="s">
        <v>879</v>
      </c>
      <c r="C17" s="270" t="s">
        <v>1263</v>
      </c>
      <c r="D17" s="263" t="s">
        <v>880</v>
      </c>
      <c r="E17" s="324" t="s">
        <v>1264</v>
      </c>
      <c r="F17" s="326" t="s">
        <v>880</v>
      </c>
    </row>
    <row r="18" spans="1:6" s="273" customFormat="1" ht="14.5" customHeight="1">
      <c r="A18" s="263"/>
      <c r="B18" s="263"/>
      <c r="C18" s="270"/>
      <c r="D18" s="271"/>
      <c r="E18" s="270"/>
      <c r="F18" s="271"/>
    </row>
    <row r="19" spans="1:6" s="273" customFormat="1" ht="14.5" customHeight="1">
      <c r="A19" s="676" t="s">
        <v>111</v>
      </c>
      <c r="B19" s="676"/>
      <c r="C19" s="274"/>
      <c r="D19" s="275"/>
      <c r="E19" s="274"/>
      <c r="F19" s="275"/>
    </row>
    <row r="20" spans="1:6" s="273" customFormat="1" ht="14.5" customHeight="1">
      <c r="A20" s="389"/>
      <c r="B20" s="263" t="s">
        <v>137</v>
      </c>
      <c r="C20" s="680" t="s">
        <v>9</v>
      </c>
      <c r="D20" s="681"/>
      <c r="E20" s="680" t="s">
        <v>9</v>
      </c>
      <c r="F20" s="682"/>
    </row>
    <row r="21" spans="1:6" s="273" customFormat="1" ht="30.7" customHeight="1">
      <c r="A21" s="263"/>
      <c r="B21" s="263" t="s">
        <v>151</v>
      </c>
      <c r="C21" s="270" t="s">
        <v>1265</v>
      </c>
      <c r="D21" s="271" t="s">
        <v>9</v>
      </c>
      <c r="E21" s="270" t="s">
        <v>1266</v>
      </c>
      <c r="F21" s="271" t="s">
        <v>9</v>
      </c>
    </row>
    <row r="22" spans="1:6" s="273" customFormat="1" ht="14.5" customHeight="1">
      <c r="A22" s="263"/>
      <c r="B22" s="263"/>
      <c r="C22" s="270"/>
      <c r="D22" s="271"/>
      <c r="E22" s="270"/>
      <c r="F22" s="271"/>
    </row>
    <row r="23" spans="1:6" s="273" customFormat="1" ht="14.5" customHeight="1">
      <c r="A23" s="676" t="s">
        <v>574</v>
      </c>
      <c r="B23" s="676"/>
      <c r="C23" s="274"/>
      <c r="D23" s="275"/>
      <c r="E23" s="274"/>
      <c r="F23" s="275"/>
    </row>
    <row r="24" spans="1:6" s="273" customFormat="1" ht="43.5" customHeight="1">
      <c r="A24" s="389"/>
      <c r="B24" s="326" t="s">
        <v>583</v>
      </c>
      <c r="C24" s="263" t="s">
        <v>886</v>
      </c>
      <c r="D24" s="322" t="s">
        <v>880</v>
      </c>
      <c r="E24" s="263" t="s">
        <v>887</v>
      </c>
      <c r="F24" s="322" t="s">
        <v>880</v>
      </c>
    </row>
    <row r="25" spans="1:6" s="273" customFormat="1" ht="47.2" customHeight="1">
      <c r="A25" s="263"/>
      <c r="B25" s="271" t="s">
        <v>901</v>
      </c>
      <c r="C25" s="244" t="s">
        <v>888</v>
      </c>
      <c r="D25" s="271" t="s">
        <v>880</v>
      </c>
      <c r="E25" s="263" t="s">
        <v>889</v>
      </c>
      <c r="F25" s="271" t="s">
        <v>880</v>
      </c>
    </row>
    <row r="26" spans="1:6" s="273" customFormat="1" ht="14.5" customHeight="1">
      <c r="A26" s="263"/>
      <c r="B26" s="263" t="s">
        <v>384</v>
      </c>
      <c r="C26" s="679" t="s">
        <v>9</v>
      </c>
      <c r="D26" s="678"/>
      <c r="E26" s="677" t="s">
        <v>9</v>
      </c>
      <c r="F26" s="678"/>
    </row>
    <row r="27" spans="1:6" s="273" customFormat="1" ht="14.5" customHeight="1">
      <c r="A27" s="263"/>
      <c r="B27" s="263" t="s">
        <v>397</v>
      </c>
      <c r="C27" s="323" t="s">
        <v>892</v>
      </c>
      <c r="D27" s="271" t="s">
        <v>880</v>
      </c>
      <c r="E27" s="677" t="s">
        <v>9</v>
      </c>
      <c r="F27" s="678"/>
    </row>
    <row r="28" spans="1:6" s="273" customFormat="1" ht="25.45" customHeight="1">
      <c r="A28" s="263"/>
      <c r="B28" s="263" t="s">
        <v>407</v>
      </c>
      <c r="C28" s="323" t="s">
        <v>893</v>
      </c>
      <c r="D28" s="263" t="s">
        <v>880</v>
      </c>
      <c r="E28" s="679" t="s">
        <v>9</v>
      </c>
      <c r="F28" s="678"/>
    </row>
    <row r="29" spans="1:6" s="273" customFormat="1" ht="49.5" customHeight="1">
      <c r="A29" s="263"/>
      <c r="B29" s="244" t="s">
        <v>422</v>
      </c>
      <c r="C29" s="323" t="s">
        <v>1010</v>
      </c>
      <c r="D29" s="322" t="s">
        <v>880</v>
      </c>
      <c r="E29" s="263" t="s">
        <v>894</v>
      </c>
      <c r="F29" s="271" t="s">
        <v>880</v>
      </c>
    </row>
    <row r="30" spans="1:6" s="273" customFormat="1" ht="38.5" customHeight="1">
      <c r="A30" s="263"/>
      <c r="B30" s="244" t="s">
        <v>454</v>
      </c>
      <c r="C30" s="323" t="s">
        <v>895</v>
      </c>
      <c r="D30" s="322" t="s">
        <v>880</v>
      </c>
      <c r="E30" s="244" t="s">
        <v>896</v>
      </c>
      <c r="F30" s="322" t="s">
        <v>880</v>
      </c>
    </row>
    <row r="31" spans="1:6" s="273" customFormat="1" ht="14.5" customHeight="1">
      <c r="A31" s="263"/>
      <c r="B31" s="263"/>
      <c r="C31" s="270"/>
      <c r="D31" s="271"/>
      <c r="E31" s="270"/>
      <c r="F31" s="271"/>
    </row>
    <row r="32" spans="1:6" s="273" customFormat="1" ht="14.5" customHeight="1">
      <c r="A32" s="676" t="s">
        <v>585</v>
      </c>
      <c r="B32" s="676"/>
      <c r="C32" s="274"/>
      <c r="D32" s="275"/>
      <c r="E32" s="274"/>
      <c r="F32" s="275"/>
    </row>
    <row r="33" spans="1:6" s="263" customFormat="1" ht="14.5" customHeight="1">
      <c r="B33" s="122" t="s">
        <v>588</v>
      </c>
      <c r="C33" s="670" t="s">
        <v>9</v>
      </c>
      <c r="D33" s="671"/>
      <c r="E33" s="670" t="s">
        <v>9</v>
      </c>
      <c r="F33" s="671"/>
    </row>
    <row r="34" spans="1:6" s="273" customFormat="1" ht="14.5" customHeight="1">
      <c r="A34" s="51" t="s">
        <v>565</v>
      </c>
      <c r="B34" s="281"/>
      <c r="C34" s="281"/>
      <c r="D34" s="281"/>
      <c r="E34" s="281"/>
      <c r="F34" s="391"/>
    </row>
    <row r="35" spans="1:6" s="273" customFormat="1" ht="14.5" customHeight="1">
      <c r="A35" s="392"/>
      <c r="B35" s="263" t="s">
        <v>193</v>
      </c>
      <c r="C35" s="670" t="s">
        <v>9</v>
      </c>
      <c r="D35" s="671"/>
      <c r="E35" s="670" t="s">
        <v>9</v>
      </c>
      <c r="F35" s="671"/>
    </row>
    <row r="36" spans="1:6" s="273" customFormat="1" ht="16.75" customHeight="1">
      <c r="A36" s="389"/>
      <c r="B36" s="263" t="s">
        <v>221</v>
      </c>
      <c r="C36" s="670" t="s">
        <v>9</v>
      </c>
      <c r="D36" s="671"/>
      <c r="E36" s="670" t="s">
        <v>9</v>
      </c>
      <c r="F36" s="671"/>
    </row>
    <row r="37" spans="1:6" s="273" customFormat="1" ht="16.75" customHeight="1">
      <c r="A37" s="389"/>
      <c r="B37" s="263" t="s">
        <v>224</v>
      </c>
      <c r="C37" s="270" t="s">
        <v>883</v>
      </c>
      <c r="D37" s="271" t="s">
        <v>880</v>
      </c>
      <c r="E37" s="670" t="s">
        <v>9</v>
      </c>
      <c r="F37" s="671"/>
    </row>
    <row r="38" spans="1:6" s="273" customFormat="1" ht="44.5" customHeight="1">
      <c r="A38" s="263"/>
      <c r="B38" s="263" t="s">
        <v>391</v>
      </c>
      <c r="C38" s="323" t="s">
        <v>890</v>
      </c>
      <c r="D38" s="263" t="s">
        <v>880</v>
      </c>
      <c r="E38" s="323" t="s">
        <v>891</v>
      </c>
      <c r="F38" s="322" t="s">
        <v>880</v>
      </c>
    </row>
    <row r="39" spans="1:6" s="273" customFormat="1" ht="15.25" customHeight="1">
      <c r="A39" s="263"/>
      <c r="B39" s="263" t="s">
        <v>439</v>
      </c>
      <c r="C39" s="670" t="s">
        <v>9</v>
      </c>
      <c r="D39" s="671"/>
      <c r="E39" s="670" t="s">
        <v>9</v>
      </c>
      <c r="F39" s="671"/>
    </row>
    <row r="40" spans="1:6" s="273" customFormat="1" ht="14.5" customHeight="1">
      <c r="A40" s="51" t="s">
        <v>566</v>
      </c>
      <c r="B40" s="281"/>
      <c r="C40" s="281"/>
      <c r="D40" s="281"/>
      <c r="E40" s="281"/>
      <c r="F40" s="391"/>
    </row>
    <row r="41" spans="1:6" s="273" customFormat="1" ht="14.5" customHeight="1">
      <c r="A41" s="389"/>
      <c r="B41" s="271" t="s">
        <v>171</v>
      </c>
      <c r="C41" s="263" t="s">
        <v>881</v>
      </c>
      <c r="D41" s="263" t="s">
        <v>670</v>
      </c>
      <c r="E41" s="270" t="s">
        <v>882</v>
      </c>
      <c r="F41" s="271" t="s">
        <v>670</v>
      </c>
    </row>
    <row r="42" spans="1:6" s="273" customFormat="1" ht="59.2" customHeight="1">
      <c r="A42" s="263"/>
      <c r="B42" s="325" t="s">
        <v>431</v>
      </c>
      <c r="C42" s="260" t="s">
        <v>1267</v>
      </c>
      <c r="D42" s="244" t="s">
        <v>880</v>
      </c>
      <c r="E42" s="270" t="s">
        <v>1268</v>
      </c>
      <c r="F42" s="325" t="s">
        <v>49</v>
      </c>
    </row>
    <row r="43" spans="1:6" s="273" customFormat="1" ht="25.45" customHeight="1">
      <c r="A43" s="672" t="s">
        <v>1488</v>
      </c>
      <c r="B43" s="672"/>
      <c r="C43" s="673"/>
      <c r="D43" s="672"/>
      <c r="E43" s="672"/>
      <c r="F43" s="674"/>
    </row>
    <row r="44" spans="1:6" s="273" customFormat="1" ht="14.5" customHeight="1">
      <c r="A44" s="675"/>
      <c r="B44" s="675"/>
      <c r="C44" s="675"/>
      <c r="D44" s="675"/>
      <c r="E44" s="675"/>
      <c r="F44" s="675"/>
    </row>
    <row r="45" spans="1:6" s="273" customFormat="1" ht="14.5" customHeight="1">
      <c r="A45" s="263"/>
      <c r="B45" s="263"/>
      <c r="C45" s="263"/>
      <c r="D45" s="263"/>
      <c r="E45" s="263"/>
      <c r="F45" s="263"/>
    </row>
  </sheetData>
  <mergeCells count="33">
    <mergeCell ref="A23:B23"/>
    <mergeCell ref="E20:F20"/>
    <mergeCell ref="A19:B19"/>
    <mergeCell ref="A2:B3"/>
    <mergeCell ref="C2:D2"/>
    <mergeCell ref="E2:F2"/>
    <mergeCell ref="A16:B16"/>
    <mergeCell ref="C6:D6"/>
    <mergeCell ref="E6:F6"/>
    <mergeCell ref="C9:D9"/>
    <mergeCell ref="E9:F9"/>
    <mergeCell ref="C10:D10"/>
    <mergeCell ref="E10:F10"/>
    <mergeCell ref="E12:F12"/>
    <mergeCell ref="C7:D7"/>
    <mergeCell ref="E7:F7"/>
    <mergeCell ref="E27:F27"/>
    <mergeCell ref="E28:F28"/>
    <mergeCell ref="C20:D20"/>
    <mergeCell ref="C26:D26"/>
    <mergeCell ref="E26:F26"/>
    <mergeCell ref="C39:D39"/>
    <mergeCell ref="E39:F39"/>
    <mergeCell ref="A43:F43"/>
    <mergeCell ref="A44:F44"/>
    <mergeCell ref="A32:B32"/>
    <mergeCell ref="C33:D33"/>
    <mergeCell ref="E33:F33"/>
    <mergeCell ref="C35:D35"/>
    <mergeCell ref="E35:F35"/>
    <mergeCell ref="C36:D36"/>
    <mergeCell ref="E36:F36"/>
    <mergeCell ref="E37:F3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9D262-A489-4278-BE7E-91E3AD7FD947}">
  <dimension ref="A1:T96"/>
  <sheetViews>
    <sheetView topLeftCell="A76" workbookViewId="0">
      <selection activeCell="A2" sqref="A2:B2"/>
    </sheetView>
  </sheetViews>
  <sheetFormatPr defaultColWidth="8.7890625" defaultRowHeight="14.4"/>
  <cols>
    <col min="2" max="2" width="30.47265625" customWidth="1"/>
    <col min="10" max="10" width="8.7890625" style="132"/>
    <col min="11" max="12" width="8.7890625" style="156"/>
    <col min="13" max="14" width="8.7890625" style="132"/>
  </cols>
  <sheetData>
    <row r="1" spans="1:20">
      <c r="A1" s="91" t="s">
        <v>1550</v>
      </c>
      <c r="B1" s="91"/>
      <c r="I1" s="113"/>
    </row>
    <row r="2" spans="1:20">
      <c r="A2" s="564" t="s">
        <v>0</v>
      </c>
      <c r="B2" s="564"/>
      <c r="C2" s="152"/>
      <c r="D2" s="695" t="s">
        <v>85</v>
      </c>
      <c r="E2" s="695"/>
      <c r="F2" s="695"/>
      <c r="G2" s="695"/>
      <c r="H2" s="695"/>
      <c r="I2" s="393"/>
      <c r="J2" s="571" t="s">
        <v>18</v>
      </c>
      <c r="K2" s="571"/>
      <c r="L2" s="571"/>
      <c r="M2" s="571"/>
      <c r="N2" s="571"/>
      <c r="P2" s="695" t="s">
        <v>93</v>
      </c>
      <c r="Q2" s="695"/>
      <c r="R2" s="695"/>
      <c r="S2" s="695"/>
      <c r="T2" s="695"/>
    </row>
    <row r="3" spans="1:20">
      <c r="A3" s="145" t="s">
        <v>6</v>
      </c>
      <c r="B3" s="146"/>
      <c r="D3" s="337" t="s">
        <v>669</v>
      </c>
      <c r="E3" s="338" t="s">
        <v>670</v>
      </c>
      <c r="F3" s="338" t="s">
        <v>671</v>
      </c>
      <c r="G3" s="337" t="s">
        <v>667</v>
      </c>
      <c r="H3" s="337" t="s">
        <v>668</v>
      </c>
      <c r="I3" s="393"/>
      <c r="J3" s="151" t="s">
        <v>669</v>
      </c>
      <c r="K3" s="155" t="s">
        <v>670</v>
      </c>
      <c r="L3" s="155" t="s">
        <v>671</v>
      </c>
      <c r="M3" s="151" t="s">
        <v>667</v>
      </c>
      <c r="N3" s="151" t="s">
        <v>668</v>
      </c>
      <c r="P3" s="337" t="s">
        <v>669</v>
      </c>
      <c r="Q3" s="338" t="s">
        <v>670</v>
      </c>
      <c r="R3" s="338" t="s">
        <v>671</v>
      </c>
      <c r="S3" s="337" t="s">
        <v>667</v>
      </c>
      <c r="T3" s="337" t="s">
        <v>668</v>
      </c>
    </row>
    <row r="4" spans="1:20">
      <c r="B4" s="10" t="s">
        <v>7</v>
      </c>
      <c r="D4" s="339">
        <v>11707</v>
      </c>
      <c r="E4" s="340">
        <v>-2.73766843429454E-2</v>
      </c>
      <c r="F4" s="340">
        <v>0.89712256629637599</v>
      </c>
      <c r="G4" s="340">
        <v>-2.79656566493908</v>
      </c>
      <c r="H4" s="340">
        <v>7.08935553498792</v>
      </c>
      <c r="I4" s="341"/>
      <c r="J4" s="66">
        <v>145971</v>
      </c>
      <c r="K4" s="156">
        <v>7.1958999999999999E-3</v>
      </c>
      <c r="L4" s="156">
        <v>1.011879</v>
      </c>
      <c r="M4" s="156">
        <v>-3.1765759999999998</v>
      </c>
      <c r="N4" s="156">
        <v>8.3677379999999992</v>
      </c>
      <c r="P4" s="339">
        <v>8077</v>
      </c>
      <c r="Q4" s="340">
        <v>1.36094107429959E-2</v>
      </c>
      <c r="R4" s="340">
        <v>0.966039157205131</v>
      </c>
      <c r="S4" s="340">
        <v>-3.7326825735531499</v>
      </c>
      <c r="T4" s="340">
        <v>5.82336202681347</v>
      </c>
    </row>
    <row r="5" spans="1:20">
      <c r="B5" s="147" t="s">
        <v>19</v>
      </c>
      <c r="D5" s="339">
        <v>11723</v>
      </c>
      <c r="E5" s="340">
        <v>9.4650811358788101E-3</v>
      </c>
      <c r="F5" s="340">
        <v>0.96942048284580795</v>
      </c>
      <c r="G5" s="340">
        <v>-6.4193523446557901</v>
      </c>
      <c r="H5" s="340">
        <v>4.3783134693174803</v>
      </c>
      <c r="I5" s="341"/>
      <c r="J5" s="66">
        <v>148286</v>
      </c>
      <c r="K5" s="156">
        <v>1.7864499999999998E-2</v>
      </c>
      <c r="L5" s="156">
        <v>1.0018720000000001</v>
      </c>
      <c r="M5" s="156">
        <v>-15.574999999999999</v>
      </c>
      <c r="N5" s="156">
        <v>5.4356200000000001</v>
      </c>
      <c r="P5" s="339">
        <v>8103</v>
      </c>
      <c r="Q5" s="340">
        <v>1.36094107429959E-2</v>
      </c>
      <c r="R5" s="340">
        <v>0.966039157205131</v>
      </c>
      <c r="S5" s="340">
        <v>-3.7326825735531499</v>
      </c>
      <c r="T5" s="340">
        <v>5.82336202681347</v>
      </c>
    </row>
    <row r="6" spans="1:20">
      <c r="A6" s="113"/>
      <c r="D6" s="341"/>
      <c r="E6" s="340"/>
      <c r="F6" s="340"/>
      <c r="G6" s="340"/>
      <c r="H6" s="340"/>
      <c r="I6" s="351"/>
      <c r="M6" s="156"/>
      <c r="N6" s="156"/>
      <c r="O6" s="113"/>
      <c r="P6" s="341"/>
      <c r="Q6" s="340"/>
      <c r="R6" s="340"/>
      <c r="S6" s="340"/>
      <c r="T6" s="340"/>
    </row>
    <row r="7" spans="1:20">
      <c r="A7" s="154" t="s">
        <v>564</v>
      </c>
      <c r="B7" s="42"/>
      <c r="C7" s="153"/>
      <c r="D7" s="342"/>
      <c r="E7" s="343"/>
      <c r="F7" s="343"/>
      <c r="G7" s="343"/>
      <c r="H7" s="343"/>
      <c r="I7" s="342"/>
      <c r="J7" s="157"/>
      <c r="K7" s="158"/>
      <c r="L7" s="158"/>
      <c r="M7" s="158"/>
      <c r="N7" s="158"/>
      <c r="O7" s="113"/>
      <c r="P7" s="342"/>
      <c r="Q7" s="343"/>
      <c r="R7" s="343"/>
      <c r="S7" s="343"/>
      <c r="T7" s="343"/>
    </row>
    <row r="8" spans="1:20">
      <c r="B8" s="82" t="s">
        <v>234</v>
      </c>
      <c r="D8" s="339">
        <v>2402</v>
      </c>
      <c r="E8" s="340">
        <v>1.8790680707814401E-2</v>
      </c>
      <c r="F8" s="340">
        <v>1.0102889899516401</v>
      </c>
      <c r="G8" s="340">
        <v>-1.0735633552250501</v>
      </c>
      <c r="H8" s="340">
        <v>2.25682915920871</v>
      </c>
      <c r="I8" s="341"/>
      <c r="J8" s="66">
        <v>129452</v>
      </c>
      <c r="K8" s="156">
        <v>-4.1672999999999997E-3</v>
      </c>
      <c r="L8" s="156">
        <v>1.003865</v>
      </c>
      <c r="M8" s="156">
        <v>-7.5200399999999998</v>
      </c>
      <c r="N8" s="156">
        <v>5.0376789999999998</v>
      </c>
      <c r="P8" s="694" t="s">
        <v>9</v>
      </c>
      <c r="Q8" s="694"/>
      <c r="R8" s="694"/>
      <c r="S8" s="694"/>
      <c r="T8" s="694"/>
    </row>
    <row r="9" spans="1:20">
      <c r="B9" s="82" t="s">
        <v>245</v>
      </c>
      <c r="D9" s="339">
        <v>2402</v>
      </c>
      <c r="E9" s="340">
        <v>1.8790680707814401E-2</v>
      </c>
      <c r="F9" s="340">
        <v>1.0102889899516401</v>
      </c>
      <c r="G9" s="340">
        <v>-1.0735633552250501</v>
      </c>
      <c r="H9" s="340">
        <v>2.25682915920871</v>
      </c>
      <c r="I9" s="341"/>
      <c r="J9" s="66">
        <v>140841</v>
      </c>
      <c r="K9" s="156">
        <v>-2.0953E-3</v>
      </c>
      <c r="L9" s="156">
        <v>0.99999199999999999</v>
      </c>
      <c r="M9" s="156">
        <v>-6.9363320000000002</v>
      </c>
      <c r="N9" s="156">
        <v>6.2459879999999997</v>
      </c>
      <c r="P9" s="694" t="s">
        <v>9</v>
      </c>
      <c r="Q9" s="694"/>
      <c r="R9" s="694"/>
      <c r="S9" s="694"/>
      <c r="T9" s="694"/>
    </row>
    <row r="10" spans="1:20">
      <c r="B10" s="82" t="s">
        <v>251</v>
      </c>
      <c r="D10" s="339">
        <v>2402</v>
      </c>
      <c r="E10" s="340">
        <v>1.8790680707814401E-2</v>
      </c>
      <c r="F10" s="340">
        <v>1.0102889899516401</v>
      </c>
      <c r="G10" s="340">
        <v>-1.0735633552250501</v>
      </c>
      <c r="H10" s="340">
        <v>2.25682915920871</v>
      </c>
      <c r="I10" s="341"/>
      <c r="J10" s="66">
        <v>129430</v>
      </c>
      <c r="K10" s="156">
        <v>-2.9829999999999999E-4</v>
      </c>
      <c r="L10" s="156">
        <v>1.000192</v>
      </c>
      <c r="M10" s="156">
        <v>-7.0602359999999997</v>
      </c>
      <c r="N10" s="156">
        <v>5.6929889999999999</v>
      </c>
      <c r="P10" s="694" t="s">
        <v>9</v>
      </c>
      <c r="Q10" s="694"/>
      <c r="R10" s="694"/>
      <c r="S10" s="694"/>
      <c r="T10" s="694"/>
    </row>
    <row r="11" spans="1:20">
      <c r="B11" s="82" t="s">
        <v>258</v>
      </c>
      <c r="D11" s="339">
        <v>2402</v>
      </c>
      <c r="E11" s="340">
        <v>1.8790680707814401E-2</v>
      </c>
      <c r="F11" s="340">
        <v>1.0102889899516401</v>
      </c>
      <c r="G11" s="340">
        <v>-1.0735633552250501</v>
      </c>
      <c r="H11" s="340">
        <v>2.25682915920871</v>
      </c>
      <c r="I11" s="341"/>
      <c r="J11" s="66">
        <v>141090</v>
      </c>
      <c r="K11" s="156">
        <v>-1.7922000000000001E-3</v>
      </c>
      <c r="L11" s="156">
        <v>0.99957620000000003</v>
      </c>
      <c r="M11" s="156">
        <v>-6.4835000000000003</v>
      </c>
      <c r="N11" s="156">
        <v>6.0285310000000001</v>
      </c>
      <c r="P11" s="339">
        <v>7961</v>
      </c>
      <c r="Q11" s="340">
        <v>2.0584860343032499E-3</v>
      </c>
      <c r="R11" s="340">
        <v>0.99978495705509196</v>
      </c>
      <c r="S11" s="340">
        <v>-1.24911559341889</v>
      </c>
      <c r="T11" s="340">
        <v>1.5978861906588899</v>
      </c>
    </row>
    <row r="12" spans="1:20">
      <c r="B12" s="82" t="s">
        <v>264</v>
      </c>
      <c r="D12" s="339">
        <v>2402</v>
      </c>
      <c r="E12" s="340">
        <v>1.8790680707814401E-2</v>
      </c>
      <c r="F12" s="340">
        <v>1.0102889899516401</v>
      </c>
      <c r="G12" s="340">
        <v>-1.0735633552250501</v>
      </c>
      <c r="H12" s="340">
        <v>2.25682915920871</v>
      </c>
      <c r="I12" s="341"/>
      <c r="J12" s="66">
        <v>140964</v>
      </c>
      <c r="K12" s="156">
        <v>6.8456999999999997E-3</v>
      </c>
      <c r="L12" s="156">
        <v>0.99851710000000005</v>
      </c>
      <c r="M12" s="156">
        <v>-3.731446</v>
      </c>
      <c r="N12" s="156">
        <v>4.5051540000000001</v>
      </c>
      <c r="P12" s="694" t="s">
        <v>9</v>
      </c>
      <c r="Q12" s="694"/>
      <c r="R12" s="694"/>
      <c r="S12" s="694"/>
      <c r="T12" s="694"/>
    </row>
    <row r="13" spans="1:20">
      <c r="B13" s="82" t="s">
        <v>269</v>
      </c>
      <c r="D13" s="339">
        <v>1532</v>
      </c>
      <c r="E13" s="340">
        <v>1.5966969504695502E-2</v>
      </c>
      <c r="F13" s="340">
        <v>0.89214837162100502</v>
      </c>
      <c r="G13" s="340">
        <v>-2.2156562720412101</v>
      </c>
      <c r="H13" s="340">
        <v>3.99363087818874</v>
      </c>
      <c r="I13" s="341"/>
      <c r="J13" s="66">
        <v>147585</v>
      </c>
      <c r="K13" s="156">
        <v>7.3813999999999998E-3</v>
      </c>
      <c r="L13" s="156">
        <v>0.99974770000000002</v>
      </c>
      <c r="M13" s="156">
        <v>-3.9418920000000002</v>
      </c>
      <c r="N13" s="156">
        <v>5.4905280000000003</v>
      </c>
      <c r="P13" s="339">
        <v>8315</v>
      </c>
      <c r="Q13" s="340">
        <v>-6.6503427106073495E-4</v>
      </c>
      <c r="R13" s="340">
        <v>1.00056733615086</v>
      </c>
      <c r="S13" s="340">
        <v>-1.6043291281829299</v>
      </c>
      <c r="T13" s="340">
        <v>1.6588645280120899</v>
      </c>
    </row>
    <row r="14" spans="1:20">
      <c r="B14" s="82" t="s">
        <v>279</v>
      </c>
      <c r="D14" s="339">
        <v>1532</v>
      </c>
      <c r="E14" s="340">
        <v>4.1494039765151598E-2</v>
      </c>
      <c r="F14" s="340">
        <v>0.92157538003506601</v>
      </c>
      <c r="G14" s="340">
        <v>-2.44733288688324</v>
      </c>
      <c r="H14" s="340">
        <v>3.7701338408714302</v>
      </c>
      <c r="I14" s="341"/>
      <c r="J14" s="66">
        <v>147585</v>
      </c>
      <c r="K14" s="156">
        <v>4.5595000000000002E-3</v>
      </c>
      <c r="L14" s="156">
        <v>0.99897230000000004</v>
      </c>
      <c r="M14" s="156">
        <v>-3.5816949999999999</v>
      </c>
      <c r="N14" s="156">
        <v>7.650728</v>
      </c>
      <c r="P14" s="694" t="s">
        <v>9</v>
      </c>
      <c r="Q14" s="694"/>
      <c r="R14" s="694"/>
      <c r="S14" s="694"/>
      <c r="T14" s="694"/>
    </row>
    <row r="15" spans="1:20">
      <c r="B15" s="82" t="s">
        <v>285</v>
      </c>
      <c r="D15" s="339">
        <v>1532</v>
      </c>
      <c r="E15" s="340">
        <v>3.5100137705984399E-2</v>
      </c>
      <c r="F15" s="340">
        <v>0.90554985981015701</v>
      </c>
      <c r="G15" s="340">
        <v>-2.6153013499601401</v>
      </c>
      <c r="H15" s="340">
        <v>3.7534342837766999</v>
      </c>
      <c r="I15" s="341"/>
      <c r="J15" s="66">
        <v>147585</v>
      </c>
      <c r="K15" s="156">
        <v>7.3372000000000003E-3</v>
      </c>
      <c r="L15" s="156">
        <v>1.000181</v>
      </c>
      <c r="M15" s="156">
        <v>-3.8379289999999999</v>
      </c>
      <c r="N15" s="156">
        <v>6.4085640000000001</v>
      </c>
      <c r="P15" s="339">
        <v>8315</v>
      </c>
      <c r="Q15" s="340">
        <v>-6.6503427106073495E-4</v>
      </c>
      <c r="R15" s="340">
        <v>1.00056733615086</v>
      </c>
      <c r="S15" s="340">
        <v>-1.6043291281829299</v>
      </c>
      <c r="T15" s="340">
        <v>1.6588645280120899</v>
      </c>
    </row>
    <row r="16" spans="1:20">
      <c r="I16" s="113"/>
      <c r="O16" s="113"/>
    </row>
    <row r="17" spans="1:20">
      <c r="A17" s="148" t="s">
        <v>32</v>
      </c>
      <c r="B17" s="42"/>
      <c r="C17" s="153"/>
      <c r="D17" s="153"/>
      <c r="E17" s="153"/>
      <c r="F17" s="153"/>
      <c r="G17" s="153"/>
      <c r="H17" s="153"/>
      <c r="I17" s="153"/>
      <c r="J17" s="157"/>
      <c r="K17" s="158"/>
      <c r="L17" s="158"/>
      <c r="M17" s="157"/>
      <c r="N17" s="157"/>
      <c r="O17" s="153"/>
      <c r="P17" s="153"/>
      <c r="Q17" s="153"/>
      <c r="R17" s="153"/>
      <c r="S17" s="153"/>
      <c r="T17" s="153"/>
    </row>
    <row r="18" spans="1:20">
      <c r="B18" s="82" t="s">
        <v>33</v>
      </c>
      <c r="D18" s="346">
        <v>3338</v>
      </c>
      <c r="E18" s="347">
        <v>6.8900000000000003E-2</v>
      </c>
      <c r="F18" s="347">
        <v>0.253</v>
      </c>
      <c r="G18" s="348">
        <v>0</v>
      </c>
      <c r="H18" s="348">
        <v>1</v>
      </c>
      <c r="I18" s="341"/>
      <c r="J18" s="66">
        <v>131310</v>
      </c>
      <c r="K18" s="156">
        <v>0.58535369999999998</v>
      </c>
      <c r="L18" s="156">
        <v>0.31986569999999998</v>
      </c>
      <c r="M18" s="132">
        <v>0.01</v>
      </c>
      <c r="N18" s="156">
        <v>2</v>
      </c>
      <c r="P18" s="346">
        <v>8463</v>
      </c>
      <c r="Q18" s="347">
        <v>0.17199999999999999</v>
      </c>
      <c r="R18" s="347">
        <v>0.378</v>
      </c>
      <c r="S18" s="344">
        <v>0</v>
      </c>
      <c r="T18" s="348">
        <v>1</v>
      </c>
    </row>
    <row r="19" spans="1:20">
      <c r="B19" s="82" t="s">
        <v>46</v>
      </c>
      <c r="D19" s="694" t="s">
        <v>9</v>
      </c>
      <c r="E19" s="694"/>
      <c r="F19" s="694"/>
      <c r="G19" s="694"/>
      <c r="H19" s="694"/>
      <c r="I19" s="341"/>
      <c r="J19" s="577" t="s">
        <v>9</v>
      </c>
      <c r="K19" s="577"/>
      <c r="L19" s="577"/>
      <c r="M19" s="577"/>
      <c r="N19" s="577"/>
      <c r="P19" s="694" t="s">
        <v>9</v>
      </c>
      <c r="Q19" s="694"/>
      <c r="R19" s="694"/>
      <c r="S19" s="694"/>
      <c r="T19" s="694"/>
    </row>
    <row r="20" spans="1:20">
      <c r="B20" s="82" t="s">
        <v>50</v>
      </c>
      <c r="D20" s="694" t="s">
        <v>9</v>
      </c>
      <c r="E20" s="694"/>
      <c r="F20" s="694"/>
      <c r="G20" s="694"/>
      <c r="H20" s="694"/>
      <c r="I20" s="341"/>
      <c r="J20" s="66">
        <v>74231</v>
      </c>
      <c r="K20" s="156">
        <v>-5.3477999999999998E-2</v>
      </c>
      <c r="L20" s="156">
        <v>0.97155939999999996</v>
      </c>
      <c r="M20" s="132">
        <v>-3.4438</v>
      </c>
      <c r="N20" s="132">
        <v>3.720164</v>
      </c>
      <c r="P20" s="339">
        <v>7983</v>
      </c>
      <c r="Q20" s="340">
        <v>4.5959517482845299E-3</v>
      </c>
      <c r="R20" s="340">
        <v>0.99632155496556796</v>
      </c>
      <c r="S20" s="340">
        <v>-4.5434178739970301</v>
      </c>
      <c r="T20" s="340">
        <v>2.7915328264489698</v>
      </c>
    </row>
    <row r="21" spans="1:20">
      <c r="B21" s="82" t="s">
        <v>65</v>
      </c>
      <c r="D21" s="339">
        <v>11738</v>
      </c>
      <c r="E21" s="340">
        <v>11.615130000000001</v>
      </c>
      <c r="F21" s="340">
        <v>3.557372</v>
      </c>
      <c r="G21" s="341">
        <v>0</v>
      </c>
      <c r="H21" s="341">
        <v>17</v>
      </c>
      <c r="I21" s="341"/>
      <c r="J21" s="66">
        <v>146983</v>
      </c>
      <c r="K21" s="156">
        <v>14.04148</v>
      </c>
      <c r="L21" s="156">
        <v>4.9488849999999998</v>
      </c>
      <c r="M21" s="132">
        <v>7</v>
      </c>
      <c r="N21" s="132">
        <v>30</v>
      </c>
      <c r="P21" s="339">
        <v>8228</v>
      </c>
      <c r="Q21" s="340">
        <v>13.817690000000001</v>
      </c>
      <c r="R21" s="340">
        <v>2.4219930000000001</v>
      </c>
      <c r="S21" s="341">
        <v>6</v>
      </c>
      <c r="T21" s="341">
        <v>20</v>
      </c>
    </row>
    <row r="22" spans="1:20">
      <c r="B22" s="82" t="s">
        <v>107</v>
      </c>
      <c r="D22" s="694" t="s">
        <v>9</v>
      </c>
      <c r="E22" s="694"/>
      <c r="F22" s="694"/>
      <c r="G22" s="694"/>
      <c r="H22" s="694"/>
      <c r="I22" s="341"/>
      <c r="J22" s="577" t="s">
        <v>9</v>
      </c>
      <c r="K22" s="577"/>
      <c r="L22" s="577"/>
      <c r="M22" s="577"/>
      <c r="N22" s="577"/>
      <c r="P22" s="694" t="s">
        <v>9</v>
      </c>
      <c r="Q22" s="694"/>
      <c r="R22" s="694"/>
      <c r="S22" s="694"/>
      <c r="T22" s="694"/>
    </row>
    <row r="23" spans="1:20">
      <c r="B23" s="82" t="s">
        <v>109</v>
      </c>
      <c r="D23" s="694" t="s">
        <v>9</v>
      </c>
      <c r="E23" s="694"/>
      <c r="F23" s="694"/>
      <c r="G23" s="694"/>
      <c r="H23" s="694"/>
      <c r="I23" s="341"/>
      <c r="J23" s="577" t="s">
        <v>9</v>
      </c>
      <c r="K23" s="577"/>
      <c r="L23" s="577"/>
      <c r="M23" s="577"/>
      <c r="N23" s="577"/>
      <c r="P23" s="694" t="s">
        <v>9</v>
      </c>
      <c r="Q23" s="694"/>
      <c r="R23" s="694"/>
      <c r="S23" s="694"/>
      <c r="T23" s="694"/>
    </row>
    <row r="24" spans="1:20">
      <c r="D24" s="113"/>
      <c r="E24" s="113"/>
      <c r="F24" s="113"/>
      <c r="G24" s="113"/>
      <c r="H24" s="113"/>
      <c r="I24" s="113"/>
      <c r="O24" s="113"/>
      <c r="P24" s="113"/>
      <c r="Q24" s="113"/>
      <c r="R24" s="113"/>
      <c r="S24" s="113"/>
      <c r="T24" s="113"/>
    </row>
    <row r="25" spans="1:20">
      <c r="A25" s="149" t="s">
        <v>111</v>
      </c>
      <c r="B25" s="50"/>
      <c r="C25" s="153"/>
      <c r="I25" s="153"/>
      <c r="J25" s="157"/>
      <c r="K25" s="158"/>
      <c r="L25" s="158"/>
      <c r="M25" s="157"/>
      <c r="N25" s="157"/>
      <c r="O25" s="153"/>
    </row>
    <row r="26" spans="1:20">
      <c r="B26" s="82" t="s">
        <v>112</v>
      </c>
      <c r="D26" s="696" t="s">
        <v>9</v>
      </c>
      <c r="E26" s="696"/>
      <c r="F26" s="696"/>
      <c r="G26" s="696"/>
      <c r="H26" s="696"/>
      <c r="I26" s="341"/>
      <c r="J26" s="66">
        <v>64650</v>
      </c>
      <c r="K26" s="156">
        <v>26.096769999999999</v>
      </c>
      <c r="L26" s="156">
        <v>5.0879029999999998</v>
      </c>
      <c r="M26" s="132">
        <v>10</v>
      </c>
      <c r="N26" s="132">
        <v>50</v>
      </c>
      <c r="P26" s="346">
        <v>7609</v>
      </c>
      <c r="Q26" s="347">
        <v>24.33042</v>
      </c>
      <c r="R26" s="347">
        <v>4.6118040000000002</v>
      </c>
      <c r="S26" s="347">
        <v>10.08337</v>
      </c>
      <c r="T26" s="347">
        <v>64.666629999999998</v>
      </c>
    </row>
    <row r="27" spans="1:20">
      <c r="B27" s="82" t="s">
        <v>575</v>
      </c>
      <c r="D27" s="694" t="s">
        <v>9</v>
      </c>
      <c r="E27" s="694"/>
      <c r="F27" s="694"/>
      <c r="G27" s="694"/>
      <c r="H27" s="694"/>
      <c r="I27" s="341"/>
      <c r="J27" s="66">
        <v>77759</v>
      </c>
      <c r="K27" s="156">
        <v>12.93784</v>
      </c>
      <c r="L27" s="156">
        <v>1.6055999999999999</v>
      </c>
      <c r="M27" s="132">
        <v>6</v>
      </c>
      <c r="N27" s="132">
        <v>23</v>
      </c>
      <c r="P27" s="339">
        <v>3862</v>
      </c>
      <c r="Q27" s="340">
        <v>12.6</v>
      </c>
      <c r="R27" s="340">
        <v>1.5</v>
      </c>
      <c r="S27" s="341">
        <v>7</v>
      </c>
      <c r="T27" s="341">
        <v>25</v>
      </c>
    </row>
    <row r="28" spans="1:20">
      <c r="B28" s="82" t="s">
        <v>137</v>
      </c>
      <c r="D28" s="694" t="s">
        <v>9</v>
      </c>
      <c r="E28" s="694"/>
      <c r="F28" s="694"/>
      <c r="G28" s="694"/>
      <c r="H28" s="694"/>
      <c r="I28" s="341"/>
      <c r="J28" s="66">
        <v>130255</v>
      </c>
      <c r="K28" s="156">
        <v>19.15577</v>
      </c>
      <c r="L28" s="156">
        <v>3.8427120000000001</v>
      </c>
      <c r="M28" s="132">
        <v>12</v>
      </c>
      <c r="N28" s="132">
        <v>69</v>
      </c>
      <c r="P28" s="694" t="s">
        <v>9</v>
      </c>
      <c r="Q28" s="694"/>
      <c r="R28" s="694"/>
      <c r="S28" s="694"/>
      <c r="T28" s="694"/>
    </row>
    <row r="29" spans="1:20">
      <c r="B29" s="82" t="s">
        <v>576</v>
      </c>
      <c r="D29" s="694" t="s">
        <v>9</v>
      </c>
      <c r="E29" s="694"/>
      <c r="F29" s="694"/>
      <c r="G29" s="694"/>
      <c r="H29" s="694"/>
      <c r="I29" s="341"/>
      <c r="J29" s="577" t="s">
        <v>9</v>
      </c>
      <c r="K29" s="577"/>
      <c r="L29" s="577"/>
      <c r="M29" s="577"/>
      <c r="N29" s="577"/>
      <c r="P29" s="694" t="s">
        <v>9</v>
      </c>
      <c r="Q29" s="694"/>
      <c r="R29" s="694"/>
      <c r="S29" s="694"/>
      <c r="T29" s="694"/>
    </row>
    <row r="30" spans="1:20">
      <c r="B30" s="82" t="s">
        <v>577</v>
      </c>
      <c r="D30" s="694" t="s">
        <v>9</v>
      </c>
      <c r="E30" s="694"/>
      <c r="F30" s="694"/>
      <c r="G30" s="694"/>
      <c r="H30" s="694"/>
      <c r="I30" s="341"/>
      <c r="J30" s="66">
        <v>44448</v>
      </c>
      <c r="K30" s="156">
        <v>0.17976059999999999</v>
      </c>
      <c r="L30" s="156">
        <v>0.38399230000000001</v>
      </c>
      <c r="M30" s="132">
        <v>0</v>
      </c>
      <c r="N30" s="132">
        <v>1</v>
      </c>
      <c r="P30" s="694" t="s">
        <v>9</v>
      </c>
      <c r="Q30" s="694"/>
      <c r="R30" s="694"/>
      <c r="S30" s="694"/>
      <c r="T30" s="694"/>
    </row>
    <row r="31" spans="1:20">
      <c r="B31" s="82" t="s">
        <v>578</v>
      </c>
      <c r="D31" s="694" t="s">
        <v>9</v>
      </c>
      <c r="E31" s="694"/>
      <c r="F31" s="694"/>
      <c r="G31" s="694"/>
      <c r="H31" s="694"/>
      <c r="I31" s="341"/>
      <c r="J31" s="577" t="s">
        <v>9</v>
      </c>
      <c r="K31" s="577"/>
      <c r="L31" s="577"/>
      <c r="M31" s="577"/>
      <c r="N31" s="577"/>
      <c r="P31" s="694" t="s">
        <v>9</v>
      </c>
      <c r="Q31" s="694"/>
      <c r="R31" s="694"/>
      <c r="S31" s="694"/>
      <c r="T31" s="694"/>
    </row>
    <row r="32" spans="1:20">
      <c r="B32" s="82" t="s">
        <v>579</v>
      </c>
      <c r="D32" s="694" t="s">
        <v>9</v>
      </c>
      <c r="E32" s="694"/>
      <c r="F32" s="694"/>
      <c r="G32" s="694"/>
      <c r="H32" s="694"/>
      <c r="I32" s="341"/>
      <c r="J32" s="66">
        <v>72782</v>
      </c>
      <c r="K32" s="156">
        <v>0.17838200000000001</v>
      </c>
      <c r="L32" s="156">
        <v>0.38283660000000003</v>
      </c>
      <c r="M32" s="132">
        <v>0</v>
      </c>
      <c r="N32" s="132">
        <v>1</v>
      </c>
      <c r="P32" s="694" t="s">
        <v>9</v>
      </c>
      <c r="Q32" s="694"/>
      <c r="R32" s="694"/>
      <c r="S32" s="694"/>
      <c r="T32" s="694"/>
    </row>
    <row r="33" spans="1:20">
      <c r="B33" s="82" t="s">
        <v>580</v>
      </c>
      <c r="D33" s="339">
        <v>3775</v>
      </c>
      <c r="E33" s="340">
        <v>2.81</v>
      </c>
      <c r="F33" s="340">
        <v>2.1</v>
      </c>
      <c r="G33" s="341">
        <v>0</v>
      </c>
      <c r="H33" s="341">
        <v>11</v>
      </c>
      <c r="I33" s="341"/>
      <c r="J33" s="66">
        <v>44448</v>
      </c>
      <c r="K33" s="156">
        <v>1.873785</v>
      </c>
      <c r="L33" s="156">
        <v>1.2390399999999999</v>
      </c>
      <c r="M33" s="132">
        <v>0</v>
      </c>
      <c r="N33" s="132">
        <v>43</v>
      </c>
      <c r="P33" s="339">
        <v>606</v>
      </c>
      <c r="Q33" s="340">
        <v>3.59</v>
      </c>
      <c r="R33" s="340">
        <v>2.09</v>
      </c>
      <c r="S33" s="341">
        <v>0</v>
      </c>
      <c r="T33" s="341">
        <v>10</v>
      </c>
    </row>
    <row r="34" spans="1:20">
      <c r="B34" s="82" t="s">
        <v>581</v>
      </c>
      <c r="D34" s="694" t="s">
        <v>9</v>
      </c>
      <c r="E34" s="694"/>
      <c r="F34" s="694"/>
      <c r="G34" s="694"/>
      <c r="H34" s="694"/>
      <c r="I34" s="341"/>
      <c r="J34" s="577" t="s">
        <v>9</v>
      </c>
      <c r="K34" s="577"/>
      <c r="L34" s="577"/>
      <c r="M34" s="577"/>
      <c r="N34" s="577"/>
      <c r="P34" s="694" t="s">
        <v>9</v>
      </c>
      <c r="Q34" s="694"/>
      <c r="R34" s="694"/>
      <c r="S34" s="694"/>
      <c r="T34" s="694"/>
    </row>
    <row r="35" spans="1:20">
      <c r="B35" s="82" t="s">
        <v>582</v>
      </c>
      <c r="D35" s="339">
        <v>6633</v>
      </c>
      <c r="E35" s="340">
        <v>2.8</v>
      </c>
      <c r="F35" s="340">
        <v>2.13</v>
      </c>
      <c r="G35" s="341">
        <v>0</v>
      </c>
      <c r="H35" s="341">
        <v>11</v>
      </c>
      <c r="I35" s="341"/>
      <c r="J35" s="66">
        <v>72782</v>
      </c>
      <c r="K35" s="156">
        <v>1.8331869999999999</v>
      </c>
      <c r="L35" s="156">
        <v>1.168177</v>
      </c>
      <c r="M35" s="132">
        <v>0</v>
      </c>
      <c r="N35" s="132">
        <v>22</v>
      </c>
      <c r="P35" s="339">
        <v>3920</v>
      </c>
      <c r="Q35" s="341">
        <v>3.39</v>
      </c>
      <c r="R35" s="341">
        <v>2.04</v>
      </c>
      <c r="S35" s="341">
        <v>0</v>
      </c>
      <c r="T35" s="341">
        <v>17</v>
      </c>
    </row>
    <row r="36" spans="1:20">
      <c r="I36" s="113"/>
      <c r="O36" s="113"/>
    </row>
    <row r="37" spans="1:20">
      <c r="A37" s="149" t="s">
        <v>574</v>
      </c>
      <c r="B37" s="50"/>
      <c r="C37" s="153"/>
      <c r="D37" s="153"/>
      <c r="E37" s="153"/>
      <c r="F37" s="153"/>
      <c r="G37" s="153"/>
      <c r="H37" s="153"/>
      <c r="I37" s="153"/>
      <c r="J37" s="157"/>
      <c r="K37" s="158"/>
      <c r="L37" s="158"/>
      <c r="M37" s="157"/>
      <c r="N37" s="157"/>
      <c r="O37" s="153"/>
      <c r="P37" s="153"/>
      <c r="Q37" s="153"/>
      <c r="R37" s="153"/>
      <c r="S37" s="153"/>
      <c r="T37" s="153"/>
    </row>
    <row r="38" spans="1:20">
      <c r="B38" s="82" t="s">
        <v>186</v>
      </c>
      <c r="D38" s="694" t="s">
        <v>9</v>
      </c>
      <c r="E38" s="694"/>
      <c r="F38" s="694"/>
      <c r="G38" s="694"/>
      <c r="H38" s="694"/>
      <c r="I38" s="341"/>
      <c r="J38" s="577" t="s">
        <v>9</v>
      </c>
      <c r="K38" s="577"/>
      <c r="L38" s="577"/>
      <c r="M38" s="577"/>
      <c r="N38" s="577"/>
      <c r="P38" s="339">
        <v>3257</v>
      </c>
      <c r="Q38" s="340">
        <v>1.4728440000000001E-2</v>
      </c>
      <c r="R38" s="340">
        <v>0.1204822</v>
      </c>
      <c r="S38" s="341">
        <v>0</v>
      </c>
      <c r="T38" s="341">
        <v>1</v>
      </c>
    </row>
    <row r="39" spans="1:20">
      <c r="B39" s="82" t="s">
        <v>187</v>
      </c>
      <c r="D39" s="694" t="s">
        <v>9</v>
      </c>
      <c r="E39" s="694"/>
      <c r="F39" s="694"/>
      <c r="G39" s="694"/>
      <c r="H39" s="694"/>
      <c r="I39" s="341"/>
      <c r="J39" s="577" t="s">
        <v>9</v>
      </c>
      <c r="K39" s="577"/>
      <c r="L39" s="577"/>
      <c r="M39" s="577"/>
      <c r="N39" s="577"/>
      <c r="P39" s="339">
        <v>3257</v>
      </c>
      <c r="Q39" s="340">
        <v>3.375268E-2</v>
      </c>
      <c r="R39" s="340">
        <v>0.18061959999999999</v>
      </c>
      <c r="S39" s="341">
        <v>0</v>
      </c>
      <c r="T39" s="341">
        <v>1</v>
      </c>
    </row>
    <row r="40" spans="1:20">
      <c r="B40" s="82" t="s">
        <v>188</v>
      </c>
      <c r="D40" s="694" t="s">
        <v>9</v>
      </c>
      <c r="E40" s="694"/>
      <c r="F40" s="694"/>
      <c r="G40" s="694"/>
      <c r="H40" s="694"/>
      <c r="I40" s="341"/>
      <c r="J40" s="66">
        <v>148047</v>
      </c>
      <c r="K40" s="156">
        <v>3.6110200000000002E-2</v>
      </c>
      <c r="L40" s="156">
        <v>0.18656490000000001</v>
      </c>
      <c r="M40" s="132">
        <v>0</v>
      </c>
      <c r="N40" s="132">
        <v>1</v>
      </c>
      <c r="P40" s="339">
        <v>3257</v>
      </c>
      <c r="Q40" s="340">
        <v>4.2344279999999998E-2</v>
      </c>
      <c r="R40" s="340">
        <v>0.20140430000000001</v>
      </c>
      <c r="S40" s="341">
        <v>0</v>
      </c>
      <c r="T40" s="341">
        <v>1</v>
      </c>
    </row>
    <row r="41" spans="1:20">
      <c r="B41" s="82" t="s">
        <v>198</v>
      </c>
      <c r="D41" s="339">
        <v>1255</v>
      </c>
      <c r="E41" s="340">
        <v>4.7E-2</v>
      </c>
      <c r="F41" s="340">
        <v>0.21199999999999999</v>
      </c>
      <c r="G41" s="341">
        <v>0</v>
      </c>
      <c r="H41" s="341">
        <v>1</v>
      </c>
      <c r="I41" s="341"/>
      <c r="J41" s="66">
        <v>148638</v>
      </c>
      <c r="K41" s="156">
        <v>0.1600869</v>
      </c>
      <c r="L41" s="156">
        <v>0.36668790000000001</v>
      </c>
      <c r="M41" s="132">
        <v>0</v>
      </c>
      <c r="N41" s="132">
        <v>1</v>
      </c>
      <c r="P41" s="339">
        <v>8159</v>
      </c>
      <c r="Q41" s="340">
        <v>0.11799999999999999</v>
      </c>
      <c r="R41" s="340">
        <v>0.32200000000000001</v>
      </c>
      <c r="S41" s="341">
        <v>0</v>
      </c>
      <c r="T41" s="341">
        <v>1</v>
      </c>
    </row>
    <row r="42" spans="1:20">
      <c r="B42" s="82" t="s">
        <v>210</v>
      </c>
      <c r="D42" s="694" t="s">
        <v>9</v>
      </c>
      <c r="E42" s="694"/>
      <c r="F42" s="694"/>
      <c r="G42" s="694"/>
      <c r="H42" s="694"/>
      <c r="I42" s="341"/>
      <c r="J42" s="66">
        <v>142597</v>
      </c>
      <c r="K42" s="156">
        <v>0.37911040000000001</v>
      </c>
      <c r="L42" s="156">
        <v>0.48516730000000002</v>
      </c>
      <c r="M42" s="132">
        <v>0</v>
      </c>
      <c r="N42" s="132">
        <v>1</v>
      </c>
      <c r="P42" s="339">
        <v>1687</v>
      </c>
      <c r="Q42" s="340">
        <v>0.2703023</v>
      </c>
      <c r="R42" s="340">
        <v>0.44424760000000002</v>
      </c>
      <c r="S42" s="341">
        <v>0</v>
      </c>
      <c r="T42" s="341">
        <v>1</v>
      </c>
    </row>
    <row r="43" spans="1:20">
      <c r="B43" s="82" t="s">
        <v>583</v>
      </c>
      <c r="D43" s="339">
        <v>1223</v>
      </c>
      <c r="E43" s="340">
        <v>4.7899999999999998E-2</v>
      </c>
      <c r="F43" s="340">
        <v>0.214</v>
      </c>
      <c r="G43" s="341">
        <v>0</v>
      </c>
      <c r="H43" s="341">
        <v>1</v>
      </c>
      <c r="I43" s="341"/>
      <c r="J43" s="66">
        <v>80007</v>
      </c>
      <c r="K43" s="156">
        <v>8.8867199999999993E-2</v>
      </c>
      <c r="L43" s="156">
        <v>0.28455380000000002</v>
      </c>
      <c r="M43" s="132">
        <v>0</v>
      </c>
      <c r="N43" s="132">
        <v>1</v>
      </c>
      <c r="P43" s="339">
        <v>4407</v>
      </c>
      <c r="Q43" s="340">
        <v>9.3200000000000005E-2</v>
      </c>
      <c r="R43" s="340">
        <v>0.29099999999999998</v>
      </c>
      <c r="S43" s="341">
        <v>0</v>
      </c>
      <c r="T43" s="341">
        <v>1</v>
      </c>
    </row>
    <row r="44" spans="1:20">
      <c r="B44" s="82" t="s">
        <v>332</v>
      </c>
      <c r="D44" s="339">
        <v>2625</v>
      </c>
      <c r="E44" s="340">
        <v>0.20499999999999999</v>
      </c>
      <c r="F44" s="340">
        <v>0.40300000000000002</v>
      </c>
      <c r="G44" s="341">
        <v>0</v>
      </c>
      <c r="H44" s="341">
        <v>1</v>
      </c>
      <c r="I44" s="341"/>
      <c r="J44" s="66">
        <v>148381</v>
      </c>
      <c r="K44" s="156">
        <v>6.7319900000000002E-2</v>
      </c>
      <c r="L44" s="156">
        <v>0.25057610000000002</v>
      </c>
      <c r="M44" s="132">
        <v>0</v>
      </c>
      <c r="N44" s="132">
        <v>1</v>
      </c>
      <c r="P44" s="339">
        <v>8164</v>
      </c>
      <c r="Q44" s="340">
        <v>0.13400000000000001</v>
      </c>
      <c r="R44" s="340">
        <v>0.34</v>
      </c>
      <c r="S44" s="341">
        <v>0</v>
      </c>
      <c r="T44" s="341">
        <v>1</v>
      </c>
    </row>
    <row r="45" spans="1:20">
      <c r="B45" s="82" t="s">
        <v>584</v>
      </c>
      <c r="D45" s="339">
        <v>2388</v>
      </c>
      <c r="E45" s="340">
        <v>0.41899999999999998</v>
      </c>
      <c r="F45" s="340">
        <v>0.49299999999999999</v>
      </c>
      <c r="G45" s="341">
        <v>0</v>
      </c>
      <c r="H45" s="341">
        <v>1</v>
      </c>
      <c r="I45" s="341"/>
      <c r="J45" s="66">
        <v>148469</v>
      </c>
      <c r="K45" s="156">
        <v>0.12539320000000001</v>
      </c>
      <c r="L45" s="156">
        <v>0.3311653</v>
      </c>
      <c r="M45" s="132">
        <v>0</v>
      </c>
      <c r="N45" s="132">
        <v>1</v>
      </c>
      <c r="P45" s="339">
        <v>2093</v>
      </c>
      <c r="Q45" s="340">
        <v>0.35399999999999998</v>
      </c>
      <c r="R45" s="340">
        <v>0.47799999999999998</v>
      </c>
      <c r="S45" s="341">
        <v>0</v>
      </c>
      <c r="T45" s="341">
        <v>1</v>
      </c>
    </row>
    <row r="46" spans="1:20">
      <c r="B46" s="82" t="s">
        <v>371</v>
      </c>
      <c r="D46" s="694" t="s">
        <v>9</v>
      </c>
      <c r="E46" s="694"/>
      <c r="F46" s="694"/>
      <c r="G46" s="694"/>
      <c r="H46" s="694"/>
      <c r="I46" s="341"/>
      <c r="J46" s="66">
        <v>107763</v>
      </c>
      <c r="K46" s="156">
        <v>3.7879400000000001E-2</v>
      </c>
      <c r="L46" s="156">
        <v>0.19090550000000001</v>
      </c>
      <c r="M46" s="132">
        <v>0</v>
      </c>
      <c r="N46" s="132">
        <v>1</v>
      </c>
      <c r="P46" s="694" t="s">
        <v>9</v>
      </c>
      <c r="Q46" s="694"/>
      <c r="R46" s="694"/>
      <c r="S46" s="694"/>
      <c r="T46" s="694"/>
    </row>
    <row r="47" spans="1:20">
      <c r="B47" s="82" t="s">
        <v>379</v>
      </c>
      <c r="D47" s="694" t="s">
        <v>9</v>
      </c>
      <c r="E47" s="694"/>
      <c r="F47" s="694"/>
      <c r="G47" s="694"/>
      <c r="H47" s="694"/>
      <c r="I47" s="341"/>
      <c r="J47" s="66">
        <v>128749</v>
      </c>
      <c r="K47" s="156">
        <v>0.1589372</v>
      </c>
      <c r="L47" s="156">
        <v>0.36561890000000002</v>
      </c>
      <c r="M47" s="132">
        <v>0</v>
      </c>
      <c r="N47" s="132">
        <v>1</v>
      </c>
      <c r="P47" s="339">
        <v>3257</v>
      </c>
      <c r="Q47" s="340">
        <v>5.3400000000000003E-2</v>
      </c>
      <c r="R47" s="340">
        <v>0.22500000000000001</v>
      </c>
      <c r="S47" s="341">
        <v>0</v>
      </c>
      <c r="T47" s="341">
        <v>1</v>
      </c>
    </row>
    <row r="48" spans="1:20">
      <c r="B48" s="82" t="s">
        <v>384</v>
      </c>
      <c r="D48" s="694" t="s">
        <v>9</v>
      </c>
      <c r="E48" s="694"/>
      <c r="F48" s="694"/>
      <c r="G48" s="694"/>
      <c r="H48" s="694"/>
      <c r="I48" s="341"/>
      <c r="J48" s="66">
        <v>140239</v>
      </c>
      <c r="K48" s="156">
        <v>2.14063E-2</v>
      </c>
      <c r="L48" s="156">
        <v>0.144735</v>
      </c>
      <c r="M48" s="132">
        <v>0</v>
      </c>
      <c r="N48" s="132">
        <v>1</v>
      </c>
      <c r="P48" s="694" t="s">
        <v>9</v>
      </c>
      <c r="Q48" s="694"/>
      <c r="R48" s="694"/>
      <c r="S48" s="694"/>
      <c r="T48" s="694"/>
    </row>
    <row r="49" spans="1:20">
      <c r="B49" s="82" t="s">
        <v>397</v>
      </c>
      <c r="D49" s="339">
        <v>2383</v>
      </c>
      <c r="E49" s="340">
        <v>0.20899999999999999</v>
      </c>
      <c r="F49" s="340">
        <v>0.40600000000000003</v>
      </c>
      <c r="G49" s="341">
        <v>0</v>
      </c>
      <c r="H49" s="341">
        <v>1</v>
      </c>
      <c r="I49" s="341"/>
      <c r="J49" s="66">
        <v>141839</v>
      </c>
      <c r="K49" s="156">
        <v>0.1000853</v>
      </c>
      <c r="L49" s="156">
        <v>0.30011480000000001</v>
      </c>
      <c r="M49" s="132">
        <v>0</v>
      </c>
      <c r="N49" s="132">
        <v>1</v>
      </c>
      <c r="P49" s="694" t="s">
        <v>9</v>
      </c>
      <c r="Q49" s="694"/>
      <c r="R49" s="694"/>
      <c r="S49" s="694"/>
      <c r="T49" s="694"/>
    </row>
    <row r="50" spans="1:20">
      <c r="B50" s="82" t="s">
        <v>407</v>
      </c>
      <c r="D50" s="339">
        <v>98</v>
      </c>
      <c r="E50" s="340">
        <v>0.30612240000000002</v>
      </c>
      <c r="F50" s="340">
        <v>0.46325080000000002</v>
      </c>
      <c r="G50" s="341">
        <v>0</v>
      </c>
      <c r="H50" s="341">
        <v>1</v>
      </c>
      <c r="I50" s="341"/>
      <c r="J50" s="66">
        <v>54646</v>
      </c>
      <c r="K50" s="156">
        <v>0.32974049999999999</v>
      </c>
      <c r="L50" s="156">
        <v>0.47012310000000002</v>
      </c>
      <c r="M50" s="132">
        <v>0</v>
      </c>
      <c r="N50" s="132">
        <v>1</v>
      </c>
      <c r="P50" s="694" t="s">
        <v>9</v>
      </c>
      <c r="Q50" s="694"/>
      <c r="R50" s="694"/>
      <c r="S50" s="694"/>
      <c r="T50" s="694"/>
    </row>
    <row r="51" spans="1:20">
      <c r="B51" s="82" t="s">
        <v>422</v>
      </c>
      <c r="D51" s="339">
        <v>1019</v>
      </c>
      <c r="E51" s="340">
        <v>9.8099999999999993E-3</v>
      </c>
      <c r="F51" s="340">
        <v>9.8599999999999993E-2</v>
      </c>
      <c r="G51" s="341">
        <v>0</v>
      </c>
      <c r="H51" s="341">
        <v>1</v>
      </c>
      <c r="I51" s="341"/>
      <c r="J51" s="66">
        <v>68631</v>
      </c>
      <c r="K51" s="156">
        <v>7.6525200000000002E-2</v>
      </c>
      <c r="L51" s="156">
        <v>0.26583849999999998</v>
      </c>
      <c r="M51" s="132">
        <v>0</v>
      </c>
      <c r="N51" s="132">
        <v>1</v>
      </c>
      <c r="P51" s="339">
        <v>4083</v>
      </c>
      <c r="Q51" s="340">
        <v>9.4600000000000004E-2</v>
      </c>
      <c r="R51" s="340">
        <v>0.29299999999999998</v>
      </c>
      <c r="S51" s="341">
        <v>0</v>
      </c>
      <c r="T51" s="341">
        <v>1</v>
      </c>
    </row>
    <row r="52" spans="1:20">
      <c r="B52" s="82" t="s">
        <v>449</v>
      </c>
      <c r="D52" s="339">
        <v>1457</v>
      </c>
      <c r="E52" s="340">
        <v>2.45609225096373E-4</v>
      </c>
      <c r="F52" s="340">
        <v>0.94230713287065404</v>
      </c>
      <c r="G52" s="340">
        <v>-2.2834473981804901</v>
      </c>
      <c r="H52" s="340">
        <v>1.7358406805387301</v>
      </c>
      <c r="I52" s="341"/>
      <c r="J52" s="66">
        <v>148062</v>
      </c>
      <c r="K52" s="156">
        <v>-1.7143700000000001E-2</v>
      </c>
      <c r="L52" s="156">
        <v>0.99751339999999999</v>
      </c>
      <c r="M52" s="156">
        <v>-2.8639540000000001</v>
      </c>
      <c r="N52" s="156">
        <v>1.6287240000000001</v>
      </c>
      <c r="P52" s="339">
        <v>8129</v>
      </c>
      <c r="Q52" s="340">
        <v>-2.1052681246439501E-2</v>
      </c>
      <c r="R52" s="340">
        <v>0.84641222242886205</v>
      </c>
      <c r="S52" s="340">
        <v>-4.9450146990565402</v>
      </c>
      <c r="T52" s="340">
        <v>2.1085506238112002</v>
      </c>
    </row>
    <row r="53" spans="1:20">
      <c r="B53" s="82" t="s">
        <v>454</v>
      </c>
      <c r="D53" s="339">
        <v>2390</v>
      </c>
      <c r="E53" s="340">
        <v>0.34439999999999998</v>
      </c>
      <c r="F53" s="340">
        <v>0.47499999999999998</v>
      </c>
      <c r="G53" s="341">
        <v>0</v>
      </c>
      <c r="H53" s="341">
        <v>1</v>
      </c>
      <c r="I53" s="341"/>
      <c r="J53" s="66">
        <v>148312</v>
      </c>
      <c r="K53" s="156">
        <v>8.6311299999999994E-2</v>
      </c>
      <c r="L53" s="156">
        <v>0.28082410000000002</v>
      </c>
      <c r="M53" s="132">
        <v>0</v>
      </c>
      <c r="N53" s="132">
        <v>1</v>
      </c>
      <c r="P53" s="339">
        <v>7531</v>
      </c>
      <c r="Q53" s="340">
        <v>0.14399999999999999</v>
      </c>
      <c r="R53" s="340">
        <v>0.35099999999999998</v>
      </c>
      <c r="S53" s="341">
        <v>0</v>
      </c>
      <c r="T53" s="341">
        <v>1</v>
      </c>
    </row>
    <row r="54" spans="1:20">
      <c r="B54" s="82"/>
      <c r="I54" s="113"/>
      <c r="O54" s="113"/>
    </row>
    <row r="55" spans="1:20">
      <c r="A55" s="149" t="s">
        <v>585</v>
      </c>
      <c r="B55" s="50"/>
      <c r="C55" s="153"/>
      <c r="D55" s="153"/>
      <c r="E55" s="153"/>
      <c r="F55" s="153"/>
      <c r="G55" s="153"/>
      <c r="H55" s="153"/>
      <c r="I55" s="153"/>
      <c r="J55" s="157"/>
      <c r="K55" s="158"/>
      <c r="L55" s="158"/>
      <c r="M55" s="157"/>
      <c r="N55" s="157"/>
      <c r="O55" s="153"/>
      <c r="P55" s="153"/>
      <c r="Q55" s="153"/>
      <c r="R55" s="153"/>
      <c r="S55" s="153"/>
      <c r="T55" s="153"/>
    </row>
    <row r="56" spans="1:20">
      <c r="B56" s="82" t="s">
        <v>467</v>
      </c>
      <c r="D56" s="339">
        <v>1585</v>
      </c>
      <c r="E56" s="340">
        <v>1.0542252259536601E-2</v>
      </c>
      <c r="F56" s="340">
        <v>0.882812400775289</v>
      </c>
      <c r="G56" s="340">
        <v>-2.0481258375418099</v>
      </c>
      <c r="H56" s="340">
        <v>1.8047349231571299</v>
      </c>
      <c r="I56" s="341"/>
      <c r="J56" s="577" t="s">
        <v>9</v>
      </c>
      <c r="K56" s="577"/>
      <c r="L56" s="577"/>
      <c r="M56" s="577"/>
      <c r="N56" s="577"/>
      <c r="P56" s="694" t="s">
        <v>9</v>
      </c>
      <c r="Q56" s="694"/>
      <c r="R56" s="694"/>
      <c r="S56" s="694"/>
      <c r="T56" s="694"/>
    </row>
    <row r="57" spans="1:20">
      <c r="B57" s="82" t="s">
        <v>469</v>
      </c>
      <c r="D57" s="694" t="s">
        <v>9</v>
      </c>
      <c r="E57" s="694"/>
      <c r="F57" s="694"/>
      <c r="G57" s="694"/>
      <c r="H57" s="694"/>
      <c r="I57" s="341"/>
      <c r="J57" s="577" t="s">
        <v>9</v>
      </c>
      <c r="K57" s="577"/>
      <c r="L57" s="577"/>
      <c r="M57" s="577"/>
      <c r="N57" s="577"/>
      <c r="P57" s="694" t="s">
        <v>9</v>
      </c>
      <c r="Q57" s="694"/>
      <c r="R57" s="694"/>
      <c r="S57" s="694"/>
      <c r="T57" s="694"/>
    </row>
    <row r="58" spans="1:20">
      <c r="B58" s="82" t="s">
        <v>470</v>
      </c>
      <c r="D58" s="694" t="s">
        <v>9</v>
      </c>
      <c r="E58" s="694"/>
      <c r="F58" s="694"/>
      <c r="G58" s="694"/>
      <c r="H58" s="694"/>
      <c r="I58" s="341"/>
      <c r="J58" s="577" t="s">
        <v>9</v>
      </c>
      <c r="K58" s="577"/>
      <c r="L58" s="577"/>
      <c r="M58" s="577"/>
      <c r="N58" s="577"/>
      <c r="P58" s="694" t="s">
        <v>9</v>
      </c>
      <c r="Q58" s="694"/>
      <c r="R58" s="694"/>
      <c r="S58" s="694"/>
      <c r="T58" s="694"/>
    </row>
    <row r="59" spans="1:20">
      <c r="B59" s="82" t="s">
        <v>471</v>
      </c>
      <c r="D59" s="694" t="s">
        <v>9</v>
      </c>
      <c r="E59" s="694"/>
      <c r="F59" s="694"/>
      <c r="G59" s="694"/>
      <c r="H59" s="694"/>
      <c r="I59" s="341"/>
      <c r="J59" s="577" t="s">
        <v>9</v>
      </c>
      <c r="K59" s="577"/>
      <c r="L59" s="577"/>
      <c r="M59" s="577"/>
      <c r="N59" s="577"/>
      <c r="P59" s="694" t="s">
        <v>9</v>
      </c>
      <c r="Q59" s="694"/>
      <c r="R59" s="694"/>
      <c r="S59" s="694"/>
      <c r="T59" s="694"/>
    </row>
    <row r="60" spans="1:20">
      <c r="B60" s="82" t="s">
        <v>472</v>
      </c>
      <c r="D60" s="694" t="s">
        <v>9</v>
      </c>
      <c r="E60" s="694"/>
      <c r="F60" s="694"/>
      <c r="G60" s="694"/>
      <c r="H60" s="694"/>
      <c r="I60" s="341"/>
      <c r="J60" s="577" t="s">
        <v>9</v>
      </c>
      <c r="K60" s="577"/>
      <c r="L60" s="577"/>
      <c r="M60" s="577"/>
      <c r="N60" s="577"/>
      <c r="P60" s="694" t="s">
        <v>9</v>
      </c>
      <c r="Q60" s="694"/>
      <c r="R60" s="694"/>
      <c r="S60" s="694"/>
      <c r="T60" s="694"/>
    </row>
    <row r="61" spans="1:20">
      <c r="B61" s="82" t="s">
        <v>473</v>
      </c>
      <c r="D61" s="339">
        <v>1585</v>
      </c>
      <c r="E61" s="340">
        <v>1.6509420450936702E-2</v>
      </c>
      <c r="F61" s="340">
        <v>0.92649551689982501</v>
      </c>
      <c r="G61" s="340">
        <v>-3.8143813691345998</v>
      </c>
      <c r="H61" s="340">
        <v>1.6268919571734599</v>
      </c>
      <c r="I61" s="341"/>
      <c r="J61" s="577" t="s">
        <v>9</v>
      </c>
      <c r="K61" s="577"/>
      <c r="L61" s="577"/>
      <c r="M61" s="577"/>
      <c r="N61" s="577"/>
      <c r="P61" s="339">
        <v>8173</v>
      </c>
      <c r="Q61" s="340">
        <v>-2.8968569368607298E-3</v>
      </c>
      <c r="R61" s="340">
        <v>0.92269504649716705</v>
      </c>
      <c r="S61" s="340">
        <v>-3.0202076354584402</v>
      </c>
      <c r="T61" s="340">
        <v>2.6322713530858799</v>
      </c>
    </row>
    <row r="62" spans="1:20">
      <c r="B62" s="82" t="s">
        <v>478</v>
      </c>
      <c r="D62" s="694" t="s">
        <v>9</v>
      </c>
      <c r="E62" s="694"/>
      <c r="F62" s="694"/>
      <c r="G62" s="694"/>
      <c r="H62" s="694"/>
      <c r="I62" s="341"/>
      <c r="J62" s="577" t="s">
        <v>9</v>
      </c>
      <c r="K62" s="577"/>
      <c r="L62" s="577"/>
      <c r="M62" s="577"/>
      <c r="N62" s="577"/>
      <c r="P62" s="694" t="s">
        <v>9</v>
      </c>
      <c r="Q62" s="694"/>
      <c r="R62" s="694"/>
      <c r="S62" s="694"/>
      <c r="T62" s="694"/>
    </row>
    <row r="63" spans="1:20">
      <c r="B63" s="82" t="s">
        <v>480</v>
      </c>
      <c r="D63" s="339">
        <v>2474</v>
      </c>
      <c r="E63" s="340">
        <v>-1.6892095440852802E-2</v>
      </c>
      <c r="F63" s="340">
        <v>0.93244666127846099</v>
      </c>
      <c r="G63" s="340">
        <v>-4.7467576839514303</v>
      </c>
      <c r="H63" s="340">
        <v>1.4857368297662099</v>
      </c>
      <c r="I63" s="341"/>
      <c r="J63" s="66">
        <v>56141</v>
      </c>
      <c r="K63" s="156">
        <v>-1.6327899999999999E-2</v>
      </c>
      <c r="L63" s="156">
        <v>1.003871</v>
      </c>
      <c r="M63" s="156">
        <v>-4.5690879999999998</v>
      </c>
      <c r="N63" s="156">
        <v>1.575726</v>
      </c>
      <c r="P63" s="339">
        <v>7719</v>
      </c>
      <c r="Q63" s="340">
        <v>3.9351827313885502E-3</v>
      </c>
      <c r="R63" s="340">
        <v>0.99683075026519796</v>
      </c>
      <c r="S63" s="340">
        <v>-4.9618859119064203</v>
      </c>
      <c r="T63" s="340">
        <v>1.0449146079278699</v>
      </c>
    </row>
    <row r="64" spans="1:20">
      <c r="B64" s="82" t="s">
        <v>485</v>
      </c>
      <c r="D64" s="694" t="s">
        <v>9</v>
      </c>
      <c r="E64" s="694"/>
      <c r="F64" s="694"/>
      <c r="G64" s="694"/>
      <c r="H64" s="694"/>
      <c r="I64" s="341"/>
      <c r="J64" s="66">
        <v>56431</v>
      </c>
      <c r="K64" s="156">
        <v>-1.5347700000000001E-2</v>
      </c>
      <c r="L64" s="156">
        <v>0.99836659999999999</v>
      </c>
      <c r="M64" s="156">
        <v>-4.6528919999999996</v>
      </c>
      <c r="N64" s="156">
        <v>2.1557050000000002</v>
      </c>
      <c r="P64" s="694" t="s">
        <v>9</v>
      </c>
      <c r="Q64" s="694"/>
      <c r="R64" s="694"/>
      <c r="S64" s="694"/>
      <c r="T64" s="694"/>
    </row>
    <row r="65" spans="1:20">
      <c r="B65" s="82" t="s">
        <v>486</v>
      </c>
      <c r="D65" s="339">
        <v>2292</v>
      </c>
      <c r="E65" s="340">
        <v>1.27610495268204E-2</v>
      </c>
      <c r="F65" s="340">
        <v>0.98394870889549102</v>
      </c>
      <c r="G65" s="340">
        <v>-4.6615861861888899</v>
      </c>
      <c r="H65" s="340">
        <v>1.1062197880210201</v>
      </c>
      <c r="I65" s="341"/>
      <c r="J65" s="66">
        <v>56084</v>
      </c>
      <c r="K65" s="156">
        <v>-2.7553999999999999E-3</v>
      </c>
      <c r="L65" s="156">
        <v>0.99391439999999998</v>
      </c>
      <c r="M65" s="156">
        <v>-5.4742499999999996</v>
      </c>
      <c r="N65" s="156">
        <v>2.1012409999999999</v>
      </c>
      <c r="P65" s="694" t="s">
        <v>9</v>
      </c>
      <c r="Q65" s="694"/>
      <c r="R65" s="694"/>
      <c r="S65" s="694"/>
      <c r="T65" s="694"/>
    </row>
    <row r="66" spans="1:20">
      <c r="B66" s="82" t="s">
        <v>586</v>
      </c>
      <c r="D66" s="694" t="s">
        <v>9</v>
      </c>
      <c r="E66" s="694"/>
      <c r="F66" s="694"/>
      <c r="G66" s="694"/>
      <c r="H66" s="694"/>
      <c r="I66" s="341"/>
      <c r="J66" s="66">
        <v>37781</v>
      </c>
      <c r="K66" s="156">
        <v>-6.4725E-3</v>
      </c>
      <c r="L66" s="156">
        <v>0.99936590000000003</v>
      </c>
      <c r="M66" s="156">
        <v>-4.5589849999999998</v>
      </c>
      <c r="N66" s="156">
        <v>2.190407</v>
      </c>
      <c r="P66" s="694" t="s">
        <v>9</v>
      </c>
      <c r="Q66" s="694"/>
      <c r="R66" s="694"/>
      <c r="S66" s="694"/>
      <c r="T66" s="694"/>
    </row>
    <row r="67" spans="1:20">
      <c r="B67" s="82" t="s">
        <v>492</v>
      </c>
      <c r="D67" s="694" t="s">
        <v>9</v>
      </c>
      <c r="E67" s="694"/>
      <c r="F67" s="694"/>
      <c r="G67" s="694"/>
      <c r="H67" s="694"/>
      <c r="I67" s="341"/>
      <c r="J67" s="66">
        <v>146370</v>
      </c>
      <c r="K67" s="156">
        <v>1.17176E-2</v>
      </c>
      <c r="L67" s="156">
        <v>1.001754</v>
      </c>
      <c r="M67" s="156">
        <v>-0.61721009999999998</v>
      </c>
      <c r="N67" s="156">
        <v>2.7411699999999999</v>
      </c>
      <c r="P67" s="694" t="s">
        <v>9</v>
      </c>
      <c r="Q67" s="694"/>
      <c r="R67" s="694"/>
      <c r="S67" s="694"/>
      <c r="T67" s="694"/>
    </row>
    <row r="68" spans="1:20">
      <c r="B68" s="82" t="s">
        <v>493</v>
      </c>
      <c r="D68" s="694" t="s">
        <v>9</v>
      </c>
      <c r="E68" s="694"/>
      <c r="F68" s="694"/>
      <c r="G68" s="694"/>
      <c r="H68" s="694"/>
      <c r="I68" s="341"/>
      <c r="J68" s="66">
        <v>133572</v>
      </c>
      <c r="K68" s="156">
        <v>-3.4313999999999998E-3</v>
      </c>
      <c r="L68" s="156">
        <v>0.9990483</v>
      </c>
      <c r="M68" s="156">
        <v>-2.0830320000000002</v>
      </c>
      <c r="N68" s="156">
        <v>1.633003</v>
      </c>
      <c r="P68" s="694" t="s">
        <v>9</v>
      </c>
      <c r="Q68" s="694"/>
      <c r="R68" s="694"/>
      <c r="S68" s="694"/>
      <c r="T68" s="694"/>
    </row>
    <row r="69" spans="1:20">
      <c r="B69" s="82" t="s">
        <v>588</v>
      </c>
      <c r="D69" s="694" t="s">
        <v>9</v>
      </c>
      <c r="E69" s="694"/>
      <c r="F69" s="694"/>
      <c r="G69" s="694"/>
      <c r="H69" s="694"/>
      <c r="I69" s="341"/>
      <c r="J69" s="577" t="s">
        <v>9</v>
      </c>
      <c r="K69" s="577"/>
      <c r="L69" s="577"/>
      <c r="M69" s="577"/>
      <c r="N69" s="577"/>
      <c r="P69" s="694" t="s">
        <v>9</v>
      </c>
      <c r="Q69" s="694"/>
      <c r="R69" s="694"/>
      <c r="S69" s="694"/>
      <c r="T69" s="694"/>
    </row>
    <row r="70" spans="1:20">
      <c r="B70" s="82" t="s">
        <v>500</v>
      </c>
      <c r="D70" s="694" t="s">
        <v>9</v>
      </c>
      <c r="E70" s="694"/>
      <c r="F70" s="694"/>
      <c r="G70" s="694"/>
      <c r="H70" s="694"/>
      <c r="I70" s="341"/>
      <c r="J70" s="577" t="s">
        <v>9</v>
      </c>
      <c r="K70" s="577"/>
      <c r="L70" s="577"/>
      <c r="M70" s="577"/>
      <c r="N70" s="577"/>
      <c r="P70" s="694" t="s">
        <v>9</v>
      </c>
      <c r="Q70" s="694"/>
      <c r="R70" s="694"/>
      <c r="S70" s="694"/>
      <c r="T70" s="694"/>
    </row>
    <row r="71" spans="1:20">
      <c r="B71" s="82" t="s">
        <v>502</v>
      </c>
      <c r="D71" s="339">
        <v>1608</v>
      </c>
      <c r="E71" s="340">
        <v>-3.3123075417920901E-2</v>
      </c>
      <c r="F71" s="340">
        <v>0.91859328875997703</v>
      </c>
      <c r="G71" s="340">
        <v>-3.4640157657088402</v>
      </c>
      <c r="H71" s="340">
        <v>1.865928625969</v>
      </c>
      <c r="I71" s="341"/>
      <c r="J71" s="66">
        <v>120043</v>
      </c>
      <c r="K71" s="156">
        <v>8.7413000000000005E-3</v>
      </c>
      <c r="L71" s="156">
        <v>1.0027509999999999</v>
      </c>
      <c r="M71" s="156">
        <v>-1.5532269999999999</v>
      </c>
      <c r="N71" s="156">
        <v>2.8149790000000001</v>
      </c>
      <c r="P71" s="339">
        <v>8169</v>
      </c>
      <c r="Q71" s="340">
        <v>5.8661951591220804E-3</v>
      </c>
      <c r="R71" s="340">
        <v>0.90531986946718601</v>
      </c>
      <c r="S71" s="340">
        <v>-2.4274674432641499</v>
      </c>
      <c r="T71" s="340">
        <v>3.2356338048256101</v>
      </c>
    </row>
    <row r="72" spans="1:20">
      <c r="B72" s="82" t="s">
        <v>516</v>
      </c>
      <c r="D72" s="339">
        <v>1602</v>
      </c>
      <c r="E72" s="340">
        <v>1.2008784715411801E-2</v>
      </c>
      <c r="F72" s="340">
        <v>0.92688458043057198</v>
      </c>
      <c r="G72" s="340">
        <v>-3.4815617928833098</v>
      </c>
      <c r="H72" s="340">
        <v>2.0344496444585198</v>
      </c>
      <c r="I72" s="341"/>
      <c r="J72" s="577" t="s">
        <v>9</v>
      </c>
      <c r="K72" s="577"/>
      <c r="L72" s="577"/>
      <c r="M72" s="577"/>
      <c r="N72" s="577"/>
      <c r="P72" s="339">
        <v>8164</v>
      </c>
      <c r="Q72" s="340">
        <v>-7.9794276359884207E-3</v>
      </c>
      <c r="R72" s="340">
        <v>0.91409913556448297</v>
      </c>
      <c r="S72" s="340">
        <v>-3.1858022462148199</v>
      </c>
      <c r="T72" s="340">
        <v>3.3121781789109201</v>
      </c>
    </row>
    <row r="73" spans="1:20">
      <c r="B73" s="82" t="s">
        <v>418</v>
      </c>
      <c r="D73" s="694" t="s">
        <v>9</v>
      </c>
      <c r="E73" s="694"/>
      <c r="F73" s="694"/>
      <c r="G73" s="694"/>
      <c r="H73" s="694"/>
      <c r="I73" s="341"/>
      <c r="J73" s="577" t="s">
        <v>9</v>
      </c>
      <c r="K73" s="577"/>
      <c r="L73" s="577"/>
      <c r="M73" s="577"/>
      <c r="N73" s="577"/>
      <c r="P73" s="339">
        <v>8027</v>
      </c>
      <c r="Q73" s="340">
        <v>-4.9752530275931697E-3</v>
      </c>
      <c r="R73" s="340">
        <v>0.79880097453216004</v>
      </c>
      <c r="S73" s="340">
        <v>-1.1832262445562101</v>
      </c>
      <c r="T73" s="340">
        <v>13.8589040462962</v>
      </c>
    </row>
    <row r="74" spans="1:20">
      <c r="B74" s="82" t="s">
        <v>587</v>
      </c>
      <c r="D74" s="339">
        <v>1933</v>
      </c>
      <c r="E74" s="340">
        <v>-3.8684771922509902E-2</v>
      </c>
      <c r="F74" s="340">
        <v>0.93162405301945606</v>
      </c>
      <c r="G74" s="340">
        <v>-1.4842276331972599</v>
      </c>
      <c r="H74" s="340">
        <v>1.6799408636656299</v>
      </c>
      <c r="I74" s="341"/>
      <c r="J74" s="66">
        <v>148238</v>
      </c>
      <c r="K74" s="156">
        <v>-6.5196999999999998E-3</v>
      </c>
      <c r="L74" s="156">
        <v>0.99158009999999996</v>
      </c>
      <c r="M74" s="156">
        <v>-0.884239</v>
      </c>
      <c r="N74" s="156">
        <v>2.6611440000000002</v>
      </c>
      <c r="P74" s="339">
        <v>8444</v>
      </c>
      <c r="Q74" s="340">
        <v>-2.7353155794901198E-3</v>
      </c>
      <c r="R74" s="340">
        <v>0.66717599268660099</v>
      </c>
      <c r="S74" s="340">
        <v>-1.9597724607453999</v>
      </c>
      <c r="T74" s="340">
        <v>2.6205243805396501</v>
      </c>
    </row>
    <row r="75" spans="1:20">
      <c r="B75" s="82" t="s">
        <v>525</v>
      </c>
      <c r="D75" s="694" t="s">
        <v>9</v>
      </c>
      <c r="E75" s="694"/>
      <c r="F75" s="694"/>
      <c r="G75" s="694"/>
      <c r="H75" s="694"/>
      <c r="I75" s="341"/>
      <c r="J75" s="577" t="s">
        <v>9</v>
      </c>
      <c r="K75" s="577"/>
      <c r="L75" s="577"/>
      <c r="M75" s="577"/>
      <c r="N75" s="577"/>
      <c r="P75" s="694" t="s">
        <v>9</v>
      </c>
      <c r="Q75" s="694"/>
      <c r="R75" s="694"/>
      <c r="S75" s="694"/>
      <c r="T75" s="694"/>
    </row>
    <row r="76" spans="1:20">
      <c r="B76" s="82" t="s">
        <v>526</v>
      </c>
      <c r="D76" s="694" t="s">
        <v>9</v>
      </c>
      <c r="E76" s="694"/>
      <c r="F76" s="694"/>
      <c r="G76" s="694"/>
      <c r="H76" s="694"/>
      <c r="I76" s="341"/>
      <c r="J76" s="577" t="s">
        <v>9</v>
      </c>
      <c r="K76" s="577"/>
      <c r="L76" s="577"/>
      <c r="M76" s="577"/>
      <c r="N76" s="577"/>
      <c r="P76" s="694" t="s">
        <v>9</v>
      </c>
      <c r="Q76" s="694"/>
      <c r="R76" s="694"/>
      <c r="S76" s="694"/>
      <c r="T76" s="694"/>
    </row>
    <row r="77" spans="1:20">
      <c r="B77" s="82" t="s">
        <v>527</v>
      </c>
      <c r="D77" s="339">
        <v>5517</v>
      </c>
      <c r="E77" s="340">
        <v>-2.8134452788766699E-3</v>
      </c>
      <c r="F77" s="340">
        <v>0.89996109506167199</v>
      </c>
      <c r="G77" s="340">
        <v>-2.6052290625242498</v>
      </c>
      <c r="H77" s="340">
        <v>1.46733366395545</v>
      </c>
      <c r="I77" s="341"/>
      <c r="J77" s="66">
        <v>143597</v>
      </c>
      <c r="K77" s="156">
        <v>7.6292E-3</v>
      </c>
      <c r="L77" s="156">
        <v>0.99928669999999997</v>
      </c>
      <c r="M77" s="156">
        <v>-0.95066720000000005</v>
      </c>
      <c r="N77" s="156">
        <v>2.0265909999999998</v>
      </c>
      <c r="P77" s="339">
        <v>6045</v>
      </c>
      <c r="Q77" s="340">
        <v>2.9413179478881201E-3</v>
      </c>
      <c r="R77" s="340">
        <v>0.94208977842780195</v>
      </c>
      <c r="S77" s="340">
        <v>-1.5219762395899199</v>
      </c>
      <c r="T77" s="340">
        <v>1.8531210061598</v>
      </c>
    </row>
    <row r="78" spans="1:20">
      <c r="B78" s="82" t="s">
        <v>535</v>
      </c>
      <c r="D78" s="339">
        <v>1600</v>
      </c>
      <c r="E78" s="340">
        <v>-2.1011179131009399E-2</v>
      </c>
      <c r="F78" s="340">
        <v>1.56828217681663</v>
      </c>
      <c r="G78" s="340">
        <v>-6.6282122312092904</v>
      </c>
      <c r="H78" s="340">
        <v>3.2629325928910302</v>
      </c>
      <c r="I78" s="341"/>
      <c r="J78" s="66">
        <v>56530</v>
      </c>
      <c r="K78" s="156">
        <v>-1.36819E-2</v>
      </c>
      <c r="L78" s="156">
        <v>0.99683319999999997</v>
      </c>
      <c r="M78" s="156">
        <v>-5.226972</v>
      </c>
      <c r="N78" s="156">
        <v>2.5085660000000001</v>
      </c>
      <c r="P78" s="339">
        <v>8153</v>
      </c>
      <c r="Q78" s="340">
        <v>-1.5520489124425199E-2</v>
      </c>
      <c r="R78" s="340">
        <v>0.84419419021784503</v>
      </c>
      <c r="S78" s="340">
        <v>-4.0991954612382999</v>
      </c>
      <c r="T78" s="340">
        <v>1.4961879246771901</v>
      </c>
    </row>
    <row r="79" spans="1:20">
      <c r="I79" s="113"/>
      <c r="O79" s="113"/>
    </row>
    <row r="80" spans="1:20">
      <c r="A80" s="148" t="s">
        <v>565</v>
      </c>
      <c r="B80" s="150"/>
      <c r="C80" s="153"/>
      <c r="D80" s="153"/>
      <c r="E80" s="153"/>
      <c r="F80" s="153"/>
      <c r="G80" s="153"/>
      <c r="H80" s="153"/>
      <c r="I80" s="153"/>
      <c r="J80" s="157"/>
      <c r="K80" s="158"/>
      <c r="L80" s="158"/>
      <c r="M80" s="157"/>
      <c r="N80" s="157"/>
      <c r="O80" s="153"/>
      <c r="P80" s="153"/>
      <c r="Q80" s="153"/>
      <c r="R80" s="153"/>
      <c r="S80" s="153"/>
      <c r="T80" s="153"/>
    </row>
    <row r="81" spans="1:20">
      <c r="B81" s="82" t="s">
        <v>193</v>
      </c>
      <c r="D81" s="694" t="s">
        <v>9</v>
      </c>
      <c r="E81" s="694"/>
      <c r="F81" s="694"/>
      <c r="G81" s="694"/>
      <c r="H81" s="694"/>
      <c r="I81" s="341"/>
      <c r="J81" s="66">
        <v>23249</v>
      </c>
      <c r="K81" s="156">
        <v>1.56566E-2</v>
      </c>
      <c r="L81" s="156">
        <v>0.12414559999999999</v>
      </c>
      <c r="M81" s="132">
        <v>0</v>
      </c>
      <c r="N81" s="132">
        <v>1</v>
      </c>
      <c r="P81" s="694" t="s">
        <v>9</v>
      </c>
      <c r="Q81" s="694"/>
      <c r="R81" s="694"/>
      <c r="S81" s="694"/>
      <c r="T81" s="694"/>
    </row>
    <row r="82" spans="1:20">
      <c r="B82" s="82" t="s">
        <v>218</v>
      </c>
      <c r="D82" s="339">
        <v>106</v>
      </c>
      <c r="E82" s="340">
        <v>-0.179076951197744</v>
      </c>
      <c r="F82" s="340">
        <v>0.87943846762325695</v>
      </c>
      <c r="G82" s="340">
        <v>-1.2530975425497299</v>
      </c>
      <c r="H82" s="340">
        <v>2.6551620919758898</v>
      </c>
      <c r="I82" s="341"/>
      <c r="J82" s="66">
        <v>22960</v>
      </c>
      <c r="K82" s="156">
        <v>2.7875E-3</v>
      </c>
      <c r="L82" s="156">
        <v>5.2723899999999997E-2</v>
      </c>
      <c r="M82" s="132">
        <v>0</v>
      </c>
      <c r="N82" s="132">
        <v>1</v>
      </c>
      <c r="P82" s="694" t="s">
        <v>9</v>
      </c>
      <c r="Q82" s="694"/>
      <c r="R82" s="694"/>
      <c r="S82" s="694"/>
      <c r="T82" s="694"/>
    </row>
    <row r="83" spans="1:20">
      <c r="B83" s="82" t="s">
        <v>221</v>
      </c>
      <c r="D83" s="694" t="s">
        <v>9</v>
      </c>
      <c r="E83" s="694"/>
      <c r="F83" s="694"/>
      <c r="G83" s="694"/>
      <c r="H83" s="694"/>
      <c r="I83" s="341"/>
      <c r="J83" s="577" t="s">
        <v>9</v>
      </c>
      <c r="K83" s="577"/>
      <c r="L83" s="577"/>
      <c r="M83" s="577"/>
      <c r="N83" s="577"/>
      <c r="P83" s="694" t="s">
        <v>9</v>
      </c>
      <c r="Q83" s="694"/>
      <c r="R83" s="694"/>
      <c r="S83" s="694"/>
      <c r="T83" s="694"/>
    </row>
    <row r="84" spans="1:20">
      <c r="B84" s="82" t="s">
        <v>224</v>
      </c>
      <c r="D84" s="339">
        <v>93</v>
      </c>
      <c r="E84" s="340">
        <v>2.1399999999999999E-2</v>
      </c>
      <c r="F84" s="340">
        <v>0.14599999999999999</v>
      </c>
      <c r="G84" s="339">
        <v>0</v>
      </c>
      <c r="H84" s="339">
        <v>1</v>
      </c>
      <c r="I84" s="341"/>
      <c r="J84" s="66">
        <v>24146</v>
      </c>
      <c r="K84" s="156">
        <v>5.2596700000000003E-2</v>
      </c>
      <c r="L84" s="156">
        <v>0.2232316</v>
      </c>
      <c r="M84" s="132">
        <v>0</v>
      </c>
      <c r="N84" s="132">
        <v>1</v>
      </c>
      <c r="P84" s="694" t="s">
        <v>9</v>
      </c>
      <c r="Q84" s="694"/>
      <c r="R84" s="694"/>
      <c r="S84" s="694"/>
      <c r="T84" s="694"/>
    </row>
    <row r="85" spans="1:20">
      <c r="B85" s="82" t="s">
        <v>348</v>
      </c>
      <c r="D85" s="339">
        <v>4125</v>
      </c>
      <c r="E85" s="340">
        <v>-7.67928299515345E-3</v>
      </c>
      <c r="F85" s="340">
        <v>0.83378069631322704</v>
      </c>
      <c r="G85" s="352">
        <v>-1.2946899000000001</v>
      </c>
      <c r="H85" s="352">
        <v>5.5726604000000002</v>
      </c>
      <c r="I85" s="341"/>
      <c r="J85" s="66">
        <v>134767</v>
      </c>
      <c r="K85" s="156">
        <v>1.38678E-2</v>
      </c>
      <c r="L85" s="156">
        <v>1.000251</v>
      </c>
      <c r="M85" s="156">
        <v>-1.14106</v>
      </c>
      <c r="N85" s="156">
        <v>6.3731470000000003</v>
      </c>
      <c r="P85" s="339">
        <v>8657</v>
      </c>
      <c r="Q85" s="340">
        <v>1.9997193027243201E-2</v>
      </c>
      <c r="R85" s="340">
        <v>0.88054595253288703</v>
      </c>
      <c r="S85" s="340">
        <v>-1.38487842630418</v>
      </c>
      <c r="T85" s="340">
        <v>7.4476990415590496</v>
      </c>
    </row>
    <row r="86" spans="1:20">
      <c r="B86" s="82" t="s">
        <v>391</v>
      </c>
      <c r="D86" s="339">
        <v>2025</v>
      </c>
      <c r="E86" s="340">
        <v>0.71599999999999997</v>
      </c>
      <c r="F86" s="340">
        <v>0.45100000000000001</v>
      </c>
      <c r="G86" s="339">
        <v>0</v>
      </c>
      <c r="H86" s="339">
        <v>1</v>
      </c>
      <c r="I86" s="341"/>
      <c r="J86" s="66">
        <v>148531</v>
      </c>
      <c r="K86" s="156">
        <v>0.29277389999999998</v>
      </c>
      <c r="L86" s="156">
        <v>0.45503710000000003</v>
      </c>
      <c r="M86" s="366">
        <v>0</v>
      </c>
      <c r="N86" s="366">
        <v>1</v>
      </c>
      <c r="P86" s="339">
        <v>2079</v>
      </c>
      <c r="Q86" s="340">
        <v>0.66</v>
      </c>
      <c r="R86" s="340">
        <v>0.47399999999999998</v>
      </c>
      <c r="S86" s="345">
        <v>0</v>
      </c>
      <c r="T86" s="345">
        <v>1</v>
      </c>
    </row>
    <row r="87" spans="1:20">
      <c r="B87" s="82" t="s">
        <v>439</v>
      </c>
      <c r="D87" s="339">
        <v>93</v>
      </c>
      <c r="E87" s="340">
        <v>2.1499999999999998E-2</v>
      </c>
      <c r="F87" s="340">
        <v>0.14599999999999999</v>
      </c>
      <c r="G87" s="339">
        <v>0</v>
      </c>
      <c r="H87" s="339">
        <v>1</v>
      </c>
      <c r="I87" s="341"/>
      <c r="J87" s="66">
        <v>23366</v>
      </c>
      <c r="K87" s="156">
        <v>2.0029100000000001E-2</v>
      </c>
      <c r="L87" s="156">
        <v>0.1401027</v>
      </c>
      <c r="M87" s="132">
        <v>0</v>
      </c>
      <c r="N87" s="132">
        <v>1</v>
      </c>
      <c r="P87" s="694" t="s">
        <v>9</v>
      </c>
      <c r="Q87" s="694"/>
      <c r="R87" s="694"/>
      <c r="S87" s="694"/>
      <c r="T87" s="694"/>
    </row>
    <row r="88" spans="1:20">
      <c r="I88" s="113"/>
      <c r="O88" s="113"/>
    </row>
    <row r="89" spans="1:20">
      <c r="A89" s="148" t="s">
        <v>566</v>
      </c>
      <c r="B89" s="150"/>
      <c r="C89" s="153"/>
      <c r="D89" s="153"/>
      <c r="E89" s="153"/>
      <c r="F89" s="153"/>
      <c r="G89" s="153"/>
      <c r="H89" s="153"/>
      <c r="I89" s="153"/>
      <c r="J89" s="157"/>
      <c r="K89" s="158"/>
      <c r="L89" s="158"/>
      <c r="M89" s="157"/>
      <c r="N89" s="157"/>
      <c r="O89" s="153"/>
      <c r="P89" s="153"/>
      <c r="Q89" s="153"/>
      <c r="R89" s="153"/>
      <c r="S89" s="153"/>
      <c r="T89" s="153"/>
    </row>
    <row r="90" spans="1:20">
      <c r="B90" s="82" t="s">
        <v>159</v>
      </c>
      <c r="D90" s="694" t="s">
        <v>9</v>
      </c>
      <c r="E90" s="694"/>
      <c r="F90" s="694"/>
      <c r="G90" s="694"/>
      <c r="H90" s="694"/>
      <c r="I90" s="341"/>
      <c r="J90" s="66">
        <v>40698</v>
      </c>
      <c r="K90" s="156">
        <v>0.61707540000000005</v>
      </c>
      <c r="L90" s="156">
        <v>0.32581670000000001</v>
      </c>
      <c r="M90" s="156">
        <v>0</v>
      </c>
      <c r="N90" s="156">
        <v>1.5797840000000001</v>
      </c>
      <c r="P90" s="339">
        <v>6654</v>
      </c>
      <c r="Q90" s="340">
        <v>-7.4550752061919899E-3</v>
      </c>
      <c r="R90" s="340">
        <v>0.87060744947645397</v>
      </c>
      <c r="S90" s="340">
        <v>-1.7206721727787999</v>
      </c>
      <c r="T90" s="340">
        <v>4.9957216082979103</v>
      </c>
    </row>
    <row r="91" spans="1:20">
      <c r="B91" s="82" t="s">
        <v>171</v>
      </c>
      <c r="D91" s="339">
        <v>39</v>
      </c>
      <c r="E91" s="340">
        <v>16.100000000000001</v>
      </c>
      <c r="F91" s="340">
        <v>3.33</v>
      </c>
      <c r="G91" s="341">
        <v>10</v>
      </c>
      <c r="H91" s="341">
        <v>22</v>
      </c>
      <c r="I91" s="341"/>
      <c r="J91" s="66">
        <v>48487</v>
      </c>
      <c r="K91" s="156">
        <v>17.38334</v>
      </c>
      <c r="L91" s="156">
        <v>4.2240979999999997</v>
      </c>
      <c r="M91" s="132">
        <v>5</v>
      </c>
      <c r="N91" s="132">
        <v>65</v>
      </c>
      <c r="P91" s="339">
        <v>4470</v>
      </c>
      <c r="Q91" s="340">
        <v>18.100000000000001</v>
      </c>
      <c r="R91" s="340">
        <v>4.0999999999999996</v>
      </c>
      <c r="S91" s="341">
        <v>5</v>
      </c>
      <c r="T91" s="341">
        <v>60</v>
      </c>
    </row>
    <row r="92" spans="1:20">
      <c r="B92" s="82" t="s">
        <v>303</v>
      </c>
      <c r="D92" s="694" t="s">
        <v>9</v>
      </c>
      <c r="E92" s="694"/>
      <c r="F92" s="694"/>
      <c r="G92" s="694"/>
      <c r="H92" s="694"/>
      <c r="I92" s="341"/>
      <c r="J92" s="66">
        <v>44599</v>
      </c>
      <c r="K92" s="156">
        <v>0.2213503</v>
      </c>
      <c r="L92" s="156">
        <v>0.41516039999999998</v>
      </c>
      <c r="M92" s="132">
        <v>0</v>
      </c>
      <c r="N92" s="132">
        <v>1</v>
      </c>
      <c r="P92" s="694" t="s">
        <v>9</v>
      </c>
      <c r="Q92" s="694"/>
      <c r="R92" s="694"/>
      <c r="S92" s="694"/>
      <c r="T92" s="694"/>
    </row>
    <row r="93" spans="1:20">
      <c r="B93" s="82" t="s">
        <v>589</v>
      </c>
      <c r="D93" s="339">
        <v>2332</v>
      </c>
      <c r="E93" s="340">
        <v>8.1259809999999995</v>
      </c>
      <c r="F93" s="340">
        <v>10.801629999999999</v>
      </c>
      <c r="G93" s="341">
        <v>0</v>
      </c>
      <c r="H93" s="341">
        <v>80</v>
      </c>
      <c r="I93" s="341"/>
      <c r="J93" s="66">
        <v>46309</v>
      </c>
      <c r="K93" s="156">
        <v>18.456219999999998</v>
      </c>
      <c r="L93" s="156">
        <v>10.224629999999999</v>
      </c>
      <c r="M93" s="132">
        <v>1</v>
      </c>
      <c r="N93" s="132">
        <v>100</v>
      </c>
      <c r="P93" s="339">
        <v>2827</v>
      </c>
      <c r="Q93" s="340">
        <v>0.94687670000000002</v>
      </c>
      <c r="R93" s="340">
        <v>0.73366089999999995</v>
      </c>
      <c r="S93" s="341">
        <v>0</v>
      </c>
      <c r="T93" s="341">
        <v>10</v>
      </c>
    </row>
    <row r="94" spans="1:20">
      <c r="B94" s="82" t="s">
        <v>364</v>
      </c>
      <c r="D94" s="339">
        <v>10800</v>
      </c>
      <c r="E94" s="340">
        <v>-2.0869657597523301E-3</v>
      </c>
      <c r="F94" s="340">
        <v>0.69919082528877796</v>
      </c>
      <c r="G94" s="340">
        <v>-1.1345271676106401</v>
      </c>
      <c r="H94" s="340">
        <v>12.627659226721301</v>
      </c>
      <c r="I94" s="341"/>
      <c r="J94" s="66">
        <v>128516</v>
      </c>
      <c r="K94" s="156">
        <v>-7.3879000000000002E-3</v>
      </c>
      <c r="L94" s="156">
        <v>1.006286</v>
      </c>
      <c r="M94" s="156">
        <v>-1.341421</v>
      </c>
      <c r="N94" s="156">
        <v>24.677109999999999</v>
      </c>
      <c r="P94" s="339">
        <v>7234</v>
      </c>
      <c r="Q94" s="340">
        <v>-3.9412319645741101E-2</v>
      </c>
      <c r="R94" s="340">
        <v>0.90402591481106598</v>
      </c>
      <c r="S94" s="340">
        <v>-1.04920262831801</v>
      </c>
      <c r="T94" s="340">
        <v>10.8360940705491</v>
      </c>
    </row>
    <row r="95" spans="1:20">
      <c r="B95" s="82" t="s">
        <v>372</v>
      </c>
      <c r="D95" s="339">
        <v>11662</v>
      </c>
      <c r="E95" s="340">
        <v>0.56799999999999995</v>
      </c>
      <c r="F95" s="340">
        <v>0.495</v>
      </c>
      <c r="G95" s="341">
        <v>0</v>
      </c>
      <c r="H95" s="341">
        <v>1</v>
      </c>
      <c r="I95" s="341"/>
      <c r="J95" s="66">
        <v>148596</v>
      </c>
      <c r="K95" s="156">
        <v>0.4526367</v>
      </c>
      <c r="L95" s="156">
        <v>0.49775330000000001</v>
      </c>
      <c r="M95" s="132">
        <v>0</v>
      </c>
      <c r="N95" s="132">
        <v>1</v>
      </c>
      <c r="P95" s="339">
        <v>8172</v>
      </c>
      <c r="Q95" s="340">
        <v>0.57099999999999995</v>
      </c>
      <c r="R95" s="340">
        <v>0.495</v>
      </c>
      <c r="S95" s="341">
        <v>0</v>
      </c>
      <c r="T95" s="341">
        <v>1</v>
      </c>
    </row>
    <row r="96" spans="1:20">
      <c r="A96" s="113"/>
      <c r="B96" s="209" t="s">
        <v>431</v>
      </c>
      <c r="C96" s="113"/>
      <c r="D96" s="349">
        <v>6618</v>
      </c>
      <c r="E96" s="350">
        <v>0.86599999999999999</v>
      </c>
      <c r="F96" s="350">
        <v>0.34</v>
      </c>
      <c r="G96" s="351">
        <v>0</v>
      </c>
      <c r="H96" s="351">
        <v>1</v>
      </c>
      <c r="I96" s="351"/>
      <c r="J96" s="67">
        <v>68808</v>
      </c>
      <c r="K96" s="385">
        <v>0.77342750000000005</v>
      </c>
      <c r="L96" s="385">
        <v>0.41861670000000001</v>
      </c>
      <c r="M96" s="386">
        <v>0</v>
      </c>
      <c r="N96" s="386">
        <v>1</v>
      </c>
      <c r="O96" s="113"/>
      <c r="P96" s="349">
        <v>4661</v>
      </c>
      <c r="Q96" s="350">
        <v>0.86299999999999999</v>
      </c>
      <c r="R96" s="350">
        <v>0.34399999999999997</v>
      </c>
      <c r="S96" s="351">
        <v>0</v>
      </c>
      <c r="T96" s="351">
        <v>1</v>
      </c>
    </row>
  </sheetData>
  <mergeCells count="102">
    <mergeCell ref="D90:H90"/>
    <mergeCell ref="D92:H92"/>
    <mergeCell ref="P92:T92"/>
    <mergeCell ref="P82:T82"/>
    <mergeCell ref="D83:H83"/>
    <mergeCell ref="P83:T83"/>
    <mergeCell ref="P84:T84"/>
    <mergeCell ref="P87:T87"/>
    <mergeCell ref="D75:H75"/>
    <mergeCell ref="P75:T75"/>
    <mergeCell ref="D76:H76"/>
    <mergeCell ref="P76:T76"/>
    <mergeCell ref="D81:H81"/>
    <mergeCell ref="P81:T81"/>
    <mergeCell ref="J75:N75"/>
    <mergeCell ref="J76:N76"/>
    <mergeCell ref="J83:N83"/>
    <mergeCell ref="D69:H69"/>
    <mergeCell ref="P69:T69"/>
    <mergeCell ref="D70:H70"/>
    <mergeCell ref="P70:T70"/>
    <mergeCell ref="D73:H73"/>
    <mergeCell ref="D66:H66"/>
    <mergeCell ref="P66:T66"/>
    <mergeCell ref="D67:H67"/>
    <mergeCell ref="P67:T67"/>
    <mergeCell ref="D68:H68"/>
    <mergeCell ref="P68:T68"/>
    <mergeCell ref="J73:N73"/>
    <mergeCell ref="J69:N69"/>
    <mergeCell ref="J70:N70"/>
    <mergeCell ref="J72:N72"/>
    <mergeCell ref="P62:T62"/>
    <mergeCell ref="D64:H64"/>
    <mergeCell ref="P64:T64"/>
    <mergeCell ref="P65:T65"/>
    <mergeCell ref="D58:H58"/>
    <mergeCell ref="P58:T58"/>
    <mergeCell ref="D59:H59"/>
    <mergeCell ref="P59:T59"/>
    <mergeCell ref="D60:H60"/>
    <mergeCell ref="P60:T60"/>
    <mergeCell ref="P49:T49"/>
    <mergeCell ref="P50:T50"/>
    <mergeCell ref="P56:T56"/>
    <mergeCell ref="D57:H57"/>
    <mergeCell ref="P57:T57"/>
    <mergeCell ref="D42:H42"/>
    <mergeCell ref="D46:H46"/>
    <mergeCell ref="P46:T46"/>
    <mergeCell ref="D47:H47"/>
    <mergeCell ref="D48:H48"/>
    <mergeCell ref="P48:T48"/>
    <mergeCell ref="P28:T28"/>
    <mergeCell ref="D29:H29"/>
    <mergeCell ref="P29:T29"/>
    <mergeCell ref="D22:H22"/>
    <mergeCell ref="P22:T22"/>
    <mergeCell ref="D23:H23"/>
    <mergeCell ref="P23:T23"/>
    <mergeCell ref="D26:H26"/>
    <mergeCell ref="D34:H34"/>
    <mergeCell ref="P34:T34"/>
    <mergeCell ref="D30:H30"/>
    <mergeCell ref="P30:T30"/>
    <mergeCell ref="D31:H31"/>
    <mergeCell ref="P31:T31"/>
    <mergeCell ref="D32:H32"/>
    <mergeCell ref="P32:T32"/>
    <mergeCell ref="J22:N22"/>
    <mergeCell ref="J23:N23"/>
    <mergeCell ref="P12:T12"/>
    <mergeCell ref="P14:T14"/>
    <mergeCell ref="D19:H19"/>
    <mergeCell ref="P19:T19"/>
    <mergeCell ref="D20:H20"/>
    <mergeCell ref="D2:H2"/>
    <mergeCell ref="P2:T2"/>
    <mergeCell ref="P8:T8"/>
    <mergeCell ref="P9:T9"/>
    <mergeCell ref="P10:T10"/>
    <mergeCell ref="A2:B2"/>
    <mergeCell ref="J2:N2"/>
    <mergeCell ref="J19:N19"/>
    <mergeCell ref="J61:N61"/>
    <mergeCell ref="J62:N62"/>
    <mergeCell ref="J34:N34"/>
    <mergeCell ref="J38:N38"/>
    <mergeCell ref="J39:N39"/>
    <mergeCell ref="J56:N56"/>
    <mergeCell ref="J57:N57"/>
    <mergeCell ref="J58:N58"/>
    <mergeCell ref="J59:N59"/>
    <mergeCell ref="J60:N60"/>
    <mergeCell ref="D27:H27"/>
    <mergeCell ref="D28:H28"/>
    <mergeCell ref="D38:H38"/>
    <mergeCell ref="D39:H39"/>
    <mergeCell ref="D40:H40"/>
    <mergeCell ref="D62:H62"/>
    <mergeCell ref="J29:N29"/>
    <mergeCell ref="J31:N3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F2BE1-0DA6-4466-9422-F0114CA2A7F0}">
  <dimension ref="A1:M19"/>
  <sheetViews>
    <sheetView workbookViewId="0">
      <selection activeCell="M19" sqref="M19"/>
    </sheetView>
  </sheetViews>
  <sheetFormatPr defaultColWidth="8.7890625" defaultRowHeight="14.4"/>
  <cols>
    <col min="2" max="2" width="11.47265625" customWidth="1"/>
    <col min="3" max="3" width="8.7890625" style="399" bestFit="1" customWidth="1"/>
    <col min="4" max="4" width="10.47265625" style="399" bestFit="1" customWidth="1"/>
    <col min="5" max="5" width="7.47265625" style="399" customWidth="1"/>
    <col min="6" max="6" width="14" style="399" customWidth="1"/>
    <col min="7" max="7" width="9.47265625" style="364" customWidth="1"/>
    <col min="8" max="8" width="8.7890625" style="304"/>
    <col min="9" max="9" width="15" style="364" customWidth="1"/>
    <col min="10" max="10" width="16.47265625" style="364" customWidth="1"/>
    <col min="11" max="11" width="20" style="364" customWidth="1"/>
  </cols>
  <sheetData>
    <row r="1" spans="1:13">
      <c r="A1" s="382" t="s">
        <v>1551</v>
      </c>
    </row>
    <row r="2" spans="1:13">
      <c r="A2" s="569" t="s">
        <v>804</v>
      </c>
      <c r="B2" s="569"/>
      <c r="C2" s="181" t="s">
        <v>1244</v>
      </c>
      <c r="D2" s="402"/>
      <c r="E2" s="403"/>
      <c r="F2" s="404"/>
      <c r="G2" s="707" t="s">
        <v>1491</v>
      </c>
      <c r="H2" s="700" t="s">
        <v>1276</v>
      </c>
      <c r="I2" s="702" t="s">
        <v>1489</v>
      </c>
      <c r="J2" s="704" t="s">
        <v>1490</v>
      </c>
      <c r="K2" s="664" t="s">
        <v>1493</v>
      </c>
      <c r="L2" s="82"/>
      <c r="M2" s="82"/>
    </row>
    <row r="3" spans="1:13" ht="20.399999999999999">
      <c r="A3" s="570"/>
      <c r="B3" s="570"/>
      <c r="C3" s="405" t="s">
        <v>810</v>
      </c>
      <c r="D3" s="406" t="s">
        <v>812</v>
      </c>
      <c r="E3" s="407" t="s">
        <v>1275</v>
      </c>
      <c r="F3" s="408" t="s">
        <v>1494</v>
      </c>
      <c r="G3" s="708"/>
      <c r="H3" s="701"/>
      <c r="I3" s="703"/>
      <c r="J3" s="705"/>
      <c r="K3" s="706"/>
      <c r="L3" s="82"/>
      <c r="M3" s="82"/>
    </row>
    <row r="4" spans="1:13">
      <c r="A4" s="699" t="s">
        <v>818</v>
      </c>
      <c r="B4" s="699"/>
      <c r="C4" s="132">
        <v>0.01</v>
      </c>
      <c r="D4" s="132">
        <v>1E-4</v>
      </c>
      <c r="E4" s="132">
        <v>0.99</v>
      </c>
      <c r="F4" s="400" t="s">
        <v>776</v>
      </c>
      <c r="G4" s="363">
        <v>2433658</v>
      </c>
      <c r="H4" s="397" t="s">
        <v>1277</v>
      </c>
      <c r="I4" s="66">
        <v>437</v>
      </c>
      <c r="J4" s="363">
        <v>0</v>
      </c>
      <c r="K4" s="66">
        <v>830</v>
      </c>
    </row>
    <row r="5" spans="1:13">
      <c r="A5" s="698" t="s">
        <v>73</v>
      </c>
      <c r="B5" s="698"/>
      <c r="C5" s="132">
        <v>0.01</v>
      </c>
      <c r="D5" s="132">
        <v>1.0000000000000001E-5</v>
      </c>
      <c r="E5" s="132">
        <v>0.99</v>
      </c>
      <c r="F5" s="400" t="s">
        <v>776</v>
      </c>
      <c r="G5" s="363">
        <v>4203499</v>
      </c>
      <c r="H5" s="397" t="s">
        <v>1277</v>
      </c>
      <c r="I5" s="66">
        <v>283</v>
      </c>
      <c r="J5" s="363">
        <v>6197</v>
      </c>
      <c r="K5" s="66">
        <v>6624</v>
      </c>
    </row>
    <row r="6" spans="1:13">
      <c r="A6" s="698" t="s">
        <v>76</v>
      </c>
      <c r="B6" s="698"/>
      <c r="C6" s="132">
        <v>0.01</v>
      </c>
      <c r="D6" s="132">
        <v>9.9999999999999995E-7</v>
      </c>
      <c r="E6" s="132">
        <v>0.99</v>
      </c>
      <c r="F6" s="400" t="s">
        <v>776</v>
      </c>
      <c r="G6" s="363">
        <v>3627008</v>
      </c>
      <c r="H6" s="397" t="s">
        <v>1278</v>
      </c>
      <c r="I6" s="66">
        <v>33586</v>
      </c>
      <c r="J6" s="363">
        <v>73968</v>
      </c>
      <c r="K6" s="66">
        <v>89011</v>
      </c>
    </row>
    <row r="7" spans="1:13">
      <c r="A7" s="698" t="s">
        <v>839</v>
      </c>
      <c r="B7" s="698"/>
      <c r="C7" s="132">
        <v>0.01</v>
      </c>
      <c r="D7" s="132">
        <v>1E-4</v>
      </c>
      <c r="E7" s="132">
        <v>0.99</v>
      </c>
      <c r="F7" s="400">
        <v>0.99</v>
      </c>
      <c r="G7" s="363">
        <v>2569437</v>
      </c>
      <c r="H7" s="397" t="s">
        <v>1278</v>
      </c>
      <c r="I7" s="66">
        <v>423</v>
      </c>
      <c r="J7" s="363">
        <v>1239</v>
      </c>
      <c r="K7" s="66">
        <v>1346</v>
      </c>
    </row>
    <row r="8" spans="1:13">
      <c r="A8" s="698" t="s">
        <v>106</v>
      </c>
      <c r="B8" s="698"/>
      <c r="C8" s="132">
        <v>0.01</v>
      </c>
      <c r="D8" s="132">
        <v>1.0000000000000001E-5</v>
      </c>
      <c r="E8" s="132">
        <v>0.99</v>
      </c>
      <c r="F8" s="400">
        <v>0.99</v>
      </c>
      <c r="G8" s="363">
        <v>3200874</v>
      </c>
      <c r="H8" s="397" t="s">
        <v>1278</v>
      </c>
      <c r="I8" s="66">
        <v>8407</v>
      </c>
      <c r="J8" s="363">
        <v>9812</v>
      </c>
      <c r="K8" s="66">
        <v>14135</v>
      </c>
    </row>
    <row r="9" spans="1:13">
      <c r="A9" s="698" t="s">
        <v>1237</v>
      </c>
      <c r="B9" s="698"/>
      <c r="C9" s="132">
        <v>0.01</v>
      </c>
      <c r="D9" s="132">
        <v>1E-4</v>
      </c>
      <c r="E9" s="132">
        <v>0.95</v>
      </c>
      <c r="F9" s="400">
        <v>0.95</v>
      </c>
      <c r="G9" s="363">
        <v>3349100</v>
      </c>
      <c r="H9" s="397" t="s">
        <v>1278</v>
      </c>
      <c r="I9" s="66">
        <v>138</v>
      </c>
      <c r="J9" s="363">
        <v>537</v>
      </c>
      <c r="K9" s="66">
        <v>378</v>
      </c>
    </row>
    <row r="10" spans="1:13">
      <c r="A10" s="698" t="s">
        <v>1238</v>
      </c>
      <c r="B10" s="698"/>
      <c r="C10" s="132">
        <v>0.01</v>
      </c>
      <c r="D10" s="132">
        <v>1.0000000000000001E-5</v>
      </c>
      <c r="E10" s="132">
        <v>0.99</v>
      </c>
      <c r="F10" s="400">
        <v>0.99</v>
      </c>
      <c r="G10" s="363">
        <v>1606920</v>
      </c>
      <c r="H10" s="397" t="s">
        <v>1278</v>
      </c>
      <c r="I10" s="66">
        <v>76</v>
      </c>
      <c r="J10" s="363">
        <v>8740</v>
      </c>
      <c r="K10" s="66">
        <v>6083</v>
      </c>
    </row>
    <row r="11" spans="1:13">
      <c r="A11" s="698" t="s">
        <v>103</v>
      </c>
      <c r="B11" s="698"/>
      <c r="C11" s="132">
        <v>0.01</v>
      </c>
      <c r="D11" s="132">
        <v>1E-4</v>
      </c>
      <c r="E11" s="132">
        <v>0.99</v>
      </c>
      <c r="F11" s="400">
        <v>0.99</v>
      </c>
      <c r="G11" s="363">
        <v>2836200</v>
      </c>
      <c r="H11" s="397" t="s">
        <v>1278</v>
      </c>
      <c r="I11" s="66">
        <v>681</v>
      </c>
      <c r="J11" s="363">
        <v>5947</v>
      </c>
      <c r="K11" s="66">
        <v>2504</v>
      </c>
    </row>
    <row r="12" spans="1:13">
      <c r="A12" s="616" t="s">
        <v>90</v>
      </c>
      <c r="B12" s="136" t="s">
        <v>852</v>
      </c>
      <c r="C12" s="132">
        <v>0.01</v>
      </c>
      <c r="D12" s="132">
        <v>1E-4</v>
      </c>
      <c r="E12" s="132">
        <v>0.99</v>
      </c>
      <c r="F12" s="400">
        <v>0.99</v>
      </c>
      <c r="G12" s="363">
        <v>4969159</v>
      </c>
      <c r="H12" s="397" t="s">
        <v>1278</v>
      </c>
      <c r="I12" s="66">
        <v>2913</v>
      </c>
      <c r="J12" s="363">
        <v>10</v>
      </c>
      <c r="K12" s="66">
        <v>5644</v>
      </c>
    </row>
    <row r="13" spans="1:13">
      <c r="A13" s="616"/>
      <c r="B13" s="135" t="s">
        <v>1253</v>
      </c>
      <c r="C13" s="132">
        <v>0.01</v>
      </c>
      <c r="D13" s="132">
        <v>1.0000000000000001E-5</v>
      </c>
      <c r="E13" s="132">
        <v>0.99</v>
      </c>
      <c r="F13" s="400">
        <v>0.99</v>
      </c>
      <c r="G13" s="363">
        <v>3163255</v>
      </c>
      <c r="H13" s="397" t="s">
        <v>1278</v>
      </c>
      <c r="I13" s="66">
        <v>4845</v>
      </c>
      <c r="J13" s="363">
        <v>399</v>
      </c>
      <c r="K13" s="66">
        <v>9620</v>
      </c>
    </row>
    <row r="14" spans="1:13" ht="24" customHeight="1">
      <c r="A14" s="616"/>
      <c r="B14" s="135" t="s">
        <v>1252</v>
      </c>
      <c r="C14" s="132">
        <v>0.01</v>
      </c>
      <c r="D14" s="132">
        <v>1.0000000000000001E-5</v>
      </c>
      <c r="E14" s="132">
        <v>0.99</v>
      </c>
      <c r="F14" s="400">
        <v>0.99</v>
      </c>
      <c r="G14" s="363">
        <v>1942443</v>
      </c>
      <c r="H14" s="397" t="s">
        <v>1278</v>
      </c>
      <c r="I14" s="66">
        <v>3103</v>
      </c>
      <c r="J14" s="363">
        <v>72</v>
      </c>
      <c r="K14" s="66">
        <v>6134</v>
      </c>
    </row>
    <row r="15" spans="1:13">
      <c r="A15" s="698" t="s">
        <v>858</v>
      </c>
      <c r="B15" s="698"/>
      <c r="C15" s="132">
        <v>0.01</v>
      </c>
      <c r="D15" s="132">
        <v>1E-4</v>
      </c>
      <c r="E15" s="132">
        <v>0.99</v>
      </c>
      <c r="F15" s="400">
        <v>0.99</v>
      </c>
      <c r="G15" s="363">
        <v>2425888</v>
      </c>
      <c r="H15" s="397" t="s">
        <v>1278</v>
      </c>
      <c r="I15" s="66">
        <v>180</v>
      </c>
      <c r="J15" s="363">
        <v>0</v>
      </c>
      <c r="K15" s="66">
        <v>328</v>
      </c>
    </row>
    <row r="16" spans="1:13">
      <c r="A16" s="698" t="s">
        <v>1274</v>
      </c>
      <c r="B16" s="698"/>
      <c r="C16" s="132">
        <v>0.01</v>
      </c>
      <c r="D16" s="132">
        <v>1E-4</v>
      </c>
      <c r="E16" s="132">
        <v>0.95</v>
      </c>
      <c r="F16" s="400">
        <v>0.95</v>
      </c>
      <c r="G16" s="363">
        <v>3492436</v>
      </c>
      <c r="H16" s="397" t="s">
        <v>1278</v>
      </c>
      <c r="I16" s="66">
        <v>1521</v>
      </c>
      <c r="J16" s="363">
        <v>4730</v>
      </c>
      <c r="K16" s="66">
        <v>2325</v>
      </c>
    </row>
    <row r="17" spans="1:11">
      <c r="A17" s="616" t="s">
        <v>863</v>
      </c>
      <c r="B17" s="616"/>
      <c r="C17" s="132">
        <v>0.01</v>
      </c>
      <c r="D17" s="132">
        <v>9.9999999999999995E-7</v>
      </c>
      <c r="E17" s="132">
        <v>0.99</v>
      </c>
      <c r="F17" s="400" t="s">
        <v>776</v>
      </c>
      <c r="G17" s="363">
        <v>5385276</v>
      </c>
      <c r="H17" s="397" t="s">
        <v>1492</v>
      </c>
      <c r="I17" s="66">
        <v>19331</v>
      </c>
      <c r="J17" s="363">
        <v>5318</v>
      </c>
      <c r="K17" s="66">
        <v>39637</v>
      </c>
    </row>
    <row r="18" spans="1:11" ht="21.6">
      <c r="A18" s="613" t="s">
        <v>93</v>
      </c>
      <c r="B18" s="613"/>
      <c r="C18" s="386">
        <v>0.01</v>
      </c>
      <c r="D18" s="386">
        <v>1E-4</v>
      </c>
      <c r="E18" s="386">
        <v>0.99</v>
      </c>
      <c r="F18" s="401" t="s">
        <v>776</v>
      </c>
      <c r="G18" s="430" t="s">
        <v>1592</v>
      </c>
      <c r="H18" s="398" t="s">
        <v>1278</v>
      </c>
      <c r="I18" s="67">
        <v>1983</v>
      </c>
      <c r="J18" s="396">
        <v>21</v>
      </c>
      <c r="K18" s="67">
        <v>3945</v>
      </c>
    </row>
    <row r="19" spans="1:11" ht="99" customHeight="1">
      <c r="A19" s="566" t="s">
        <v>1733</v>
      </c>
      <c r="B19" s="697"/>
      <c r="C19" s="697"/>
      <c r="D19" s="697"/>
      <c r="E19" s="697"/>
      <c r="F19" s="697"/>
      <c r="G19" s="697"/>
      <c r="H19" s="697"/>
      <c r="I19" s="697"/>
      <c r="J19" s="697"/>
      <c r="K19" s="697"/>
    </row>
  </sheetData>
  <mergeCells count="20">
    <mergeCell ref="H2:H3"/>
    <mergeCell ref="I2:I3"/>
    <mergeCell ref="J2:J3"/>
    <mergeCell ref="K2:K3"/>
    <mergeCell ref="G2:G3"/>
    <mergeCell ref="A2:B3"/>
    <mergeCell ref="A4:B4"/>
    <mergeCell ref="A5:B5"/>
    <mergeCell ref="A6:B6"/>
    <mergeCell ref="A7:B7"/>
    <mergeCell ref="A19:K19"/>
    <mergeCell ref="A8:B8"/>
    <mergeCell ref="A18:B18"/>
    <mergeCell ref="A9:B9"/>
    <mergeCell ref="A10:B10"/>
    <mergeCell ref="A11:B11"/>
    <mergeCell ref="A15:B15"/>
    <mergeCell ref="A16:B16"/>
    <mergeCell ref="A17:B17"/>
    <mergeCell ref="A12:A1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4C679-F05D-482B-9151-FE188825BFD2}">
  <dimension ref="A1:BG137"/>
  <sheetViews>
    <sheetView tabSelected="1" topLeftCell="G1" workbookViewId="0">
      <selection activeCell="AC4" sqref="AC4"/>
    </sheetView>
  </sheetViews>
  <sheetFormatPr defaultColWidth="8.7890625" defaultRowHeight="14.4"/>
  <cols>
    <col min="1" max="1" width="12.47265625" customWidth="1"/>
    <col min="2" max="2" width="10" style="357" customWidth="1"/>
    <col min="3" max="3" width="12.47265625" style="357" customWidth="1"/>
    <col min="4" max="4" width="8.7890625" style="307" bestFit="1" customWidth="1"/>
    <col min="5" max="6" width="8.7890625" style="357" bestFit="1" customWidth="1"/>
    <col min="7" max="7" width="12.47265625" style="357" customWidth="1"/>
    <col min="8" max="8" width="8.7890625" style="307" bestFit="1" customWidth="1"/>
    <col min="9" max="11" width="8.7890625" style="357" bestFit="1" customWidth="1"/>
    <col min="12" max="12" width="8.7890625" style="307" bestFit="1" customWidth="1"/>
    <col min="13" max="15" width="8.7890625" style="357" bestFit="1" customWidth="1"/>
    <col min="16" max="16" width="8.7890625" style="307" bestFit="1" customWidth="1"/>
    <col min="17" max="19" width="8.7890625" style="357" bestFit="1" customWidth="1"/>
    <col min="20" max="20" width="8.7890625" style="307" bestFit="1" customWidth="1"/>
    <col min="21" max="23" width="8.7890625" style="357" bestFit="1" customWidth="1"/>
    <col min="24" max="24" width="8.7890625" style="307" bestFit="1" customWidth="1"/>
    <col min="25" max="27" width="8.7890625" style="357" bestFit="1" customWidth="1"/>
    <col min="28" max="28" width="8.7890625" style="307" bestFit="1" customWidth="1"/>
    <col min="29" max="31" width="8.7890625" style="357" bestFit="1" customWidth="1"/>
    <col min="32" max="32" width="8.7890625" style="307" bestFit="1" customWidth="1"/>
    <col min="33" max="33" width="8.7890625" style="357" bestFit="1" customWidth="1"/>
    <col min="34" max="34" width="12" style="357" customWidth="1"/>
    <col min="35" max="35" width="8.47265625" style="357" customWidth="1"/>
    <col min="36" max="36" width="9.47265625" style="307" customWidth="1"/>
    <col min="37" max="37" width="8.7890625" style="357" customWidth="1"/>
    <col min="38" max="39" width="8.7890625" style="357" bestFit="1" customWidth="1"/>
    <col min="40" max="40" width="8.7890625" style="307" bestFit="1" customWidth="1"/>
    <col min="41" max="41" width="8.7890625" style="357" bestFit="1" customWidth="1"/>
    <col min="42" max="42" width="10" style="357" customWidth="1"/>
    <col min="43" max="43" width="10.15625" style="357" customWidth="1"/>
    <col min="44" max="44" width="10.15625" style="307" customWidth="1"/>
    <col min="45" max="45" width="10.15625" style="357" customWidth="1"/>
    <col min="46" max="46" width="8.7890625" style="357" bestFit="1" customWidth="1"/>
    <col min="47" max="47" width="8.7890625" style="307" bestFit="1" customWidth="1"/>
    <col min="48" max="50" width="8.7890625" bestFit="1" customWidth="1"/>
    <col min="51" max="51" width="11.7890625" bestFit="1" customWidth="1"/>
    <col min="52" max="54" width="8.7890625" style="357" bestFit="1" customWidth="1"/>
    <col min="55" max="55" width="9.47265625" style="307" bestFit="1" customWidth="1"/>
    <col min="56" max="57" width="8.7890625" style="357" bestFit="1" customWidth="1"/>
    <col min="58" max="58" width="9.47265625" style="307" bestFit="1" customWidth="1"/>
  </cols>
  <sheetData>
    <row r="1" spans="1:59">
      <c r="A1" s="382" t="s">
        <v>1552</v>
      </c>
      <c r="B1" s="409"/>
      <c r="C1" s="409"/>
      <c r="D1" s="384"/>
      <c r="E1" s="409"/>
      <c r="F1" s="409"/>
      <c r="G1" s="409"/>
      <c r="H1" s="384"/>
      <c r="I1" s="409"/>
      <c r="J1" s="409"/>
      <c r="K1" s="409"/>
      <c r="L1" s="384"/>
      <c r="M1" s="409"/>
      <c r="N1" s="409"/>
      <c r="O1" s="409"/>
      <c r="P1" s="384"/>
      <c r="Q1" s="409"/>
      <c r="R1" s="409"/>
      <c r="S1" s="409"/>
      <c r="T1" s="384"/>
      <c r="U1" s="409"/>
      <c r="V1" s="409"/>
      <c r="W1" s="409"/>
      <c r="X1" s="384"/>
      <c r="Y1" s="409"/>
      <c r="Z1" s="409"/>
      <c r="AA1" s="409"/>
      <c r="AB1" s="384"/>
      <c r="AC1" s="409"/>
      <c r="AD1" s="409"/>
      <c r="AE1" s="409"/>
      <c r="AF1" s="384"/>
      <c r="AG1" s="409"/>
      <c r="AH1" s="409"/>
      <c r="AI1" s="409"/>
      <c r="AJ1" s="384"/>
      <c r="AK1" s="409"/>
      <c r="AL1" s="409"/>
      <c r="AM1" s="409"/>
      <c r="AN1" s="384"/>
      <c r="AO1" s="409"/>
      <c r="AP1" s="409"/>
      <c r="AQ1" s="409"/>
      <c r="AR1" s="384"/>
      <c r="AS1" s="409"/>
      <c r="AT1" s="409"/>
      <c r="AU1" s="384"/>
      <c r="AV1" s="113"/>
      <c r="AW1" s="113"/>
      <c r="AX1" s="113"/>
      <c r="AY1" s="113"/>
      <c r="AZ1" s="409"/>
      <c r="BA1" s="409"/>
      <c r="BB1" s="409"/>
      <c r="BC1" s="384"/>
      <c r="BD1" s="409"/>
      <c r="BE1" s="409"/>
      <c r="BF1" s="384"/>
    </row>
    <row r="2" spans="1:59" ht="12" customHeight="1">
      <c r="A2" s="416"/>
      <c r="B2" s="611" t="s">
        <v>818</v>
      </c>
      <c r="C2" s="611"/>
      <c r="D2" s="710"/>
      <c r="E2" s="709" t="s">
        <v>73</v>
      </c>
      <c r="F2" s="611"/>
      <c r="G2" s="611"/>
      <c r="H2" s="710"/>
      <c r="I2" s="611" t="s">
        <v>76</v>
      </c>
      <c r="J2" s="611"/>
      <c r="K2" s="611"/>
      <c r="L2" s="710"/>
      <c r="M2" s="709" t="s">
        <v>839</v>
      </c>
      <c r="N2" s="611"/>
      <c r="O2" s="611"/>
      <c r="P2" s="710"/>
      <c r="Q2" s="709" t="s">
        <v>106</v>
      </c>
      <c r="R2" s="611"/>
      <c r="S2" s="611"/>
      <c r="T2" s="710"/>
      <c r="U2" s="709" t="s">
        <v>1237</v>
      </c>
      <c r="V2" s="611"/>
      <c r="W2" s="611"/>
      <c r="X2" s="710"/>
      <c r="Y2" s="709" t="s">
        <v>1238</v>
      </c>
      <c r="Z2" s="611"/>
      <c r="AA2" s="611"/>
      <c r="AB2" s="710"/>
      <c r="AC2" s="709" t="s">
        <v>103</v>
      </c>
      <c r="AD2" s="611"/>
      <c r="AE2" s="611"/>
      <c r="AF2" s="710"/>
      <c r="AG2" s="709" t="s">
        <v>1292</v>
      </c>
      <c r="AH2" s="611"/>
      <c r="AI2" s="611"/>
      <c r="AJ2" s="710"/>
      <c r="AK2" s="709" t="s">
        <v>1293</v>
      </c>
      <c r="AL2" s="611"/>
      <c r="AM2" s="611"/>
      <c r="AN2" s="710"/>
      <c r="AO2" s="711" t="s">
        <v>1294</v>
      </c>
      <c r="AP2" s="712"/>
      <c r="AQ2" s="712"/>
      <c r="AR2" s="713"/>
      <c r="AS2" s="709" t="s">
        <v>858</v>
      </c>
      <c r="AT2" s="611"/>
      <c r="AU2" s="710"/>
      <c r="AV2" s="709" t="s">
        <v>1274</v>
      </c>
      <c r="AW2" s="611"/>
      <c r="AX2" s="611"/>
      <c r="AY2" s="710"/>
      <c r="AZ2" s="709" t="s">
        <v>863</v>
      </c>
      <c r="BA2" s="611"/>
      <c r="BB2" s="611"/>
      <c r="BC2" s="710"/>
      <c r="BD2" s="714" t="s">
        <v>93</v>
      </c>
      <c r="BE2" s="715"/>
      <c r="BF2" s="716"/>
      <c r="BG2" s="9"/>
    </row>
    <row r="3" spans="1:59" ht="37.450000000000003" customHeight="1">
      <c r="A3" s="417"/>
      <c r="B3" s="413" t="s">
        <v>1496</v>
      </c>
      <c r="C3" s="413" t="s">
        <v>1499</v>
      </c>
      <c r="D3" s="49" t="s">
        <v>1500</v>
      </c>
      <c r="E3" s="414" t="s">
        <v>1498</v>
      </c>
      <c r="F3" s="413" t="s">
        <v>1497</v>
      </c>
      <c r="G3" s="413" t="s">
        <v>1499</v>
      </c>
      <c r="H3" s="49" t="s">
        <v>1500</v>
      </c>
      <c r="I3" s="414" t="s">
        <v>1498</v>
      </c>
      <c r="J3" s="413" t="s">
        <v>1497</v>
      </c>
      <c r="K3" s="413" t="s">
        <v>1499</v>
      </c>
      <c r="L3" s="49" t="s">
        <v>1500</v>
      </c>
      <c r="M3" s="414" t="s">
        <v>1498</v>
      </c>
      <c r="N3" s="413" t="s">
        <v>1497</v>
      </c>
      <c r="O3" s="413" t="s">
        <v>1499</v>
      </c>
      <c r="P3" s="49" t="s">
        <v>1500</v>
      </c>
      <c r="Q3" s="414" t="s">
        <v>1498</v>
      </c>
      <c r="R3" s="413" t="s">
        <v>1497</v>
      </c>
      <c r="S3" s="413" t="s">
        <v>1499</v>
      </c>
      <c r="T3" s="49" t="s">
        <v>1500</v>
      </c>
      <c r="U3" s="414" t="s">
        <v>1498</v>
      </c>
      <c r="V3" s="413" t="s">
        <v>1497</v>
      </c>
      <c r="W3" s="413" t="s">
        <v>1499</v>
      </c>
      <c r="X3" s="49" t="s">
        <v>1500</v>
      </c>
      <c r="Y3" s="414" t="s">
        <v>1498</v>
      </c>
      <c r="Z3" s="413" t="s">
        <v>1497</v>
      </c>
      <c r="AA3" s="413" t="s">
        <v>1499</v>
      </c>
      <c r="AB3" s="49" t="s">
        <v>1500</v>
      </c>
      <c r="AC3" s="414" t="s">
        <v>1498</v>
      </c>
      <c r="AD3" s="413" t="s">
        <v>1497</v>
      </c>
      <c r="AE3" s="413" t="s">
        <v>1499</v>
      </c>
      <c r="AF3" s="49" t="s">
        <v>1500</v>
      </c>
      <c r="AG3" s="414" t="s">
        <v>1498</v>
      </c>
      <c r="AH3" s="413" t="s">
        <v>1497</v>
      </c>
      <c r="AI3" s="413" t="s">
        <v>1499</v>
      </c>
      <c r="AJ3" s="49" t="s">
        <v>1500</v>
      </c>
      <c r="AK3" s="414" t="s">
        <v>1498</v>
      </c>
      <c r="AL3" s="413" t="s">
        <v>1497</v>
      </c>
      <c r="AM3" s="413" t="s">
        <v>1499</v>
      </c>
      <c r="AN3" s="49" t="s">
        <v>1500</v>
      </c>
      <c r="AO3" s="414" t="s">
        <v>1498</v>
      </c>
      <c r="AP3" s="413" t="s">
        <v>1497</v>
      </c>
      <c r="AQ3" s="413" t="s">
        <v>1499</v>
      </c>
      <c r="AR3" s="49" t="s">
        <v>1500</v>
      </c>
      <c r="AS3" s="413" t="s">
        <v>1496</v>
      </c>
      <c r="AT3" s="413" t="s">
        <v>1495</v>
      </c>
      <c r="AU3" s="49" t="s">
        <v>1500</v>
      </c>
      <c r="AV3" s="414" t="s">
        <v>1498</v>
      </c>
      <c r="AW3" s="413" t="s">
        <v>1497</v>
      </c>
      <c r="AX3" s="413" t="s">
        <v>1499</v>
      </c>
      <c r="AY3" s="49" t="s">
        <v>1500</v>
      </c>
      <c r="AZ3" s="414" t="s">
        <v>1498</v>
      </c>
      <c r="BA3" s="413" t="s">
        <v>1497</v>
      </c>
      <c r="BB3" s="413" t="s">
        <v>1499</v>
      </c>
      <c r="BC3" s="415" t="s">
        <v>1500</v>
      </c>
      <c r="BD3" s="413" t="s">
        <v>1496</v>
      </c>
      <c r="BE3" s="413" t="s">
        <v>1495</v>
      </c>
      <c r="BF3" s="415" t="s">
        <v>1500</v>
      </c>
      <c r="BG3" s="1"/>
    </row>
    <row r="4" spans="1:59" s="82" customFormat="1" ht="12" customHeight="1">
      <c r="A4" s="418" t="s">
        <v>1295</v>
      </c>
      <c r="B4" s="360">
        <v>0.84652714210387103</v>
      </c>
      <c r="C4" s="360">
        <v>0.81515975784681205</v>
      </c>
      <c r="D4" s="361">
        <v>465792</v>
      </c>
      <c r="E4" s="362">
        <v>0.53204176049028096</v>
      </c>
      <c r="F4" s="360">
        <v>0.818519241712095</v>
      </c>
      <c r="G4" s="360">
        <v>0.91148822168069699</v>
      </c>
      <c r="H4" s="361">
        <v>566483</v>
      </c>
      <c r="I4" s="360">
        <v>0.58401349447248296</v>
      </c>
      <c r="J4" s="360">
        <v>0.64327166596983198</v>
      </c>
      <c r="K4" s="360">
        <v>0.88814983675037196</v>
      </c>
      <c r="L4" s="361">
        <v>735889</v>
      </c>
      <c r="M4" s="362">
        <v>0.51694322462806297</v>
      </c>
      <c r="N4" s="360">
        <v>0.66912730245993501</v>
      </c>
      <c r="O4" s="360">
        <v>0.81791058811197404</v>
      </c>
      <c r="P4" s="361">
        <v>566483</v>
      </c>
      <c r="Q4" s="362">
        <v>0.61543425790363704</v>
      </c>
      <c r="R4" s="360">
        <v>0.63253386153200197</v>
      </c>
      <c r="S4" s="360">
        <v>0.84341564618098597</v>
      </c>
      <c r="T4" s="361">
        <v>710607</v>
      </c>
      <c r="U4" s="362">
        <v>0.54288264168927003</v>
      </c>
      <c r="V4" s="360">
        <v>0.60183853959213796</v>
      </c>
      <c r="W4" s="360">
        <v>0.86819877300665205</v>
      </c>
      <c r="X4" s="361">
        <v>800047</v>
      </c>
      <c r="Y4" s="362">
        <v>0.51765479600263198</v>
      </c>
      <c r="Z4" s="360">
        <v>0.59033511903415503</v>
      </c>
      <c r="AA4" s="360">
        <v>0.72899015835914005</v>
      </c>
      <c r="AB4" s="90">
        <v>382079</v>
      </c>
      <c r="AC4" s="362">
        <v>0.50426719492658201</v>
      </c>
      <c r="AD4" s="360">
        <v>0.55850572847889202</v>
      </c>
      <c r="AE4" s="360">
        <v>0.81077789800216205</v>
      </c>
      <c r="AF4" s="361">
        <v>611484</v>
      </c>
      <c r="AG4" s="362">
        <v>0.82466509490773399</v>
      </c>
      <c r="AH4" s="360">
        <v>0.82602310728347705</v>
      </c>
      <c r="AI4" s="360">
        <v>0.93953576034995601</v>
      </c>
      <c r="AJ4" s="361">
        <v>1081462</v>
      </c>
      <c r="AK4" s="362">
        <v>0.82359289423797599</v>
      </c>
      <c r="AL4" s="360">
        <v>0.823349344877085</v>
      </c>
      <c r="AM4" s="360">
        <v>0.86023500578940104</v>
      </c>
      <c r="AN4" s="361">
        <v>546072</v>
      </c>
      <c r="AO4" s="362">
        <v>0.80557549489438596</v>
      </c>
      <c r="AP4" s="360">
        <v>0.80766407745787905</v>
      </c>
      <c r="AQ4" s="360">
        <v>0.74150476680006405</v>
      </c>
      <c r="AR4" s="361">
        <v>428428</v>
      </c>
      <c r="AS4" s="362">
        <v>0.81394172960525901</v>
      </c>
      <c r="AT4" s="360">
        <v>0.82193500787781104</v>
      </c>
      <c r="AU4" s="361">
        <v>396264</v>
      </c>
      <c r="AV4" s="107">
        <v>0.54663067428710899</v>
      </c>
      <c r="AW4" s="107">
        <v>0.54970482302067303</v>
      </c>
      <c r="AX4" s="107">
        <v>0.86633414065903602</v>
      </c>
      <c r="AY4" s="106">
        <v>779911</v>
      </c>
      <c r="AZ4" s="362">
        <v>0.76279495473639403</v>
      </c>
      <c r="BA4" s="360">
        <v>0.79309204485842699</v>
      </c>
      <c r="BB4" s="360">
        <v>0.94181157296094098</v>
      </c>
      <c r="BC4" s="361">
        <v>1003433</v>
      </c>
      <c r="BD4" s="360">
        <v>0.82879646384429795</v>
      </c>
      <c r="BE4" s="360">
        <v>0.92104838791615196</v>
      </c>
      <c r="BF4" s="361">
        <v>963250</v>
      </c>
      <c r="BG4" s="9"/>
    </row>
    <row r="5" spans="1:59" s="82" customFormat="1" ht="12" customHeight="1">
      <c r="A5" s="418" t="s">
        <v>1296</v>
      </c>
      <c r="B5" s="360">
        <v>0.83360360048822202</v>
      </c>
      <c r="C5" s="360">
        <v>0.84306676551582804</v>
      </c>
      <c r="D5" s="361">
        <v>446156</v>
      </c>
      <c r="E5" s="362">
        <v>0.53831685486370695</v>
      </c>
      <c r="F5" s="360">
        <v>0.819352522710035</v>
      </c>
      <c r="G5" s="360">
        <v>0.93117225939065995</v>
      </c>
      <c r="H5" s="361">
        <v>526825</v>
      </c>
      <c r="I5" s="360">
        <v>0.59453747388773703</v>
      </c>
      <c r="J5" s="360">
        <v>0.65294794108665699</v>
      </c>
      <c r="K5" s="360">
        <v>0.89934168401265502</v>
      </c>
      <c r="L5" s="361">
        <v>677846</v>
      </c>
      <c r="M5" s="362">
        <v>0.55747772081941904</v>
      </c>
      <c r="N5" s="360">
        <v>0.68584049464667096</v>
      </c>
      <c r="O5" s="360">
        <v>0.84888024461484102</v>
      </c>
      <c r="P5" s="361">
        <v>526825</v>
      </c>
      <c r="Q5" s="362">
        <v>0.63372660135697401</v>
      </c>
      <c r="R5" s="360">
        <v>0.64803580256625903</v>
      </c>
      <c r="S5" s="360">
        <v>0.87436402537916902</v>
      </c>
      <c r="T5" s="361">
        <v>656679</v>
      </c>
      <c r="U5" s="362">
        <v>0.57168071671817</v>
      </c>
      <c r="V5" s="360">
        <v>0.66835786499640604</v>
      </c>
      <c r="W5" s="360">
        <v>0.894657665408229</v>
      </c>
      <c r="X5" s="361">
        <v>693868</v>
      </c>
      <c r="Y5" s="362">
        <v>0.53095635597336899</v>
      </c>
      <c r="Z5" s="360">
        <v>0.59560583069804895</v>
      </c>
      <c r="AA5" s="360">
        <v>0.73958945069204096</v>
      </c>
      <c r="AB5" s="90">
        <v>294715</v>
      </c>
      <c r="AC5" s="362">
        <v>0.51862185861544197</v>
      </c>
      <c r="AD5" s="360">
        <v>0.54270442769976901</v>
      </c>
      <c r="AE5" s="360">
        <v>0.84708753719414598</v>
      </c>
      <c r="AF5" s="361">
        <v>567164</v>
      </c>
      <c r="AG5" s="362">
        <v>0.82168769253583995</v>
      </c>
      <c r="AH5" s="360">
        <v>0.82110293512020405</v>
      </c>
      <c r="AI5" s="360">
        <v>0.95554888830120999</v>
      </c>
      <c r="AJ5" s="361">
        <v>1011986</v>
      </c>
      <c r="AK5" s="362">
        <v>0.82740225537189604</v>
      </c>
      <c r="AL5" s="360">
        <v>0.82759369393324</v>
      </c>
      <c r="AM5" s="360">
        <v>0.88198063408990501</v>
      </c>
      <c r="AN5" s="361">
        <v>522457</v>
      </c>
      <c r="AO5" s="362">
        <v>0.82031780063480797</v>
      </c>
      <c r="AP5" s="360">
        <v>0.821981524814272</v>
      </c>
      <c r="AQ5" s="360">
        <v>0.759373650258094</v>
      </c>
      <c r="AR5" s="361">
        <v>349410</v>
      </c>
      <c r="AS5" s="362">
        <v>0.83004163009410104</v>
      </c>
      <c r="AT5" s="360">
        <v>0.83873741619810704</v>
      </c>
      <c r="AU5" s="361">
        <v>379135</v>
      </c>
      <c r="AV5" s="107">
        <v>0.52721486902436199</v>
      </c>
      <c r="AW5" s="107">
        <v>0.527461587098357</v>
      </c>
      <c r="AX5" s="107">
        <v>0.86816376964671205</v>
      </c>
      <c r="AY5" s="106">
        <v>653716</v>
      </c>
      <c r="AZ5" s="362">
        <v>0.76887316083590596</v>
      </c>
      <c r="BA5" s="360">
        <v>0.79583705630536605</v>
      </c>
      <c r="BB5" s="360">
        <v>0.94731572708106104</v>
      </c>
      <c r="BC5" s="361">
        <v>898349</v>
      </c>
      <c r="BD5" s="360">
        <v>0.81744396597512603</v>
      </c>
      <c r="BE5" s="360">
        <v>0.94602787370013297</v>
      </c>
      <c r="BF5" s="361">
        <v>905530</v>
      </c>
      <c r="BG5" s="9"/>
    </row>
    <row r="6" spans="1:59" s="82" customFormat="1" ht="12" customHeight="1">
      <c r="A6" s="418" t="s">
        <v>1297</v>
      </c>
      <c r="B6" s="360">
        <v>0.82495928905943505</v>
      </c>
      <c r="C6" s="360">
        <v>0.79113137404906297</v>
      </c>
      <c r="D6" s="361">
        <v>475519</v>
      </c>
      <c r="E6" s="362">
        <v>0.52620227143264697</v>
      </c>
      <c r="F6" s="360">
        <v>0.80885224754143203</v>
      </c>
      <c r="G6" s="360">
        <v>0.91401179406075095</v>
      </c>
      <c r="H6" s="361">
        <v>578408</v>
      </c>
      <c r="I6" s="360">
        <v>0.58470476455181697</v>
      </c>
      <c r="J6" s="360">
        <v>0.63929683552865002</v>
      </c>
      <c r="K6" s="360">
        <v>0.88091073082538296</v>
      </c>
      <c r="L6" s="361">
        <v>732829</v>
      </c>
      <c r="M6" s="362">
        <v>0.52268261694332596</v>
      </c>
      <c r="N6" s="360">
        <v>0.672943018222806</v>
      </c>
      <c r="O6" s="360">
        <v>0.83307668424523695</v>
      </c>
      <c r="P6" s="361">
        <v>578408</v>
      </c>
      <c r="Q6" s="362">
        <v>0.61251436041853802</v>
      </c>
      <c r="R6" s="360">
        <v>0.63014768505768104</v>
      </c>
      <c r="S6" s="360">
        <v>0.85321646330279</v>
      </c>
      <c r="T6" s="361">
        <v>726396</v>
      </c>
      <c r="U6" s="362">
        <v>0.50073237325892594</v>
      </c>
      <c r="V6" s="360">
        <v>0.66523019201318301</v>
      </c>
      <c r="W6" s="360">
        <v>0.87070846546670799</v>
      </c>
      <c r="X6" s="361">
        <v>781064</v>
      </c>
      <c r="Y6" s="362">
        <v>0.51373046191140304</v>
      </c>
      <c r="Z6" s="360">
        <v>0.57624532023590402</v>
      </c>
      <c r="AA6" s="360">
        <v>0.71164928196227994</v>
      </c>
      <c r="AB6" s="90">
        <v>351867</v>
      </c>
      <c r="AC6" s="362">
        <v>0.52623532347058499</v>
      </c>
      <c r="AD6" s="360">
        <v>0.53983741974405097</v>
      </c>
      <c r="AE6" s="360">
        <v>0.82408127782262897</v>
      </c>
      <c r="AF6" s="361">
        <v>623660</v>
      </c>
      <c r="AG6" s="362">
        <v>0.82308660951673396</v>
      </c>
      <c r="AH6" s="360">
        <v>0.82313667714155703</v>
      </c>
      <c r="AI6" s="360">
        <v>0.94057181351341801</v>
      </c>
      <c r="AJ6" s="361">
        <v>1111437</v>
      </c>
      <c r="AK6" s="362">
        <v>0.82253380900823103</v>
      </c>
      <c r="AL6" s="360">
        <v>0.82111267928407405</v>
      </c>
      <c r="AM6" s="360">
        <v>0.86146800549159197</v>
      </c>
      <c r="AN6" s="361">
        <v>553776</v>
      </c>
      <c r="AO6" s="362">
        <v>0.811618509172503</v>
      </c>
      <c r="AP6" s="360">
        <v>0.81295561471797895</v>
      </c>
      <c r="AQ6" s="360">
        <v>0.72550855682628002</v>
      </c>
      <c r="AR6" s="361">
        <v>403573</v>
      </c>
      <c r="AS6" s="362">
        <v>0.84674164846327105</v>
      </c>
      <c r="AT6" s="360">
        <v>0.81384410365033599</v>
      </c>
      <c r="AU6" s="361">
        <v>401735</v>
      </c>
      <c r="AV6" s="107">
        <v>0.51662905012153504</v>
      </c>
      <c r="AW6" s="107">
        <v>0.56220331986185601</v>
      </c>
      <c r="AX6" s="107">
        <v>0.854367087720309</v>
      </c>
      <c r="AY6" s="106">
        <v>749001</v>
      </c>
      <c r="AZ6" s="362">
        <v>0.76065138194252901</v>
      </c>
      <c r="BA6" s="360">
        <v>0.78830529487550505</v>
      </c>
      <c r="BB6" s="360">
        <v>0.93797895451506097</v>
      </c>
      <c r="BC6" s="361">
        <v>1030195</v>
      </c>
      <c r="BD6" s="360">
        <v>0.82394775583154101</v>
      </c>
      <c r="BE6" s="360">
        <v>0.93186450010227295</v>
      </c>
      <c r="BF6" s="361">
        <v>990349</v>
      </c>
      <c r="BG6" s="9"/>
    </row>
    <row r="7" spans="1:59" s="82" customFormat="1" ht="12" customHeight="1">
      <c r="A7" s="418" t="s">
        <v>1298</v>
      </c>
      <c r="B7" s="360">
        <v>0.83319123488081903</v>
      </c>
      <c r="C7" s="360">
        <v>0.85352887776430997</v>
      </c>
      <c r="D7" s="361">
        <v>278838</v>
      </c>
      <c r="E7" s="362">
        <v>0.56643532036715305</v>
      </c>
      <c r="F7" s="360">
        <v>0.84485844684268896</v>
      </c>
      <c r="G7" s="360">
        <v>0.949446732846431</v>
      </c>
      <c r="H7" s="361">
        <v>472232</v>
      </c>
      <c r="I7" s="360">
        <v>0.60840108116000502</v>
      </c>
      <c r="J7" s="360">
        <v>0.66757734200889196</v>
      </c>
      <c r="K7" s="360">
        <v>0.90484522628061603</v>
      </c>
      <c r="L7" s="361">
        <v>608766</v>
      </c>
      <c r="M7" s="362">
        <v>0.53693951913456905</v>
      </c>
      <c r="N7" s="360">
        <v>0.65556180824945098</v>
      </c>
      <c r="O7" s="360">
        <v>0.86092794278544005</v>
      </c>
      <c r="P7" s="361">
        <v>472232</v>
      </c>
      <c r="Q7" s="362">
        <v>0.64145373130544003</v>
      </c>
      <c r="R7" s="360">
        <v>0.66937846116390998</v>
      </c>
      <c r="S7" s="360">
        <v>0.88448304128163602</v>
      </c>
      <c r="T7" s="361">
        <v>572623</v>
      </c>
      <c r="U7" s="362">
        <v>0.51744211586103395</v>
      </c>
      <c r="V7" s="360">
        <v>0.68076012620131698</v>
      </c>
      <c r="W7" s="360">
        <v>0.84774244212030403</v>
      </c>
      <c r="X7" s="361">
        <v>546149</v>
      </c>
      <c r="Y7" s="362">
        <v>0.55098018007148797</v>
      </c>
      <c r="Z7" s="360">
        <v>0.60211495790501102</v>
      </c>
      <c r="AA7" s="360">
        <v>0.70715845380398101</v>
      </c>
      <c r="AB7" s="90">
        <v>210444</v>
      </c>
      <c r="AC7" s="362">
        <v>0.536674537844398</v>
      </c>
      <c r="AD7" s="360">
        <v>0.53675620665419499</v>
      </c>
      <c r="AE7" s="360">
        <v>0.85133623401896996</v>
      </c>
      <c r="AF7" s="361">
        <v>500836</v>
      </c>
      <c r="AG7" s="362">
        <v>0.82715466437435703</v>
      </c>
      <c r="AH7" s="360">
        <v>0.82734086932473305</v>
      </c>
      <c r="AI7" s="360">
        <v>0.97443286084882097</v>
      </c>
      <c r="AJ7" s="361">
        <v>949374</v>
      </c>
      <c r="AK7" s="362">
        <v>0.82578185413223204</v>
      </c>
      <c r="AL7" s="360">
        <v>0.82570962407864701</v>
      </c>
      <c r="AM7" s="360">
        <v>0.89084888221209602</v>
      </c>
      <c r="AN7" s="361">
        <v>487449</v>
      </c>
      <c r="AO7" s="362">
        <v>0.81399335659398897</v>
      </c>
      <c r="AP7" s="360">
        <v>0.81615436794875296</v>
      </c>
      <c r="AQ7" s="360">
        <v>0.72480817645663298</v>
      </c>
      <c r="AR7" s="361">
        <v>268065</v>
      </c>
      <c r="AS7" s="362">
        <v>0.83186896253202802</v>
      </c>
      <c r="AT7" s="360">
        <v>0.84882413935331702</v>
      </c>
      <c r="AU7" s="361">
        <v>345537</v>
      </c>
      <c r="AV7" s="107">
        <v>0.547658751017293</v>
      </c>
      <c r="AW7" s="107">
        <v>0.54248524877774895</v>
      </c>
      <c r="AX7" s="107">
        <v>0.86692198982023305</v>
      </c>
      <c r="AY7" s="106">
        <v>508873</v>
      </c>
      <c r="AZ7" s="362">
        <v>0.78142604664960902</v>
      </c>
      <c r="BA7" s="360">
        <v>0.80582551913740896</v>
      </c>
      <c r="BB7" s="360">
        <v>0.95530137964109196</v>
      </c>
      <c r="BC7" s="361">
        <v>785335</v>
      </c>
      <c r="BD7" s="360">
        <v>0.83503519826907702</v>
      </c>
      <c r="BE7" s="360">
        <v>0.97361857880081903</v>
      </c>
      <c r="BF7" s="361">
        <v>516337</v>
      </c>
      <c r="BG7" s="9"/>
    </row>
    <row r="8" spans="1:59" s="82" customFormat="1" ht="12" customHeight="1">
      <c r="A8" s="418" t="s">
        <v>1299</v>
      </c>
      <c r="B8" s="360">
        <v>0.81902411220472504</v>
      </c>
      <c r="C8" s="360">
        <v>0.79312945703674698</v>
      </c>
      <c r="D8" s="361">
        <v>471038</v>
      </c>
      <c r="E8" s="362">
        <v>0.56415852656306797</v>
      </c>
      <c r="F8" s="360">
        <v>0.84290869964381399</v>
      </c>
      <c r="G8" s="360">
        <v>0.90087547829362202</v>
      </c>
      <c r="H8" s="361">
        <v>551047</v>
      </c>
      <c r="I8" s="360">
        <v>0.60050734208868695</v>
      </c>
      <c r="J8" s="360">
        <v>0.65232668574053199</v>
      </c>
      <c r="K8" s="360">
        <v>0.86459059161372398</v>
      </c>
      <c r="L8" s="361">
        <v>727766</v>
      </c>
      <c r="M8" s="362">
        <v>0.49370648618449298</v>
      </c>
      <c r="N8" s="360">
        <v>0.65312856227368798</v>
      </c>
      <c r="O8" s="360">
        <v>0.81427717679787404</v>
      </c>
      <c r="P8" s="361">
        <v>551047</v>
      </c>
      <c r="Q8" s="362">
        <v>0.64146197428055596</v>
      </c>
      <c r="R8" s="360">
        <v>0.66257568479276996</v>
      </c>
      <c r="S8" s="360">
        <v>0.84045108824603498</v>
      </c>
      <c r="T8" s="361">
        <v>684929</v>
      </c>
      <c r="U8" s="362">
        <v>0.57543433216838802</v>
      </c>
      <c r="V8" s="360">
        <v>0.76271372437529505</v>
      </c>
      <c r="W8" s="360">
        <v>0.866703769361442</v>
      </c>
      <c r="X8" s="361">
        <v>796549</v>
      </c>
      <c r="Y8" s="362">
        <v>0.55348882615940598</v>
      </c>
      <c r="Z8" s="360">
        <v>0.62057236192969001</v>
      </c>
      <c r="AA8" s="360">
        <v>0.73682675783657103</v>
      </c>
      <c r="AB8" s="90">
        <v>402659</v>
      </c>
      <c r="AC8" s="362">
        <v>0.542254706857216</v>
      </c>
      <c r="AD8" s="360">
        <v>0.55638374811173197</v>
      </c>
      <c r="AE8" s="360">
        <v>0.80233874151090201</v>
      </c>
      <c r="AF8" s="361">
        <v>593195</v>
      </c>
      <c r="AG8" s="362">
        <v>0.832768509050692</v>
      </c>
      <c r="AH8" s="360">
        <v>0.83262294126800596</v>
      </c>
      <c r="AI8" s="360">
        <v>0.92629568751781199</v>
      </c>
      <c r="AJ8" s="361">
        <v>1061000</v>
      </c>
      <c r="AK8" s="362">
        <v>0.83184555780313396</v>
      </c>
      <c r="AL8" s="360">
        <v>0.83113792963344801</v>
      </c>
      <c r="AM8" s="360">
        <v>0.84112048094104797</v>
      </c>
      <c r="AN8" s="361">
        <v>540254</v>
      </c>
      <c r="AO8" s="362">
        <v>0.82012502175690605</v>
      </c>
      <c r="AP8" s="360">
        <v>0.82229334216678296</v>
      </c>
      <c r="AQ8" s="360">
        <v>0.72595515790217302</v>
      </c>
      <c r="AR8" s="361">
        <v>441778</v>
      </c>
      <c r="AS8" s="362">
        <v>0.80800014100065398</v>
      </c>
      <c r="AT8" s="360">
        <v>0.80575989803954495</v>
      </c>
      <c r="AU8" s="361">
        <v>393308</v>
      </c>
      <c r="AV8" s="107">
        <v>0.55352999105272804</v>
      </c>
      <c r="AW8" s="107">
        <v>0.564132709237116</v>
      </c>
      <c r="AX8" s="107">
        <v>0.86572698821384997</v>
      </c>
      <c r="AY8" s="106">
        <v>792962</v>
      </c>
      <c r="AZ8" s="362">
        <v>0.77872570129136598</v>
      </c>
      <c r="BA8" s="360">
        <v>0.80250309889608096</v>
      </c>
      <c r="BB8" s="360">
        <v>0.94111151052336695</v>
      </c>
      <c r="BC8" s="361">
        <v>1175655</v>
      </c>
      <c r="BD8" s="360">
        <v>0.82494613670601602</v>
      </c>
      <c r="BE8" s="360">
        <v>0.91257357677597395</v>
      </c>
      <c r="BF8" s="361">
        <v>947521</v>
      </c>
      <c r="BG8" s="9"/>
    </row>
    <row r="9" spans="1:59" s="82" customFormat="1" ht="12" customHeight="1">
      <c r="A9" s="418" t="s">
        <v>1300</v>
      </c>
      <c r="B9" s="360">
        <v>0.82410509689698397</v>
      </c>
      <c r="C9" s="360">
        <v>0.73911437811729697</v>
      </c>
      <c r="D9" s="361">
        <v>428274</v>
      </c>
      <c r="E9" s="362">
        <v>0.51452231726900899</v>
      </c>
      <c r="F9" s="360">
        <v>0.78659659079648803</v>
      </c>
      <c r="G9" s="360">
        <v>0.89769161795716002</v>
      </c>
      <c r="H9" s="361">
        <v>493636</v>
      </c>
      <c r="I9" s="360">
        <v>0.58388984069050298</v>
      </c>
      <c r="J9" s="360">
        <v>0.64078561137665502</v>
      </c>
      <c r="K9" s="360">
        <v>0.86171197480108896</v>
      </c>
      <c r="L9" s="361">
        <v>609378</v>
      </c>
      <c r="M9" s="362">
        <v>0.49044824887662197</v>
      </c>
      <c r="N9" s="360">
        <v>0.63931634940314996</v>
      </c>
      <c r="O9" s="360">
        <v>0.80384548697703095</v>
      </c>
      <c r="P9" s="361">
        <v>493636</v>
      </c>
      <c r="Q9" s="362">
        <v>0.60714118788193605</v>
      </c>
      <c r="R9" s="360">
        <v>0.63853215069629099</v>
      </c>
      <c r="S9" s="360">
        <v>0.83744202943663903</v>
      </c>
      <c r="T9" s="361">
        <v>603951</v>
      </c>
      <c r="U9" s="362">
        <v>0.54310928057222996</v>
      </c>
      <c r="V9" s="360">
        <v>0.651136548593378</v>
      </c>
      <c r="W9" s="360">
        <v>0.87317258679652499</v>
      </c>
      <c r="X9" s="361">
        <v>578113</v>
      </c>
      <c r="Y9" s="362">
        <v>0.52599807406412302</v>
      </c>
      <c r="Z9" s="360">
        <v>0.55856692823998499</v>
      </c>
      <c r="AA9" s="360">
        <v>0.67875247945413697</v>
      </c>
      <c r="AB9" s="90">
        <v>226740</v>
      </c>
      <c r="AC9" s="362">
        <v>0.48163935161701499</v>
      </c>
      <c r="AD9" s="360">
        <v>0.52834619942091998</v>
      </c>
      <c r="AE9" s="360">
        <v>0.77341355485115604</v>
      </c>
      <c r="AF9" s="361">
        <v>522704</v>
      </c>
      <c r="AG9" s="362">
        <v>0.817581922891079</v>
      </c>
      <c r="AH9" s="360">
        <v>0.81751186462780501</v>
      </c>
      <c r="AI9" s="360">
        <v>0.93143917466595505</v>
      </c>
      <c r="AJ9" s="361">
        <v>950558</v>
      </c>
      <c r="AK9" s="362">
        <v>0.81622397420639303</v>
      </c>
      <c r="AL9" s="360">
        <v>0.81552664929148899</v>
      </c>
      <c r="AM9" s="360">
        <v>0.85798513586392999</v>
      </c>
      <c r="AN9" s="361">
        <v>487999</v>
      </c>
      <c r="AO9" s="362">
        <v>0.813329553163328</v>
      </c>
      <c r="AP9" s="360">
        <v>0.81522163018522598</v>
      </c>
      <c r="AQ9" s="360">
        <v>0.68309920481478303</v>
      </c>
      <c r="AR9" s="361">
        <v>268394</v>
      </c>
      <c r="AS9" s="362">
        <v>0.840832264596451</v>
      </c>
      <c r="AT9" s="360">
        <v>0.82789431331866303</v>
      </c>
      <c r="AU9" s="361">
        <v>357401</v>
      </c>
      <c r="AV9" s="107">
        <v>0.50485936183759506</v>
      </c>
      <c r="AW9" s="107">
        <v>0.51099393977241803</v>
      </c>
      <c r="AX9" s="107">
        <v>0.85012925509862602</v>
      </c>
      <c r="AY9" s="106">
        <v>539031</v>
      </c>
      <c r="AZ9" s="362">
        <v>0.76457891578167403</v>
      </c>
      <c r="BA9" s="360">
        <v>0.79430980558944397</v>
      </c>
      <c r="BB9" s="360">
        <v>0.92003394744768996</v>
      </c>
      <c r="BC9" s="361">
        <v>786247</v>
      </c>
      <c r="BD9" s="360">
        <v>0.81950190102553799</v>
      </c>
      <c r="BE9" s="360">
        <v>0.92209519658967098</v>
      </c>
      <c r="BF9" s="361">
        <v>861070</v>
      </c>
      <c r="BG9" s="9"/>
    </row>
    <row r="10" spans="1:59" s="82" customFormat="1" ht="12" customHeight="1">
      <c r="A10" s="418" t="s">
        <v>1301</v>
      </c>
      <c r="B10" s="360">
        <v>0.80720766948763101</v>
      </c>
      <c r="C10" s="360">
        <v>0.36399839282255902</v>
      </c>
      <c r="D10" s="361">
        <v>417719</v>
      </c>
      <c r="E10" s="362">
        <v>0.49240621003606799</v>
      </c>
      <c r="F10" s="360">
        <v>0.74989033125095095</v>
      </c>
      <c r="G10" s="360">
        <v>0.66243432448323203</v>
      </c>
      <c r="H10" s="361">
        <v>517813</v>
      </c>
      <c r="I10" s="360">
        <v>0.58509112025000998</v>
      </c>
      <c r="J10" s="360">
        <v>0.64134908944355795</v>
      </c>
      <c r="K10" s="360">
        <v>0.40715789645693201</v>
      </c>
      <c r="L10" s="361">
        <v>683581</v>
      </c>
      <c r="M10" s="362">
        <v>0.47990468620213</v>
      </c>
      <c r="N10" s="360">
        <v>0.627391158301283</v>
      </c>
      <c r="O10" s="360">
        <v>0.35802407776843997</v>
      </c>
      <c r="P10" s="361">
        <v>517813</v>
      </c>
      <c r="Q10" s="362">
        <v>0.61727767932970101</v>
      </c>
      <c r="R10" s="360">
        <v>0.63524891426729801</v>
      </c>
      <c r="S10" s="360">
        <v>0.383629008680962</v>
      </c>
      <c r="T10" s="361">
        <v>657663</v>
      </c>
      <c r="U10" s="362">
        <v>0.43320047659717797</v>
      </c>
      <c r="V10" s="360">
        <v>0.61467676586752995</v>
      </c>
      <c r="W10" s="360">
        <v>0.80662020644485</v>
      </c>
      <c r="X10" s="361">
        <v>786754</v>
      </c>
      <c r="Y10" s="362">
        <v>0.51277291991996099</v>
      </c>
      <c r="Z10" s="360">
        <v>0.57062268438035701</v>
      </c>
      <c r="AA10" s="360">
        <v>0.24981961760926799</v>
      </c>
      <c r="AB10" s="90">
        <v>384041</v>
      </c>
      <c r="AC10" s="362">
        <v>0.51747241968705204</v>
      </c>
      <c r="AD10" s="360">
        <v>0.51762573559513103</v>
      </c>
      <c r="AE10" s="360">
        <v>0.31087380815017701</v>
      </c>
      <c r="AF10" s="361">
        <v>555289</v>
      </c>
      <c r="AG10" s="362">
        <v>0.81997632588220604</v>
      </c>
      <c r="AH10" s="360">
        <v>0.820492433839766</v>
      </c>
      <c r="AI10" s="360">
        <v>0.51744040684326398</v>
      </c>
      <c r="AJ10" s="361">
        <v>976845</v>
      </c>
      <c r="AK10" s="362">
        <v>0.81388550289458195</v>
      </c>
      <c r="AL10" s="360">
        <v>0.81461335314627603</v>
      </c>
      <c r="AM10" s="360">
        <v>0.41995833425114798</v>
      </c>
      <c r="AN10" s="361">
        <v>503218</v>
      </c>
      <c r="AO10" s="362">
        <v>0.80732019935633503</v>
      </c>
      <c r="AP10" s="360">
        <v>0.80996537733423501</v>
      </c>
      <c r="AQ10" s="360">
        <v>0.43937228765908098</v>
      </c>
      <c r="AR10" s="361">
        <v>434407</v>
      </c>
      <c r="AS10" s="362">
        <v>0.85411609398088695</v>
      </c>
      <c r="AT10" s="360">
        <v>0.319894034772572</v>
      </c>
      <c r="AU10" s="361">
        <v>363273</v>
      </c>
      <c r="AV10" s="107">
        <v>0.52679031437054402</v>
      </c>
      <c r="AW10" s="107">
        <v>0.52291941033131695</v>
      </c>
      <c r="AX10" s="107">
        <v>0.39250091591054898</v>
      </c>
      <c r="AY10" s="106">
        <v>768134</v>
      </c>
      <c r="AZ10" s="362">
        <v>0.65841473836037401</v>
      </c>
      <c r="BA10" s="360">
        <v>0.64219552986776396</v>
      </c>
      <c r="BB10" s="360">
        <v>0.64116839490376998</v>
      </c>
      <c r="BC10" s="361">
        <v>939652</v>
      </c>
      <c r="BD10" s="360">
        <v>0.80937755511628195</v>
      </c>
      <c r="BE10" s="360">
        <v>0.43616261368523301</v>
      </c>
      <c r="BF10" s="361">
        <v>861186</v>
      </c>
      <c r="BG10" s="9"/>
    </row>
    <row r="11" spans="1:59" s="82" customFormat="1" ht="12" customHeight="1">
      <c r="A11" s="418" t="s">
        <v>1302</v>
      </c>
      <c r="B11" s="360">
        <v>0.820868459926553</v>
      </c>
      <c r="C11" s="360">
        <v>0.81053378589607505</v>
      </c>
      <c r="D11" s="361">
        <v>443267</v>
      </c>
      <c r="E11" s="362">
        <v>0.50697025682984298</v>
      </c>
      <c r="F11" s="360">
        <v>0.79829673510079802</v>
      </c>
      <c r="G11" s="360">
        <v>0.93838031115486598</v>
      </c>
      <c r="H11" s="361">
        <v>508995</v>
      </c>
      <c r="I11" s="360">
        <v>0.58262880104220405</v>
      </c>
      <c r="J11" s="360">
        <v>0.62759752900340005</v>
      </c>
      <c r="K11" s="360">
        <v>0.90880310582457902</v>
      </c>
      <c r="L11" s="361">
        <v>675543</v>
      </c>
      <c r="M11" s="362">
        <v>0.53141522510998895</v>
      </c>
      <c r="N11" s="360">
        <v>0.63132826678535103</v>
      </c>
      <c r="O11" s="360">
        <v>0.85350457552750902</v>
      </c>
      <c r="P11" s="361">
        <v>508995</v>
      </c>
      <c r="Q11" s="362">
        <v>0.60164838789386799</v>
      </c>
      <c r="R11" s="360">
        <v>0.63005550367221497</v>
      </c>
      <c r="S11" s="360">
        <v>0.88442982885041599</v>
      </c>
      <c r="T11" s="361">
        <v>631070</v>
      </c>
      <c r="U11" s="362">
        <v>0.56580574568520903</v>
      </c>
      <c r="V11" s="360">
        <v>0.63685234123893897</v>
      </c>
      <c r="W11" s="360">
        <v>0.86930771926544104</v>
      </c>
      <c r="X11" s="361">
        <v>684902</v>
      </c>
      <c r="Y11" s="362">
        <v>0.52451761885423398</v>
      </c>
      <c r="Z11" s="360">
        <v>0.56644014912902296</v>
      </c>
      <c r="AA11" s="360">
        <v>0.76024414914497096</v>
      </c>
      <c r="AB11" s="90">
        <v>293882</v>
      </c>
      <c r="AC11" s="362">
        <v>0.52079594295174703</v>
      </c>
      <c r="AD11" s="360">
        <v>0.54366985832204795</v>
      </c>
      <c r="AE11" s="360">
        <v>0.85594979982522401</v>
      </c>
      <c r="AF11" s="361">
        <v>551443</v>
      </c>
      <c r="AG11" s="362">
        <v>0.81699508495168105</v>
      </c>
      <c r="AH11" s="360">
        <v>0.81845203519627696</v>
      </c>
      <c r="AI11" s="360">
        <v>0.95861006537579396</v>
      </c>
      <c r="AJ11" s="361">
        <v>978107</v>
      </c>
      <c r="AK11" s="362">
        <v>0.82571677422716705</v>
      </c>
      <c r="AL11" s="360">
        <v>0.82417098399544098</v>
      </c>
      <c r="AM11" s="360">
        <v>0.88492350176185097</v>
      </c>
      <c r="AN11" s="361">
        <v>527156</v>
      </c>
      <c r="AO11" s="362">
        <v>0.81182931067643505</v>
      </c>
      <c r="AP11" s="360">
        <v>0.81293884503824698</v>
      </c>
      <c r="AQ11" s="360">
        <v>0.75514368074199101</v>
      </c>
      <c r="AR11" s="361">
        <v>348844</v>
      </c>
      <c r="AS11" s="362">
        <v>0.81718824291287395</v>
      </c>
      <c r="AT11" s="360">
        <v>0.84898627208739597</v>
      </c>
      <c r="AU11" s="361">
        <v>382759</v>
      </c>
      <c r="AV11" s="107">
        <v>0.546059848185797</v>
      </c>
      <c r="AW11" s="107">
        <v>0.54543537982017998</v>
      </c>
      <c r="AX11" s="107">
        <v>0.89197431403123495</v>
      </c>
      <c r="AY11" s="106">
        <v>653560</v>
      </c>
      <c r="AZ11" s="362">
        <v>0.75973088281731005</v>
      </c>
      <c r="BA11" s="360">
        <v>0.78825153322451003</v>
      </c>
      <c r="BB11" s="360">
        <v>0.94318825095876402</v>
      </c>
      <c r="BC11" s="361">
        <v>1036325</v>
      </c>
      <c r="BD11" s="360">
        <v>0.82636437703600396</v>
      </c>
      <c r="BE11" s="360">
        <v>0.945006455986934</v>
      </c>
      <c r="BF11" s="361">
        <v>878745</v>
      </c>
      <c r="BG11" s="9"/>
    </row>
    <row r="12" spans="1:59" s="82" customFormat="1" ht="12" customHeight="1">
      <c r="A12" s="418" t="s">
        <v>1303</v>
      </c>
      <c r="B12" s="360">
        <v>0.82045441569831001</v>
      </c>
      <c r="C12" s="360">
        <v>0.81563319984015303</v>
      </c>
      <c r="D12" s="361">
        <v>462562</v>
      </c>
      <c r="E12" s="362">
        <v>0.50884720820896401</v>
      </c>
      <c r="F12" s="360">
        <v>0.80174354076989196</v>
      </c>
      <c r="G12" s="360">
        <v>0.91860623487792203</v>
      </c>
      <c r="H12" s="361">
        <v>536146</v>
      </c>
      <c r="I12" s="360">
        <v>0.58367567491736505</v>
      </c>
      <c r="J12" s="360">
        <v>0.63971951652090697</v>
      </c>
      <c r="K12" s="360">
        <v>0.89472635749616902</v>
      </c>
      <c r="L12" s="361">
        <v>702277</v>
      </c>
      <c r="M12" s="362">
        <v>0.54109038011491395</v>
      </c>
      <c r="N12" s="360">
        <v>0.61854197151607204</v>
      </c>
      <c r="O12" s="360">
        <v>0.83929435567508104</v>
      </c>
      <c r="P12" s="361">
        <v>536146</v>
      </c>
      <c r="Q12" s="362">
        <v>0.61756631633722703</v>
      </c>
      <c r="R12" s="360">
        <v>0.63266975696440797</v>
      </c>
      <c r="S12" s="360">
        <v>0.86554719320072104</v>
      </c>
      <c r="T12" s="361">
        <v>663967</v>
      </c>
      <c r="U12" s="362">
        <v>0.47700156751915002</v>
      </c>
      <c r="V12" s="360">
        <v>0.64399820279630404</v>
      </c>
      <c r="W12" s="360">
        <v>0.84086531291097599</v>
      </c>
      <c r="X12" s="361">
        <v>733343</v>
      </c>
      <c r="Y12" s="362">
        <v>0.50805842443986204</v>
      </c>
      <c r="Z12" s="360">
        <v>0.57198358037689001</v>
      </c>
      <c r="AA12" s="360">
        <v>0.754407793317322</v>
      </c>
      <c r="AB12" s="90">
        <v>340027</v>
      </c>
      <c r="AC12" s="362">
        <v>0.52065443249060495</v>
      </c>
      <c r="AD12" s="360">
        <v>0.56236390191164298</v>
      </c>
      <c r="AE12" s="360">
        <v>0.848535423944906</v>
      </c>
      <c r="AF12" s="361">
        <v>578422</v>
      </c>
      <c r="AG12" s="362">
        <v>0.81989308011311002</v>
      </c>
      <c r="AH12" s="360">
        <v>0.82013945074608197</v>
      </c>
      <c r="AI12" s="360">
        <v>0.94416608590395401</v>
      </c>
      <c r="AJ12" s="361">
        <v>1034863</v>
      </c>
      <c r="AK12" s="362">
        <v>0.82531051653006104</v>
      </c>
      <c r="AL12" s="360">
        <v>0.82511030161350596</v>
      </c>
      <c r="AM12" s="360">
        <v>0.87072320103267198</v>
      </c>
      <c r="AN12" s="361">
        <v>539402</v>
      </c>
      <c r="AO12" s="362">
        <v>0.80912911158191303</v>
      </c>
      <c r="AP12" s="360">
        <v>0.80933128025352097</v>
      </c>
      <c r="AQ12" s="360">
        <v>0.77503379443056597</v>
      </c>
      <c r="AR12" s="361">
        <v>390383</v>
      </c>
      <c r="AS12" s="362">
        <v>0.79840037802951402</v>
      </c>
      <c r="AT12" s="360">
        <v>0.79983343368089399</v>
      </c>
      <c r="AU12" s="361">
        <v>391550</v>
      </c>
      <c r="AV12" s="107">
        <v>0.52000048145581601</v>
      </c>
      <c r="AW12" s="107">
        <v>0.52896671179755606</v>
      </c>
      <c r="AX12" s="107">
        <v>0.88090209211756898</v>
      </c>
      <c r="AY12" s="106">
        <v>716666</v>
      </c>
      <c r="AZ12" s="362">
        <v>0.76298362412542897</v>
      </c>
      <c r="BA12" s="360">
        <v>0.79201434085952704</v>
      </c>
      <c r="BB12" s="360">
        <v>0.94947693627693297</v>
      </c>
      <c r="BC12" s="361">
        <v>1002340</v>
      </c>
      <c r="BD12" s="360">
        <v>0.83202972408801901</v>
      </c>
      <c r="BE12" s="360">
        <v>0.93507969245598999</v>
      </c>
      <c r="BF12" s="361">
        <v>925231</v>
      </c>
      <c r="BG12" s="9"/>
    </row>
    <row r="13" spans="1:59" s="82" customFormat="1" ht="12" customHeight="1">
      <c r="A13" s="418" t="s">
        <v>1304</v>
      </c>
      <c r="B13" s="360">
        <v>0.83187594410928101</v>
      </c>
      <c r="C13" s="360">
        <v>0.75208081558637396</v>
      </c>
      <c r="D13" s="361">
        <v>471921</v>
      </c>
      <c r="E13" s="362">
        <v>0.520709248790867</v>
      </c>
      <c r="F13" s="360">
        <v>0.80014774387022503</v>
      </c>
      <c r="G13" s="360">
        <v>0.91155144927889897</v>
      </c>
      <c r="H13" s="361">
        <v>570124</v>
      </c>
      <c r="I13" s="360">
        <v>0.58335098659645201</v>
      </c>
      <c r="J13" s="360">
        <v>0.64234837653347099</v>
      </c>
      <c r="K13" s="360">
        <v>0.88022595498356604</v>
      </c>
      <c r="L13" s="361">
        <v>757826</v>
      </c>
      <c r="M13" s="362">
        <v>0.54363324520131295</v>
      </c>
      <c r="N13" s="360">
        <v>0.65527489551248896</v>
      </c>
      <c r="O13" s="360">
        <v>0.761243574029415</v>
      </c>
      <c r="P13" s="361">
        <v>570124</v>
      </c>
      <c r="Q13" s="362">
        <v>0.62811476143341505</v>
      </c>
      <c r="R13" s="360">
        <v>0.64901532189465505</v>
      </c>
      <c r="S13" s="360">
        <v>0.80800076217944805</v>
      </c>
      <c r="T13" s="361">
        <v>713988</v>
      </c>
      <c r="U13" s="362">
        <v>0.56899479744461701</v>
      </c>
      <c r="V13" s="360">
        <v>0.65829967874925599</v>
      </c>
      <c r="W13" s="360">
        <v>0.81539989053478401</v>
      </c>
      <c r="X13" s="361">
        <v>812264</v>
      </c>
      <c r="Y13" s="362">
        <v>0.51788393493344498</v>
      </c>
      <c r="Z13" s="360">
        <v>0.57365917103922204</v>
      </c>
      <c r="AA13" s="360">
        <v>0.65667265348863202</v>
      </c>
      <c r="AB13" s="90">
        <v>400426</v>
      </c>
      <c r="AC13" s="362">
        <v>0.50178148387715704</v>
      </c>
      <c r="AD13" s="360">
        <v>0.51458865230516504</v>
      </c>
      <c r="AE13" s="360">
        <v>0.75723867150416801</v>
      </c>
      <c r="AF13" s="361">
        <v>613766</v>
      </c>
      <c r="AG13" s="362">
        <v>0.82982357338250701</v>
      </c>
      <c r="AH13" s="360">
        <v>0.83098817287283899</v>
      </c>
      <c r="AI13" s="360">
        <v>0.91414769431751397</v>
      </c>
      <c r="AJ13" s="361">
        <v>1097712</v>
      </c>
      <c r="AK13" s="362">
        <v>0.82159310150019305</v>
      </c>
      <c r="AL13" s="360">
        <v>0.82127636929958203</v>
      </c>
      <c r="AM13" s="360">
        <v>0.80186071265813896</v>
      </c>
      <c r="AN13" s="361">
        <v>553879</v>
      </c>
      <c r="AO13" s="362">
        <v>0.81728745262943603</v>
      </c>
      <c r="AP13" s="360">
        <v>0.81964333241700504</v>
      </c>
      <c r="AQ13" s="360">
        <v>0.663150949355784</v>
      </c>
      <c r="AR13" s="361">
        <v>444938</v>
      </c>
      <c r="AS13" s="362">
        <v>0.81508370320376999</v>
      </c>
      <c r="AT13" s="360">
        <v>0.77586491651157696</v>
      </c>
      <c r="AU13" s="361">
        <v>402288</v>
      </c>
      <c r="AV13" s="107">
        <v>0.52637708696956298</v>
      </c>
      <c r="AW13" s="107">
        <v>0.53382649249962999</v>
      </c>
      <c r="AX13" s="107">
        <v>0.82199995013652905</v>
      </c>
      <c r="AY13" s="106">
        <v>799614</v>
      </c>
      <c r="AZ13" s="362">
        <v>0.76688786525837604</v>
      </c>
      <c r="BA13" s="360">
        <v>0.79339573168732602</v>
      </c>
      <c r="BB13" s="360">
        <v>0.94023384974951996</v>
      </c>
      <c r="BC13" s="361">
        <v>1115387</v>
      </c>
      <c r="BD13" s="360">
        <v>0.82908602842076295</v>
      </c>
      <c r="BE13" s="360">
        <v>0.92462076371907698</v>
      </c>
      <c r="BF13" s="361">
        <v>970907</v>
      </c>
      <c r="BG13" s="9"/>
    </row>
    <row r="14" spans="1:59" s="82" customFormat="1" ht="12" customHeight="1">
      <c r="A14" s="418" t="s">
        <v>1305</v>
      </c>
      <c r="B14" s="360">
        <v>0.82440589375296303</v>
      </c>
      <c r="C14" s="360">
        <v>0.69452841890875205</v>
      </c>
      <c r="D14" s="361">
        <v>475816</v>
      </c>
      <c r="E14" s="362">
        <v>0.52008280442115695</v>
      </c>
      <c r="F14" s="360">
        <v>0.78968369647469105</v>
      </c>
      <c r="G14" s="360">
        <v>0.85657882951043696</v>
      </c>
      <c r="H14" s="361">
        <v>576812</v>
      </c>
      <c r="I14" s="360">
        <v>0.58291654518453895</v>
      </c>
      <c r="J14" s="360">
        <v>0.63935167193833298</v>
      </c>
      <c r="K14" s="360">
        <v>0.83173103238396895</v>
      </c>
      <c r="L14" s="361">
        <v>733619</v>
      </c>
      <c r="M14" s="362">
        <v>0.48796327087450603</v>
      </c>
      <c r="N14" s="360">
        <v>0.63873915021442895</v>
      </c>
      <c r="O14" s="360">
        <v>0.71165592786152099</v>
      </c>
      <c r="P14" s="361">
        <v>576812</v>
      </c>
      <c r="Q14" s="362">
        <v>0.60901592386232695</v>
      </c>
      <c r="R14" s="360">
        <v>0.64477278904401203</v>
      </c>
      <c r="S14" s="360">
        <v>0.75393489830591298</v>
      </c>
      <c r="T14" s="361">
        <v>723465</v>
      </c>
      <c r="U14" s="362">
        <v>0.53271595454492005</v>
      </c>
      <c r="V14" s="360">
        <v>0.69202872289552497</v>
      </c>
      <c r="W14" s="360">
        <v>0.83189280804440202</v>
      </c>
      <c r="X14" s="361">
        <v>778421</v>
      </c>
      <c r="Y14" s="362">
        <v>0.50744027219348398</v>
      </c>
      <c r="Z14" s="360">
        <v>0.56577200467694599</v>
      </c>
      <c r="AA14" s="360">
        <v>0.61711012716739699</v>
      </c>
      <c r="AB14" s="90">
        <v>348918</v>
      </c>
      <c r="AC14" s="362">
        <v>0.499035133964434</v>
      </c>
      <c r="AD14" s="360">
        <v>0.51096414729474104</v>
      </c>
      <c r="AE14" s="360">
        <v>0.67120711402633404</v>
      </c>
      <c r="AF14" s="361">
        <v>620772</v>
      </c>
      <c r="AG14" s="362">
        <v>0.81490862311721601</v>
      </c>
      <c r="AH14" s="360">
        <v>0.81503198977493896</v>
      </c>
      <c r="AI14" s="360">
        <v>0.90538708021936998</v>
      </c>
      <c r="AJ14" s="361">
        <v>1118334</v>
      </c>
      <c r="AK14" s="362">
        <v>0.81406401269749595</v>
      </c>
      <c r="AL14" s="360">
        <v>0.81384032039771304</v>
      </c>
      <c r="AM14" s="360">
        <v>0.78221619743067805</v>
      </c>
      <c r="AN14" s="361">
        <v>555370</v>
      </c>
      <c r="AO14" s="362">
        <v>0.80825278189052296</v>
      </c>
      <c r="AP14" s="360">
        <v>0.81075610848114898</v>
      </c>
      <c r="AQ14" s="360">
        <v>0.64259723531638002</v>
      </c>
      <c r="AR14" s="361">
        <v>406087</v>
      </c>
      <c r="AS14" s="362">
        <v>0.81375823155468197</v>
      </c>
      <c r="AT14" s="360">
        <v>0.70840344411009304</v>
      </c>
      <c r="AU14" s="361">
        <v>400552</v>
      </c>
      <c r="AV14" s="107">
        <v>0.494735127835365</v>
      </c>
      <c r="AW14" s="107">
        <v>0.51011846021379104</v>
      </c>
      <c r="AX14" s="107">
        <v>0.78674838577666795</v>
      </c>
      <c r="AY14" s="106">
        <v>744755</v>
      </c>
      <c r="AZ14" s="362">
        <v>0.74911222991355098</v>
      </c>
      <c r="BA14" s="360">
        <v>0.77115163157609201</v>
      </c>
      <c r="BB14" s="360">
        <v>0.90612536139613098</v>
      </c>
      <c r="BC14" s="361">
        <v>1039352</v>
      </c>
      <c r="BD14" s="360">
        <v>0.81707498209104801</v>
      </c>
      <c r="BE14" s="360">
        <v>0.87760367421696694</v>
      </c>
      <c r="BF14" s="361">
        <v>989064</v>
      </c>
      <c r="BG14" s="9"/>
    </row>
    <row r="15" spans="1:59" s="82" customFormat="1" ht="12" customHeight="1">
      <c r="A15" s="418" t="s">
        <v>1306</v>
      </c>
      <c r="B15" s="360">
        <v>0.80998572854001505</v>
      </c>
      <c r="C15" s="360">
        <v>0.46007882426438301</v>
      </c>
      <c r="D15" s="361">
        <v>345098</v>
      </c>
      <c r="E15" s="362">
        <v>0.50282223846273599</v>
      </c>
      <c r="F15" s="360">
        <v>0.62513012455115402</v>
      </c>
      <c r="G15" s="360">
        <v>0.64183004091750995</v>
      </c>
      <c r="H15" s="361">
        <v>406612</v>
      </c>
      <c r="I15" s="360">
        <v>0.58275474153547802</v>
      </c>
      <c r="J15" s="360">
        <v>0.64067584584478998</v>
      </c>
      <c r="K15" s="360">
        <v>0.88331279283606001</v>
      </c>
      <c r="L15" s="361">
        <v>609022</v>
      </c>
      <c r="M15" s="362">
        <v>0.51539253760915604</v>
      </c>
      <c r="N15" s="360">
        <v>0.65588918383462103</v>
      </c>
      <c r="O15" s="360">
        <v>9.7395529656336702E-2</v>
      </c>
      <c r="P15" s="361">
        <v>406612</v>
      </c>
      <c r="Q15" s="362">
        <v>0.60857226013133503</v>
      </c>
      <c r="R15" s="360">
        <v>0.64435431817442601</v>
      </c>
      <c r="S15" s="360">
        <v>0.79073313134807599</v>
      </c>
      <c r="T15" s="361">
        <v>603481</v>
      </c>
      <c r="U15" s="362">
        <v>0.48537378397365399</v>
      </c>
      <c r="V15" s="360">
        <v>0.583834471268183</v>
      </c>
      <c r="W15" s="360">
        <v>0.49225606348074902</v>
      </c>
      <c r="X15" s="361">
        <v>475350</v>
      </c>
      <c r="Y15" s="362">
        <v>0.52079442794650399</v>
      </c>
      <c r="Z15" s="360">
        <v>0.58577338916558896</v>
      </c>
      <c r="AA15" s="360">
        <v>7.97696096643917E-2</v>
      </c>
      <c r="AB15" s="90">
        <v>188224</v>
      </c>
      <c r="AC15" s="362">
        <v>0.54154739899749005</v>
      </c>
      <c r="AD15" s="360">
        <v>0.52514314530085404</v>
      </c>
      <c r="AE15" s="360">
        <v>0.27300787269111498</v>
      </c>
      <c r="AF15" s="361">
        <v>431125</v>
      </c>
      <c r="AG15" s="362">
        <v>0.81200249067045704</v>
      </c>
      <c r="AH15" s="360">
        <v>0.81279440596076302</v>
      </c>
      <c r="AI15" s="360">
        <v>0.73902080630910605</v>
      </c>
      <c r="AJ15" s="361">
        <v>758610</v>
      </c>
      <c r="AK15" s="362">
        <v>0.81524495610175596</v>
      </c>
      <c r="AL15" s="360">
        <v>0.81679213208022905</v>
      </c>
      <c r="AM15" s="360">
        <v>0.51016979838002796</v>
      </c>
      <c r="AN15" s="361">
        <v>388017</v>
      </c>
      <c r="AO15" s="362">
        <v>0.80643754755084596</v>
      </c>
      <c r="AP15" s="360">
        <v>0.80670086795210405</v>
      </c>
      <c r="AQ15" s="360">
        <v>0.208887431442426</v>
      </c>
      <c r="AR15" s="361">
        <v>224363</v>
      </c>
      <c r="AS15" s="362">
        <v>0.83042728062590498</v>
      </c>
      <c r="AT15" s="360">
        <v>0.42102357091277698</v>
      </c>
      <c r="AU15" s="361">
        <v>284846</v>
      </c>
      <c r="AV15" s="107">
        <v>0.55500487932373499</v>
      </c>
      <c r="AW15" s="107">
        <v>0.49263513314879398</v>
      </c>
      <c r="AX15" s="107">
        <v>0.46224272845847297</v>
      </c>
      <c r="AY15" s="106">
        <v>441448</v>
      </c>
      <c r="AZ15" s="362">
        <v>0.72325554602393605</v>
      </c>
      <c r="BA15" s="360">
        <v>0.73835330817155198</v>
      </c>
      <c r="BB15" s="360">
        <v>0.52458869437281497</v>
      </c>
      <c r="BC15" s="361">
        <v>624461</v>
      </c>
      <c r="BD15" s="360">
        <v>0.80862414057667498</v>
      </c>
      <c r="BE15" s="360">
        <v>0.62677605153235705</v>
      </c>
      <c r="BF15" s="361">
        <v>687830</v>
      </c>
      <c r="BG15" s="9"/>
    </row>
    <row r="16" spans="1:59" s="82" customFormat="1" ht="12" customHeight="1">
      <c r="A16" s="418" t="s">
        <v>1307</v>
      </c>
      <c r="B16" s="360">
        <v>0.83630614998994901</v>
      </c>
      <c r="C16" s="360">
        <v>0.76962082478270999</v>
      </c>
      <c r="D16" s="361">
        <v>476508</v>
      </c>
      <c r="E16" s="362">
        <v>0.50620570845093404</v>
      </c>
      <c r="F16" s="360">
        <v>0.78925577997146801</v>
      </c>
      <c r="G16" s="360">
        <v>0.88347252239909102</v>
      </c>
      <c r="H16" s="361">
        <v>579254</v>
      </c>
      <c r="I16" s="360">
        <v>0.58539752335543005</v>
      </c>
      <c r="J16" s="360">
        <v>0.642397532905428</v>
      </c>
      <c r="K16" s="360">
        <v>0.86211941132911996</v>
      </c>
      <c r="L16" s="361">
        <v>744076</v>
      </c>
      <c r="M16" s="362">
        <v>0.54745159254418496</v>
      </c>
      <c r="N16" s="360">
        <v>0.65961287724637296</v>
      </c>
      <c r="O16" s="360">
        <v>0.80341742212476397</v>
      </c>
      <c r="P16" s="361">
        <v>579254</v>
      </c>
      <c r="Q16" s="362">
        <v>0.61577468262685797</v>
      </c>
      <c r="R16" s="360">
        <v>0.63854968611246099</v>
      </c>
      <c r="S16" s="360">
        <v>0.83970604339141197</v>
      </c>
      <c r="T16" s="361">
        <v>727303</v>
      </c>
      <c r="U16" s="362">
        <v>0.462914475346834</v>
      </c>
      <c r="V16" s="360">
        <v>0.66495758035438401</v>
      </c>
      <c r="W16" s="360">
        <v>0.85353886879179597</v>
      </c>
      <c r="X16" s="361">
        <v>804474</v>
      </c>
      <c r="Y16" s="362">
        <v>0.52109806870700204</v>
      </c>
      <c r="Z16" s="360">
        <v>0.56577351877194104</v>
      </c>
      <c r="AA16" s="360">
        <v>0.70836018043508897</v>
      </c>
      <c r="AB16" s="90">
        <v>378488</v>
      </c>
      <c r="AC16" s="362">
        <v>0.48757712508569601</v>
      </c>
      <c r="AD16" s="360">
        <v>0.52869315108651405</v>
      </c>
      <c r="AE16" s="360">
        <v>0.79463084704074705</v>
      </c>
      <c r="AF16" s="361">
        <v>624643</v>
      </c>
      <c r="AG16" s="362">
        <v>0.82293262674777401</v>
      </c>
      <c r="AH16" s="360">
        <v>0.82324948315997004</v>
      </c>
      <c r="AI16" s="360">
        <v>0.93175897990974499</v>
      </c>
      <c r="AJ16" s="361">
        <v>1114434</v>
      </c>
      <c r="AK16" s="362">
        <v>0.82242455848145501</v>
      </c>
      <c r="AL16" s="360">
        <v>0.823369642349282</v>
      </c>
      <c r="AM16" s="360">
        <v>0.84010818939820997</v>
      </c>
      <c r="AN16" s="361">
        <v>557706</v>
      </c>
      <c r="AO16" s="362">
        <v>0.80887160275131498</v>
      </c>
      <c r="AP16" s="360">
        <v>0.80993621822695705</v>
      </c>
      <c r="AQ16" s="360">
        <v>0.72003832742333596</v>
      </c>
      <c r="AR16" s="361">
        <v>430509</v>
      </c>
      <c r="AS16" s="362">
        <v>0.79550301293488002</v>
      </c>
      <c r="AT16" s="360">
        <v>0.76090337815640496</v>
      </c>
      <c r="AU16" s="361">
        <v>404451</v>
      </c>
      <c r="AV16" s="107">
        <v>0.52215619630787702</v>
      </c>
      <c r="AW16" s="107">
        <v>0.56562112926985397</v>
      </c>
      <c r="AX16" s="107">
        <v>0.84789399113963104</v>
      </c>
      <c r="AY16" s="106">
        <v>780982</v>
      </c>
      <c r="AZ16" s="362">
        <v>0.75961350940277195</v>
      </c>
      <c r="BA16" s="360">
        <v>0.79060539416534903</v>
      </c>
      <c r="BB16" s="360">
        <v>0.92524462757627302</v>
      </c>
      <c r="BC16" s="361">
        <v>1082274</v>
      </c>
      <c r="BD16" s="360">
        <v>0.81685895242110695</v>
      </c>
      <c r="BE16" s="360">
        <v>0.909023140065091</v>
      </c>
      <c r="BF16" s="361">
        <v>992182</v>
      </c>
      <c r="BG16" s="9"/>
    </row>
    <row r="17" spans="1:59" s="82" customFormat="1" ht="12" customHeight="1">
      <c r="A17" s="418" t="s">
        <v>1308</v>
      </c>
      <c r="B17" s="360">
        <v>0.82334139295572295</v>
      </c>
      <c r="C17" s="360">
        <v>0.77136742989455598</v>
      </c>
      <c r="D17" s="361">
        <v>461740</v>
      </c>
      <c r="E17" s="362">
        <v>0.50450573721186598</v>
      </c>
      <c r="F17" s="360">
        <v>0.79639783037072198</v>
      </c>
      <c r="G17" s="360">
        <v>0.909689393720719</v>
      </c>
      <c r="H17" s="361">
        <v>554578</v>
      </c>
      <c r="I17" s="360">
        <v>0.57998467417101196</v>
      </c>
      <c r="J17" s="360">
        <v>0.63691247185210198</v>
      </c>
      <c r="K17" s="360">
        <v>0.87079924589365199</v>
      </c>
      <c r="L17" s="361">
        <v>762916</v>
      </c>
      <c r="M17" s="362">
        <v>0.48852977955915</v>
      </c>
      <c r="N17" s="360">
        <v>0.68440225106439301</v>
      </c>
      <c r="O17" s="360">
        <v>0.83960342841117397</v>
      </c>
      <c r="P17" s="361">
        <v>554578</v>
      </c>
      <c r="Q17" s="362">
        <v>0.61430063646130195</v>
      </c>
      <c r="R17" s="360">
        <v>0.63920898043541097</v>
      </c>
      <c r="S17" s="360">
        <v>0.85769659029435197</v>
      </c>
      <c r="T17" s="361">
        <v>692885</v>
      </c>
      <c r="U17" s="362">
        <v>0.54464679909819502</v>
      </c>
      <c r="V17" s="360">
        <v>0.64649825185617704</v>
      </c>
      <c r="W17" s="360">
        <v>0.84533405600594702</v>
      </c>
      <c r="X17" s="361">
        <v>753569</v>
      </c>
      <c r="Y17" s="362">
        <v>0.524569375936907</v>
      </c>
      <c r="Z17" s="360">
        <v>0.57086897107769097</v>
      </c>
      <c r="AA17" s="360">
        <v>0.70441055106382999</v>
      </c>
      <c r="AB17" s="90">
        <v>341423</v>
      </c>
      <c r="AC17" s="362">
        <v>0.53354717599936496</v>
      </c>
      <c r="AD17" s="360">
        <v>0.54691132240719997</v>
      </c>
      <c r="AE17" s="360">
        <v>0.818037982420323</v>
      </c>
      <c r="AF17" s="361">
        <v>595838</v>
      </c>
      <c r="AG17" s="362">
        <v>0.81790955331124204</v>
      </c>
      <c r="AH17" s="360">
        <v>0.81766997109502004</v>
      </c>
      <c r="AI17" s="360">
        <v>0.93991925554519296</v>
      </c>
      <c r="AJ17" s="361">
        <v>1068585</v>
      </c>
      <c r="AK17" s="362">
        <v>0.824799509157912</v>
      </c>
      <c r="AL17" s="360">
        <v>0.82444770486651098</v>
      </c>
      <c r="AM17" s="360">
        <v>0.85969227083160904</v>
      </c>
      <c r="AN17" s="361">
        <v>540444</v>
      </c>
      <c r="AO17" s="362">
        <v>0.81322019645602095</v>
      </c>
      <c r="AP17" s="360">
        <v>0.81858595524296596</v>
      </c>
      <c r="AQ17" s="360">
        <v>0.72474843839255199</v>
      </c>
      <c r="AR17" s="361">
        <v>393256</v>
      </c>
      <c r="AS17" s="362">
        <v>0.82289817209455696</v>
      </c>
      <c r="AT17" s="360">
        <v>0.82433849284195604</v>
      </c>
      <c r="AU17" s="361">
        <v>391920</v>
      </c>
      <c r="AV17" s="107">
        <v>0.52704321889483796</v>
      </c>
      <c r="AW17" s="107">
        <v>0.54322921150011605</v>
      </c>
      <c r="AX17" s="107">
        <v>0.86599649549006597</v>
      </c>
      <c r="AY17" s="106">
        <v>724679</v>
      </c>
      <c r="AZ17" s="362">
        <v>0.77034601411168802</v>
      </c>
      <c r="BA17" s="360">
        <v>0.79798589481864701</v>
      </c>
      <c r="BB17" s="360">
        <v>0.94464435871469699</v>
      </c>
      <c r="BC17" s="361">
        <v>1042439</v>
      </c>
      <c r="BD17" s="360">
        <v>0.81727722250211798</v>
      </c>
      <c r="BE17" s="360">
        <v>0.92677034087533205</v>
      </c>
      <c r="BF17" s="361">
        <v>952314</v>
      </c>
      <c r="BG17" s="9"/>
    </row>
    <row r="18" spans="1:59" s="82" customFormat="1" ht="12" customHeight="1">
      <c r="A18" s="418" t="s">
        <v>1309</v>
      </c>
      <c r="B18" s="360">
        <v>0.81952149234972804</v>
      </c>
      <c r="C18" s="360">
        <v>0.46154783701234198</v>
      </c>
      <c r="D18" s="361">
        <v>477854</v>
      </c>
      <c r="E18" s="362">
        <v>0.50119639931099202</v>
      </c>
      <c r="F18" s="360">
        <v>0.73975069254443404</v>
      </c>
      <c r="G18" s="360">
        <v>0.57706618211294802</v>
      </c>
      <c r="H18" s="361">
        <v>582059</v>
      </c>
      <c r="I18" s="360">
        <v>0.58048844448357495</v>
      </c>
      <c r="J18" s="360">
        <v>0.63329645848390503</v>
      </c>
      <c r="K18" s="360">
        <v>0.81666155164187304</v>
      </c>
      <c r="L18" s="361">
        <v>761800</v>
      </c>
      <c r="M18" s="362">
        <v>0.50622981522361199</v>
      </c>
      <c r="N18" s="360">
        <v>0.61880609246667695</v>
      </c>
      <c r="O18" s="360">
        <v>0.61199202202145997</v>
      </c>
      <c r="P18" s="361">
        <v>582059</v>
      </c>
      <c r="Q18" s="362">
        <v>0.60515497295785403</v>
      </c>
      <c r="R18" s="360">
        <v>0.62929740932480105</v>
      </c>
      <c r="S18" s="360">
        <v>0.52576239300768701</v>
      </c>
      <c r="T18" s="361">
        <v>591717</v>
      </c>
      <c r="U18" s="362">
        <v>0.47651470673212898</v>
      </c>
      <c r="V18" s="360">
        <v>0.64611423595138895</v>
      </c>
      <c r="W18" s="360">
        <v>0.83889366695864398</v>
      </c>
      <c r="X18" s="361">
        <v>848818</v>
      </c>
      <c r="Y18" s="362">
        <v>0.50731342891130204</v>
      </c>
      <c r="Z18" s="360">
        <v>0.56690893296187095</v>
      </c>
      <c r="AA18" s="360">
        <v>0.67302658315003705</v>
      </c>
      <c r="AB18" s="90">
        <v>430779</v>
      </c>
      <c r="AC18" s="362">
        <v>0.51048811547477402</v>
      </c>
      <c r="AD18" s="360">
        <v>0.51948185767250499</v>
      </c>
      <c r="AE18" s="360">
        <v>0.56926957711334003</v>
      </c>
      <c r="AF18" s="361">
        <v>626641</v>
      </c>
      <c r="AG18" s="362">
        <v>0.81992882062285199</v>
      </c>
      <c r="AH18" s="360">
        <v>0.82058480543737</v>
      </c>
      <c r="AI18" s="360">
        <v>0.86401580926900101</v>
      </c>
      <c r="AJ18" s="361">
        <v>928126</v>
      </c>
      <c r="AK18" s="362">
        <v>0.81895158717209204</v>
      </c>
      <c r="AL18" s="360">
        <v>0.81912850543320403</v>
      </c>
      <c r="AM18" s="360">
        <v>0.74542156583202601</v>
      </c>
      <c r="AN18" s="361">
        <v>467124</v>
      </c>
      <c r="AO18" s="362">
        <v>0.81648961006919096</v>
      </c>
      <c r="AP18" s="360">
        <v>0.82061783916000397</v>
      </c>
      <c r="AQ18" s="360">
        <v>0.60683830031323505</v>
      </c>
      <c r="AR18" s="361">
        <v>293753</v>
      </c>
      <c r="AS18" s="362">
        <v>0.82025078753951997</v>
      </c>
      <c r="AT18" s="360">
        <v>0.71042099871308995</v>
      </c>
      <c r="AU18" s="361">
        <v>410260</v>
      </c>
      <c r="AV18" s="107">
        <v>0.53066921402260803</v>
      </c>
      <c r="AW18" s="107">
        <v>0.53308521334415204</v>
      </c>
      <c r="AX18" s="107">
        <v>0.84736184943008097</v>
      </c>
      <c r="AY18" s="106">
        <v>844493</v>
      </c>
      <c r="AZ18" s="362">
        <v>0.75282453327343601</v>
      </c>
      <c r="BA18" s="360">
        <v>0.77829146502181101</v>
      </c>
      <c r="BB18" s="360">
        <v>0.89891656372815198</v>
      </c>
      <c r="BC18" s="361">
        <v>1160539</v>
      </c>
      <c r="BD18" s="360">
        <v>0.81708517141450399</v>
      </c>
      <c r="BE18" s="360">
        <v>0.83350602294645304</v>
      </c>
      <c r="BF18" s="361">
        <v>996635</v>
      </c>
      <c r="BG18" s="9"/>
    </row>
    <row r="19" spans="1:59" s="82" customFormat="1" ht="12" customHeight="1">
      <c r="A19" s="418" t="s">
        <v>1310</v>
      </c>
      <c r="B19" s="360">
        <v>0.81512939035003995</v>
      </c>
      <c r="C19" s="360">
        <v>0.54051652607351597</v>
      </c>
      <c r="D19" s="361">
        <v>477840</v>
      </c>
      <c r="E19" s="362">
        <v>0.502742131187354</v>
      </c>
      <c r="F19" s="360">
        <v>0.76424003376049299</v>
      </c>
      <c r="G19" s="360">
        <v>0.69678250749545001</v>
      </c>
      <c r="H19" s="361">
        <v>582032</v>
      </c>
      <c r="I19" s="360">
        <v>0.58300441472860998</v>
      </c>
      <c r="J19" s="360">
        <v>0.63882162269731302</v>
      </c>
      <c r="K19" s="360">
        <v>0.84133286269173002</v>
      </c>
      <c r="L19" s="361">
        <v>761695</v>
      </c>
      <c r="M19" s="362">
        <v>0.50170742090256304</v>
      </c>
      <c r="N19" s="360">
        <v>0.62940846544898499</v>
      </c>
      <c r="O19" s="360">
        <v>0.525470787100485</v>
      </c>
      <c r="P19" s="361">
        <v>582032</v>
      </c>
      <c r="Q19" s="362">
        <v>0.60607193102725498</v>
      </c>
      <c r="R19" s="360">
        <v>0.63244266635492197</v>
      </c>
      <c r="S19" s="360">
        <v>0.75509792642401696</v>
      </c>
      <c r="T19" s="361">
        <v>591056</v>
      </c>
      <c r="U19" s="362">
        <v>0.45980466886956101</v>
      </c>
      <c r="V19" s="360">
        <v>0.63200866377337495</v>
      </c>
      <c r="W19" s="360">
        <v>0.85735249742550401</v>
      </c>
      <c r="X19" s="361">
        <v>848552</v>
      </c>
      <c r="Y19" s="362">
        <v>0.51171070878729197</v>
      </c>
      <c r="Z19" s="360">
        <v>0.57959808570025395</v>
      </c>
      <c r="AA19" s="360">
        <v>0.74030688350389995</v>
      </c>
      <c r="AB19" s="90">
        <v>430443</v>
      </c>
      <c r="AC19" s="362">
        <v>0.50036115315053298</v>
      </c>
      <c r="AD19" s="360">
        <v>0.53358080066301095</v>
      </c>
      <c r="AE19" s="360">
        <v>0.67675303596887304</v>
      </c>
      <c r="AF19" s="361">
        <v>626612</v>
      </c>
      <c r="AG19" s="362">
        <v>0.81299494313240295</v>
      </c>
      <c r="AH19" s="360">
        <v>0.81368535284170695</v>
      </c>
      <c r="AI19" s="360">
        <v>0.88641490086008501</v>
      </c>
      <c r="AJ19" s="361">
        <v>927235</v>
      </c>
      <c r="AK19" s="362">
        <v>0.811730153730709</v>
      </c>
      <c r="AL19" s="360">
        <v>0.81133468920247598</v>
      </c>
      <c r="AM19" s="360">
        <v>0.788452156062459</v>
      </c>
      <c r="AN19" s="361">
        <v>466765</v>
      </c>
      <c r="AO19" s="362">
        <v>0.80971694872785605</v>
      </c>
      <c r="AP19" s="360">
        <v>0.81174231276097097</v>
      </c>
      <c r="AQ19" s="360">
        <v>0.77660959263648999</v>
      </c>
      <c r="AR19" s="361">
        <v>293327</v>
      </c>
      <c r="AS19" s="362">
        <v>0.80814350802285895</v>
      </c>
      <c r="AT19" s="360">
        <v>0.59581022811074602</v>
      </c>
      <c r="AU19" s="361">
        <v>410243</v>
      </c>
      <c r="AV19" s="107">
        <v>0.48976522886919999</v>
      </c>
      <c r="AW19" s="107">
        <v>0.53657884652968801</v>
      </c>
      <c r="AX19" s="107">
        <v>0.85833311696753101</v>
      </c>
      <c r="AY19" s="106">
        <v>844125</v>
      </c>
      <c r="AZ19" s="362">
        <v>0.75473986557747597</v>
      </c>
      <c r="BA19" s="360">
        <v>0.77952931956987903</v>
      </c>
      <c r="BB19" s="360">
        <v>0.874250021863063</v>
      </c>
      <c r="BC19" s="361">
        <v>1160841</v>
      </c>
      <c r="BD19" s="360">
        <v>0.82075554509578097</v>
      </c>
      <c r="BE19" s="360">
        <v>0.77570868278659499</v>
      </c>
      <c r="BF19" s="361">
        <v>996584</v>
      </c>
      <c r="BG19" s="9"/>
    </row>
    <row r="20" spans="1:59" s="82" customFormat="1" ht="12" customHeight="1">
      <c r="A20" s="418" t="s">
        <v>1311</v>
      </c>
      <c r="B20" s="360">
        <v>0.82576200538255895</v>
      </c>
      <c r="C20" s="360">
        <v>0.31633637271662801</v>
      </c>
      <c r="D20" s="361">
        <v>477872</v>
      </c>
      <c r="E20" s="362">
        <v>0.50380323270618499</v>
      </c>
      <c r="F20" s="360">
        <v>0.75854196074348901</v>
      </c>
      <c r="G20" s="360">
        <v>0.45848451007423302</v>
      </c>
      <c r="H20" s="361">
        <v>582018</v>
      </c>
      <c r="I20" s="360">
        <v>0.58168704385306402</v>
      </c>
      <c r="J20" s="360">
        <v>0.63194932986263697</v>
      </c>
      <c r="K20" s="360">
        <v>0.77309484548396201</v>
      </c>
      <c r="L20" s="361">
        <v>761785</v>
      </c>
      <c r="M20" s="362">
        <v>0.50571050258301797</v>
      </c>
      <c r="N20" s="360">
        <v>0.60404317546244801</v>
      </c>
      <c r="O20" s="360">
        <v>0.51041731265785095</v>
      </c>
      <c r="P20" s="361">
        <v>582018</v>
      </c>
      <c r="Q20" s="362">
        <v>0.609151709228549</v>
      </c>
      <c r="R20" s="360">
        <v>0.633135972190499</v>
      </c>
      <c r="S20" s="360">
        <v>0.43714709767954602</v>
      </c>
      <c r="T20" s="361">
        <v>591512</v>
      </c>
      <c r="U20" s="362">
        <v>0.50742569601469301</v>
      </c>
      <c r="V20" s="360">
        <v>0.66343433913459005</v>
      </c>
      <c r="W20" s="360">
        <v>0.81845118681984697</v>
      </c>
      <c r="X20" s="361">
        <v>848597</v>
      </c>
      <c r="Y20" s="362">
        <v>0.49436687801307799</v>
      </c>
      <c r="Z20" s="360">
        <v>0.57198650029070497</v>
      </c>
      <c r="AA20" s="360">
        <v>0.75887247725520302</v>
      </c>
      <c r="AB20" s="90">
        <v>430519</v>
      </c>
      <c r="AC20" s="362">
        <v>0.51208421125792503</v>
      </c>
      <c r="AD20" s="360">
        <v>0.52295780411300197</v>
      </c>
      <c r="AE20" s="360">
        <v>0.494404861674763</v>
      </c>
      <c r="AF20" s="361">
        <v>626616</v>
      </c>
      <c r="AG20" s="362">
        <v>0.81751313953295401</v>
      </c>
      <c r="AH20" s="360">
        <v>0.81810818215036196</v>
      </c>
      <c r="AI20" s="360">
        <v>0.85247968877275004</v>
      </c>
      <c r="AJ20" s="361">
        <v>927874</v>
      </c>
      <c r="AK20" s="362">
        <v>0.81648819839922004</v>
      </c>
      <c r="AL20" s="360">
        <v>0.816166595530467</v>
      </c>
      <c r="AM20" s="360">
        <v>0.77716948003242003</v>
      </c>
      <c r="AN20" s="361">
        <v>467020</v>
      </c>
      <c r="AO20" s="362">
        <v>0.81708648171577003</v>
      </c>
      <c r="AP20" s="360">
        <v>0.81945960727085698</v>
      </c>
      <c r="AQ20" s="360">
        <v>0.52470638583986196</v>
      </c>
      <c r="AR20" s="361">
        <v>293627</v>
      </c>
      <c r="AS20" s="362">
        <v>0.80656099979712403</v>
      </c>
      <c r="AT20" s="360">
        <v>0.65681064581847404</v>
      </c>
      <c r="AU20" s="361">
        <v>410266</v>
      </c>
      <c r="AV20" s="107">
        <v>0.53326832939267099</v>
      </c>
      <c r="AW20" s="107">
        <v>0.51894427390003295</v>
      </c>
      <c r="AX20" s="107">
        <v>0.83821885948282204</v>
      </c>
      <c r="AY20" s="106">
        <v>844228</v>
      </c>
      <c r="AZ20" s="362">
        <v>0.74620128212825498</v>
      </c>
      <c r="BA20" s="360">
        <v>0.77028864680575304</v>
      </c>
      <c r="BB20" s="360">
        <v>0.87673301623299504</v>
      </c>
      <c r="BC20" s="361">
        <v>1160691</v>
      </c>
      <c r="BD20" s="360">
        <v>0.81130260078345195</v>
      </c>
      <c r="BE20" s="360">
        <v>0.72672054542122</v>
      </c>
      <c r="BF20" s="361">
        <v>996593</v>
      </c>
      <c r="BG20" s="9"/>
    </row>
    <row r="21" spans="1:59" s="82" customFormat="1" ht="12" customHeight="1">
      <c r="A21" s="418" t="s">
        <v>1312</v>
      </c>
      <c r="B21" s="360">
        <v>0.82570465428879503</v>
      </c>
      <c r="C21" s="360">
        <v>0.553931517375712</v>
      </c>
      <c r="D21" s="361">
        <v>477846</v>
      </c>
      <c r="E21" s="362">
        <v>0.50720624429970995</v>
      </c>
      <c r="F21" s="360">
        <v>0.78044321077853795</v>
      </c>
      <c r="G21" s="360">
        <v>0.64018401117233703</v>
      </c>
      <c r="H21" s="361">
        <v>581946</v>
      </c>
      <c r="I21" s="360">
        <v>0.57914803025167505</v>
      </c>
      <c r="J21" s="360">
        <v>0.62782438878744495</v>
      </c>
      <c r="K21" s="360">
        <v>0.706762275244186</v>
      </c>
      <c r="L21" s="361">
        <v>762536</v>
      </c>
      <c r="M21" s="362">
        <v>0.52473540865240598</v>
      </c>
      <c r="N21" s="360">
        <v>0.65334750505155903</v>
      </c>
      <c r="O21" s="360">
        <v>0.565560990226877</v>
      </c>
      <c r="P21" s="361">
        <v>581946</v>
      </c>
      <c r="Q21" s="362">
        <v>0.61557489797727805</v>
      </c>
      <c r="R21" s="360">
        <v>0.63748904965027897</v>
      </c>
      <c r="S21" s="360">
        <v>0.64436064022263695</v>
      </c>
      <c r="T21" s="361">
        <v>731819</v>
      </c>
      <c r="U21" s="362">
        <v>0.50684825321355298</v>
      </c>
      <c r="V21" s="360">
        <v>0.65730749344809003</v>
      </c>
      <c r="W21" s="360">
        <v>0.85326054012040597</v>
      </c>
      <c r="X21" s="361">
        <v>850379</v>
      </c>
      <c r="Y21" s="362">
        <v>0.50059653096280399</v>
      </c>
      <c r="Z21" s="360">
        <v>0.58038043064072997</v>
      </c>
      <c r="AA21" s="360">
        <v>0.58889839507961705</v>
      </c>
      <c r="AB21" s="90">
        <v>432678</v>
      </c>
      <c r="AC21" s="362">
        <v>0.49617091362328403</v>
      </c>
      <c r="AD21" s="360">
        <v>0.51745320355735303</v>
      </c>
      <c r="AE21" s="360">
        <v>0.489949449880829</v>
      </c>
      <c r="AF21" s="361">
        <v>626495</v>
      </c>
      <c r="AG21" s="362">
        <v>0.82076467805267095</v>
      </c>
      <c r="AH21" s="360">
        <v>0.82080084405065501</v>
      </c>
      <c r="AI21" s="360">
        <v>0.87849288483175503</v>
      </c>
      <c r="AJ21" s="361">
        <v>1120415</v>
      </c>
      <c r="AK21" s="362">
        <v>0.81967549773207404</v>
      </c>
      <c r="AL21" s="360">
        <v>0.81873793354706803</v>
      </c>
      <c r="AM21" s="360">
        <v>0.84899129293736797</v>
      </c>
      <c r="AN21" s="361">
        <v>564838</v>
      </c>
      <c r="AO21" s="362">
        <v>0.82036661726726201</v>
      </c>
      <c r="AP21" s="360">
        <v>0.82246741808643598</v>
      </c>
      <c r="AQ21" s="360">
        <v>0.79733640018330498</v>
      </c>
      <c r="AR21" s="361">
        <v>474727</v>
      </c>
      <c r="AS21" s="362">
        <v>0.79504096291859605</v>
      </c>
      <c r="AT21" s="360">
        <v>0.67156520508841799</v>
      </c>
      <c r="AU21" s="361">
        <v>410207</v>
      </c>
      <c r="AV21" s="107">
        <v>0.51845800905251704</v>
      </c>
      <c r="AW21" s="107">
        <v>0.51320451778557796</v>
      </c>
      <c r="AX21" s="107">
        <v>0.73595009833319003</v>
      </c>
      <c r="AY21" s="106">
        <v>846516</v>
      </c>
      <c r="AZ21" s="362">
        <v>0.744394764588031</v>
      </c>
      <c r="BA21" s="360">
        <v>0.76528419921629998</v>
      </c>
      <c r="BB21" s="360">
        <v>0.91409658309391595</v>
      </c>
      <c r="BC21" s="361">
        <v>1159476</v>
      </c>
      <c r="BD21" s="360">
        <v>0.80542447349762702</v>
      </c>
      <c r="BE21" s="360">
        <v>0.78669228977829198</v>
      </c>
      <c r="BF21" s="361">
        <v>996617</v>
      </c>
      <c r="BG21" s="9"/>
    </row>
    <row r="22" spans="1:59" s="82" customFormat="1" ht="12" customHeight="1">
      <c r="A22" s="418" t="s">
        <v>1313</v>
      </c>
      <c r="B22" s="360">
        <v>0.83026911483024701</v>
      </c>
      <c r="C22" s="360">
        <v>0.473173540624927</v>
      </c>
      <c r="D22" s="361">
        <v>477856</v>
      </c>
      <c r="E22" s="362">
        <v>0.50004340720865603</v>
      </c>
      <c r="F22" s="360">
        <v>0.77262632939364695</v>
      </c>
      <c r="G22" s="360">
        <v>0.67859272436646301</v>
      </c>
      <c r="H22" s="361">
        <v>582033</v>
      </c>
      <c r="I22" s="360">
        <v>0.58029271186907505</v>
      </c>
      <c r="J22" s="360">
        <v>0.63255495433028397</v>
      </c>
      <c r="K22" s="360">
        <v>0.76273869323594201</v>
      </c>
      <c r="L22" s="361">
        <v>761852</v>
      </c>
      <c r="M22" s="362">
        <v>0.52984798878690498</v>
      </c>
      <c r="N22" s="360">
        <v>0.63528536936598001</v>
      </c>
      <c r="O22" s="360">
        <v>0.52995989387657105</v>
      </c>
      <c r="P22" s="361">
        <v>582033</v>
      </c>
      <c r="Q22" s="362">
        <v>0.61757096575316905</v>
      </c>
      <c r="R22" s="360">
        <v>0.64099627574595697</v>
      </c>
      <c r="S22" s="360">
        <v>0.66097816658935105</v>
      </c>
      <c r="T22" s="361">
        <v>591615</v>
      </c>
      <c r="U22" s="362">
        <v>0.47088929402665403</v>
      </c>
      <c r="V22" s="360">
        <v>0.70397305862872905</v>
      </c>
      <c r="W22" s="360">
        <v>0.78646033725388098</v>
      </c>
      <c r="X22" s="361">
        <v>848769</v>
      </c>
      <c r="Y22" s="362">
        <v>0.49317224978681401</v>
      </c>
      <c r="Z22" s="360">
        <v>0.58404598378704298</v>
      </c>
      <c r="AA22" s="360">
        <v>0.49848310638597298</v>
      </c>
      <c r="AB22" s="90">
        <v>430660</v>
      </c>
      <c r="AC22" s="362">
        <v>0.50122048610766501</v>
      </c>
      <c r="AD22" s="360">
        <v>0.53729717820588496</v>
      </c>
      <c r="AE22" s="360">
        <v>0.39361909301061099</v>
      </c>
      <c r="AF22" s="361">
        <v>626632</v>
      </c>
      <c r="AG22" s="362">
        <v>0.81729297169515902</v>
      </c>
      <c r="AH22" s="360">
        <v>0.81859479098602905</v>
      </c>
      <c r="AI22" s="360">
        <v>0.85074217191685797</v>
      </c>
      <c r="AJ22" s="361">
        <v>927994</v>
      </c>
      <c r="AK22" s="362">
        <v>0.81711949773354497</v>
      </c>
      <c r="AL22" s="360">
        <v>0.81744896818577795</v>
      </c>
      <c r="AM22" s="360">
        <v>0.77013871293640002</v>
      </c>
      <c r="AN22" s="361">
        <v>467067</v>
      </c>
      <c r="AO22" s="362">
        <v>0.81087747162732904</v>
      </c>
      <c r="AP22" s="360">
        <v>0.81327198610194096</v>
      </c>
      <c r="AQ22" s="360">
        <v>0.66975074381608002</v>
      </c>
      <c r="AR22" s="361">
        <v>293683</v>
      </c>
      <c r="AS22" s="362">
        <v>0.831140865757098</v>
      </c>
      <c r="AT22" s="360">
        <v>0.33749618869478298</v>
      </c>
      <c r="AU22" s="361">
        <v>410268</v>
      </c>
      <c r="AV22" s="107">
        <v>0.50583537572112602</v>
      </c>
      <c r="AW22" s="107">
        <v>0.51206195379075903</v>
      </c>
      <c r="AX22" s="107">
        <v>0.79711893316611404</v>
      </c>
      <c r="AY22" s="106">
        <v>844443</v>
      </c>
      <c r="AZ22" s="362">
        <v>0.75046225865947003</v>
      </c>
      <c r="BA22" s="360">
        <v>0.77185908931283698</v>
      </c>
      <c r="BB22" s="360">
        <v>0.86098421525103397</v>
      </c>
      <c r="BC22" s="361">
        <v>1159912</v>
      </c>
      <c r="BD22" s="360">
        <v>0.81524298826312802</v>
      </c>
      <c r="BE22" s="360">
        <v>0.55482538001516801</v>
      </c>
      <c r="BF22" s="361">
        <v>996631</v>
      </c>
      <c r="BG22" s="9"/>
    </row>
    <row r="23" spans="1:59" s="82" customFormat="1" ht="12" customHeight="1">
      <c r="A23" s="418" t="s">
        <v>1314</v>
      </c>
      <c r="B23" s="360">
        <v>0.82160288976292195</v>
      </c>
      <c r="C23" s="360">
        <v>0.62307984857076903</v>
      </c>
      <c r="D23" s="361">
        <v>283301</v>
      </c>
      <c r="E23" s="362">
        <v>0.50515736466730798</v>
      </c>
      <c r="F23" s="360">
        <v>0.77683126342411501</v>
      </c>
      <c r="G23" s="360">
        <v>0.82076867766822703</v>
      </c>
      <c r="H23" s="361">
        <v>348731</v>
      </c>
      <c r="I23" s="360">
        <v>0.59142998363048405</v>
      </c>
      <c r="J23" s="360">
        <v>0.64619443559071399</v>
      </c>
      <c r="K23" s="360">
        <v>0.85117085698039896</v>
      </c>
      <c r="L23" s="361">
        <v>763186</v>
      </c>
      <c r="M23" s="362">
        <v>0.51869809145553303</v>
      </c>
      <c r="N23" s="360">
        <v>0.62600616036879597</v>
      </c>
      <c r="O23" s="360">
        <v>0.60033451105639102</v>
      </c>
      <c r="P23" s="361">
        <v>348731</v>
      </c>
      <c r="Q23" s="362">
        <v>0.61547316506552296</v>
      </c>
      <c r="R23" s="360">
        <v>0.63480820577295305</v>
      </c>
      <c r="S23" s="360">
        <v>0.66861279245121796</v>
      </c>
      <c r="T23" s="361">
        <v>396831</v>
      </c>
      <c r="U23" s="362">
        <v>0.50584335862329199</v>
      </c>
      <c r="V23" s="360">
        <v>0.67920521213523699</v>
      </c>
      <c r="W23" s="360">
        <v>0.69414231766164802</v>
      </c>
      <c r="X23" s="361">
        <v>316950</v>
      </c>
      <c r="Y23" s="362">
        <v>0.51249668284312599</v>
      </c>
      <c r="Z23" s="360">
        <v>0.57132454240669395</v>
      </c>
      <c r="AA23" s="360">
        <v>0.43811505158226099</v>
      </c>
      <c r="AB23" s="90">
        <v>145892</v>
      </c>
      <c r="AC23" s="362">
        <v>0.52224082814603201</v>
      </c>
      <c r="AD23" s="360">
        <v>0.535655055292244</v>
      </c>
      <c r="AE23" s="360">
        <v>0.61546488189825099</v>
      </c>
      <c r="AF23" s="361">
        <v>357673</v>
      </c>
      <c r="AG23" s="362">
        <v>0.82200319071445305</v>
      </c>
      <c r="AH23" s="360">
        <v>0.82195239457244096</v>
      </c>
      <c r="AI23" s="360">
        <v>0.92000248777331695</v>
      </c>
      <c r="AJ23" s="361">
        <v>1120430</v>
      </c>
      <c r="AK23" s="362">
        <v>0.81103473359438105</v>
      </c>
      <c r="AL23" s="360">
        <v>0.81129850818215798</v>
      </c>
      <c r="AM23" s="360">
        <v>0.82821106628260599</v>
      </c>
      <c r="AN23" s="361">
        <v>564849</v>
      </c>
      <c r="AO23" s="362">
        <v>0.81083642300765602</v>
      </c>
      <c r="AP23" s="360">
        <v>0.81368094565331806</v>
      </c>
      <c r="AQ23" s="360">
        <v>0.70014933851376704</v>
      </c>
      <c r="AR23" s="361">
        <v>474743</v>
      </c>
      <c r="AS23" s="362">
        <v>0.82887333321938295</v>
      </c>
      <c r="AT23" s="360">
        <v>0.57479768597176695</v>
      </c>
      <c r="AU23" s="361">
        <v>219559</v>
      </c>
      <c r="AV23" s="107">
        <v>0.53707359593196602</v>
      </c>
      <c r="AW23" s="107">
        <v>0.53634191698910805</v>
      </c>
      <c r="AX23" s="107">
        <v>0.72036681191040997</v>
      </c>
      <c r="AY23" s="106">
        <v>301448</v>
      </c>
      <c r="AZ23" s="362">
        <v>0.74453889742361301</v>
      </c>
      <c r="BA23" s="360">
        <v>0.76091230685838596</v>
      </c>
      <c r="BB23" s="360">
        <v>0.71720708023888702</v>
      </c>
      <c r="BC23" s="361">
        <v>431269</v>
      </c>
      <c r="BD23" s="360">
        <v>0.81375352840234105</v>
      </c>
      <c r="BE23" s="360">
        <v>0.88122878418133999</v>
      </c>
      <c r="BF23" s="361">
        <v>525000</v>
      </c>
      <c r="BG23" s="9"/>
    </row>
    <row r="24" spans="1:59" s="82" customFormat="1" ht="12" customHeight="1">
      <c r="A24" s="418" t="s">
        <v>1315</v>
      </c>
      <c r="B24" s="360">
        <v>0.85111112819753199</v>
      </c>
      <c r="C24" s="360">
        <v>0.70321811927676003</v>
      </c>
      <c r="D24" s="361">
        <v>477370</v>
      </c>
      <c r="E24" s="362">
        <v>0.50862835053555699</v>
      </c>
      <c r="F24" s="360">
        <v>0.79162362430875699</v>
      </c>
      <c r="G24" s="360">
        <v>0.85876072717240903</v>
      </c>
      <c r="H24" s="361">
        <v>580806</v>
      </c>
      <c r="I24" s="360">
        <v>0.58462989426554401</v>
      </c>
      <c r="J24" s="360">
        <v>0.64336833303256302</v>
      </c>
      <c r="K24" s="360">
        <v>0.82857813612409503</v>
      </c>
      <c r="L24" s="361">
        <v>763189</v>
      </c>
      <c r="M24" s="362">
        <v>0.497517517854277</v>
      </c>
      <c r="N24" s="360">
        <v>0.63881924904896403</v>
      </c>
      <c r="O24" s="360">
        <v>0.71375127636825897</v>
      </c>
      <c r="P24" s="361">
        <v>580806</v>
      </c>
      <c r="Q24" s="362">
        <v>0.61155558680931499</v>
      </c>
      <c r="R24" s="360">
        <v>0.63351282094903605</v>
      </c>
      <c r="S24" s="360">
        <v>0.76435522776378095</v>
      </c>
      <c r="T24" s="361">
        <v>731839</v>
      </c>
      <c r="U24" s="362">
        <v>0.57665408184540201</v>
      </c>
      <c r="V24" s="360">
        <v>0.68378566994819601</v>
      </c>
      <c r="W24" s="360">
        <v>0.81430776223762003</v>
      </c>
      <c r="X24" s="361">
        <v>815358</v>
      </c>
      <c r="Y24" s="362">
        <v>0.50262194072813204</v>
      </c>
      <c r="Z24" s="360">
        <v>0.58478042938660901</v>
      </c>
      <c r="AA24" s="360">
        <v>0.59483979599430703</v>
      </c>
      <c r="AB24" s="90">
        <v>391752</v>
      </c>
      <c r="AC24" s="362">
        <v>0.49786001109675099</v>
      </c>
      <c r="AD24" s="360">
        <v>0.53047136292615604</v>
      </c>
      <c r="AE24" s="360">
        <v>0.71423325319504805</v>
      </c>
      <c r="AF24" s="361">
        <v>625259</v>
      </c>
      <c r="AG24" s="362">
        <v>0.81751927857686202</v>
      </c>
      <c r="AH24" s="360">
        <v>0.81892516117133796</v>
      </c>
      <c r="AI24" s="360">
        <v>0.89932862563667704</v>
      </c>
      <c r="AJ24" s="361">
        <v>1120435</v>
      </c>
      <c r="AK24" s="362">
        <v>0.81629315248410805</v>
      </c>
      <c r="AL24" s="360">
        <v>0.81696130944980405</v>
      </c>
      <c r="AM24" s="360">
        <v>0.79055359835329297</v>
      </c>
      <c r="AN24" s="361">
        <v>564848</v>
      </c>
      <c r="AO24" s="362">
        <v>0.81568199969468203</v>
      </c>
      <c r="AP24" s="360">
        <v>0.81805262130618905</v>
      </c>
      <c r="AQ24" s="360">
        <v>0.62716684655537802</v>
      </c>
      <c r="AR24" s="361">
        <v>474751</v>
      </c>
      <c r="AS24" s="362">
        <v>0.83649551768286501</v>
      </c>
      <c r="AT24" s="360">
        <v>0.72951842899297703</v>
      </c>
      <c r="AU24" s="361">
        <v>406014</v>
      </c>
      <c r="AV24" s="107">
        <v>0.51856727950846404</v>
      </c>
      <c r="AW24" s="107">
        <v>0.50121906902133595</v>
      </c>
      <c r="AX24" s="107">
        <v>0.78545678716007505</v>
      </c>
      <c r="AY24" s="106">
        <v>795741</v>
      </c>
      <c r="AZ24" s="362">
        <v>0.76242294680423195</v>
      </c>
      <c r="BA24" s="360">
        <v>0.78901825681133797</v>
      </c>
      <c r="BB24" s="360">
        <v>0.91283493569821605</v>
      </c>
      <c r="BC24" s="361">
        <v>1075636</v>
      </c>
      <c r="BD24" s="360">
        <v>0.83095609348200505</v>
      </c>
      <c r="BE24" s="360">
        <v>0.88731988590169297</v>
      </c>
      <c r="BF24" s="361">
        <v>994134</v>
      </c>
      <c r="BG24" s="9"/>
    </row>
    <row r="25" spans="1:59" s="82" customFormat="1" ht="12" customHeight="1">
      <c r="A25" s="418" t="s">
        <v>1316</v>
      </c>
      <c r="B25" s="360">
        <v>0.82232958569955406</v>
      </c>
      <c r="C25" s="360">
        <v>0.71114482250231503</v>
      </c>
      <c r="D25" s="361">
        <v>477206</v>
      </c>
      <c r="E25" s="362">
        <v>0.50879342859429599</v>
      </c>
      <c r="F25" s="360">
        <v>0.788748563003139</v>
      </c>
      <c r="G25" s="360">
        <v>0.86123945254507595</v>
      </c>
      <c r="H25" s="361">
        <v>580544</v>
      </c>
      <c r="I25" s="360">
        <v>0.58297215289637405</v>
      </c>
      <c r="J25" s="360">
        <v>0.63998987054261203</v>
      </c>
      <c r="K25" s="360">
        <v>0.82157590493977295</v>
      </c>
      <c r="L25" s="361">
        <v>763189</v>
      </c>
      <c r="M25" s="362">
        <v>0.49308326332726998</v>
      </c>
      <c r="N25" s="360">
        <v>0.63255895856378297</v>
      </c>
      <c r="O25" s="360">
        <v>0.72900299306899796</v>
      </c>
      <c r="P25" s="361">
        <v>580544</v>
      </c>
      <c r="Q25" s="362">
        <v>0.60279918585119396</v>
      </c>
      <c r="R25" s="360">
        <v>0.64065332506985995</v>
      </c>
      <c r="S25" s="360">
        <v>0.77577108249081095</v>
      </c>
      <c r="T25" s="361">
        <v>731839</v>
      </c>
      <c r="U25" s="362">
        <v>0.64702706129831</v>
      </c>
      <c r="V25" s="360">
        <v>0.76560733456762398</v>
      </c>
      <c r="W25" s="360">
        <v>0.81050985430550104</v>
      </c>
      <c r="X25" s="361">
        <v>809484</v>
      </c>
      <c r="Y25" s="362">
        <v>0.53270119944013306</v>
      </c>
      <c r="Z25" s="360">
        <v>0.564506716834276</v>
      </c>
      <c r="AA25" s="360">
        <v>0.61310045974146299</v>
      </c>
      <c r="AB25" s="90">
        <v>384589</v>
      </c>
      <c r="AC25" s="362">
        <v>0.52063089797116302</v>
      </c>
      <c r="AD25" s="360">
        <v>0.51692058738766999</v>
      </c>
      <c r="AE25" s="360">
        <v>0.73560552651203703</v>
      </c>
      <c r="AF25" s="361">
        <v>625268</v>
      </c>
      <c r="AG25" s="362">
        <v>0.81444130956464</v>
      </c>
      <c r="AH25" s="360">
        <v>0.81452829077040301</v>
      </c>
      <c r="AI25" s="360">
        <v>0.89687980067047901</v>
      </c>
      <c r="AJ25" s="361">
        <v>1120435</v>
      </c>
      <c r="AK25" s="362">
        <v>0.81387138450548602</v>
      </c>
      <c r="AL25" s="360">
        <v>0.81414109599416296</v>
      </c>
      <c r="AM25" s="360">
        <v>0.78520934133532905</v>
      </c>
      <c r="AN25" s="361">
        <v>564848</v>
      </c>
      <c r="AO25" s="362">
        <v>0.81225441555395095</v>
      </c>
      <c r="AP25" s="360">
        <v>0.81361673224769704</v>
      </c>
      <c r="AQ25" s="360">
        <v>0.638038086094042</v>
      </c>
      <c r="AR25" s="361">
        <v>474751</v>
      </c>
      <c r="AS25" s="362">
        <v>0.79588202151687804</v>
      </c>
      <c r="AT25" s="360">
        <v>0.72228939196917896</v>
      </c>
      <c r="AU25" s="361">
        <v>405297</v>
      </c>
      <c r="AV25" s="107">
        <v>0.52740673355373602</v>
      </c>
      <c r="AW25" s="107">
        <v>0.54755113541872702</v>
      </c>
      <c r="AX25" s="107">
        <v>0.81840938028528798</v>
      </c>
      <c r="AY25" s="106">
        <v>787174</v>
      </c>
      <c r="AZ25" s="362">
        <v>0.75779949953312598</v>
      </c>
      <c r="BA25" s="360">
        <v>0.78410065585401401</v>
      </c>
      <c r="BB25" s="360">
        <v>0.91884261676344803</v>
      </c>
      <c r="BC25" s="361">
        <v>1066076</v>
      </c>
      <c r="BD25" s="360">
        <v>0.82878700086119705</v>
      </c>
      <c r="BE25" s="360">
        <v>0.89189068298006702</v>
      </c>
      <c r="BF25" s="361">
        <v>993621</v>
      </c>
      <c r="BG25" s="9"/>
    </row>
    <row r="26" spans="1:59" s="82" customFormat="1" ht="12" customHeight="1">
      <c r="A26" s="418" t="s">
        <v>1317</v>
      </c>
      <c r="B26" s="360">
        <v>0.85098174108847902</v>
      </c>
      <c r="C26" s="360">
        <v>0.73169711712009899</v>
      </c>
      <c r="D26" s="361">
        <v>477125</v>
      </c>
      <c r="E26" s="362">
        <v>0.510518332786838</v>
      </c>
      <c r="F26" s="360">
        <v>0.79204421124684898</v>
      </c>
      <c r="G26" s="360">
        <v>0.86589619975216003</v>
      </c>
      <c r="H26" s="361">
        <v>580274</v>
      </c>
      <c r="I26" s="360">
        <v>0.58282488877503302</v>
      </c>
      <c r="J26" s="360">
        <v>0.63978039921204999</v>
      </c>
      <c r="K26" s="360">
        <v>0.82489399289573895</v>
      </c>
      <c r="L26" s="361">
        <v>763190</v>
      </c>
      <c r="M26" s="362">
        <v>0.49315377493379797</v>
      </c>
      <c r="N26" s="360">
        <v>0.63153522054866795</v>
      </c>
      <c r="O26" s="360">
        <v>0.72970808744362803</v>
      </c>
      <c r="P26" s="361">
        <v>580274</v>
      </c>
      <c r="Q26" s="362">
        <v>0.60827515859567305</v>
      </c>
      <c r="R26" s="360">
        <v>0.63710076394677895</v>
      </c>
      <c r="S26" s="360">
        <v>0.76016630891135295</v>
      </c>
      <c r="T26" s="361">
        <v>731839</v>
      </c>
      <c r="U26" s="362">
        <v>0.60122876107491297</v>
      </c>
      <c r="V26" s="360">
        <v>0.75842575692801695</v>
      </c>
      <c r="W26" s="360">
        <v>0.83096946126843696</v>
      </c>
      <c r="X26" s="361">
        <v>808562</v>
      </c>
      <c r="Y26" s="362">
        <v>0.51493862245157096</v>
      </c>
      <c r="Z26" s="360">
        <v>0.57524374532131795</v>
      </c>
      <c r="AA26" s="360">
        <v>0.60522078108751798</v>
      </c>
      <c r="AB26" s="90">
        <v>383807</v>
      </c>
      <c r="AC26" s="362">
        <v>0.49954654363916201</v>
      </c>
      <c r="AD26" s="360">
        <v>0.53367935338786798</v>
      </c>
      <c r="AE26" s="360">
        <v>0.74621473789584103</v>
      </c>
      <c r="AF26" s="361">
        <v>624940</v>
      </c>
      <c r="AG26" s="362">
        <v>0.82102047378500498</v>
      </c>
      <c r="AH26" s="360">
        <v>0.82066840255370799</v>
      </c>
      <c r="AI26" s="360">
        <v>0.89584989291529504</v>
      </c>
      <c r="AJ26" s="361">
        <v>1120435</v>
      </c>
      <c r="AK26" s="362">
        <v>0.813790321755271</v>
      </c>
      <c r="AL26" s="360">
        <v>0.81450668109179702</v>
      </c>
      <c r="AM26" s="360">
        <v>0.79370475103599003</v>
      </c>
      <c r="AN26" s="361">
        <v>564848</v>
      </c>
      <c r="AO26" s="362">
        <v>0.809977656383019</v>
      </c>
      <c r="AP26" s="360">
        <v>0.81446472216986898</v>
      </c>
      <c r="AQ26" s="360">
        <v>0.61530963942342398</v>
      </c>
      <c r="AR26" s="361">
        <v>474751</v>
      </c>
      <c r="AS26" s="362">
        <v>0.82437472274414503</v>
      </c>
      <c r="AT26" s="360">
        <v>0.74415841847013098</v>
      </c>
      <c r="AU26" s="361">
        <v>405159</v>
      </c>
      <c r="AV26" s="107">
        <v>0.54228879594047097</v>
      </c>
      <c r="AW26" s="107">
        <v>0.53788142626048197</v>
      </c>
      <c r="AX26" s="107">
        <v>0.81023373184744396</v>
      </c>
      <c r="AY26" s="106">
        <v>786027</v>
      </c>
      <c r="AZ26" s="362">
        <v>0.758358676405812</v>
      </c>
      <c r="BA26" s="360">
        <v>0.78442382445716097</v>
      </c>
      <c r="BB26" s="360">
        <v>0.91687590838753996</v>
      </c>
      <c r="BC26" s="361">
        <v>1065801</v>
      </c>
      <c r="BD26" s="360">
        <v>0.83830500458776103</v>
      </c>
      <c r="BE26" s="360">
        <v>0.89554443073053203</v>
      </c>
      <c r="BF26" s="361">
        <v>993235</v>
      </c>
      <c r="BG26" s="9"/>
    </row>
    <row r="27" spans="1:59" s="82" customFormat="1" ht="12" customHeight="1">
      <c r="A27" s="418" t="s">
        <v>1318</v>
      </c>
      <c r="B27" s="360">
        <v>0.83293699332767701</v>
      </c>
      <c r="C27" s="360">
        <v>0.50764297360163402</v>
      </c>
      <c r="D27" s="361">
        <v>473494</v>
      </c>
      <c r="E27" s="362">
        <v>0.50637773541044495</v>
      </c>
      <c r="F27" s="360">
        <v>0.68637621039116603</v>
      </c>
      <c r="G27" s="360">
        <v>0.82416200203664602</v>
      </c>
      <c r="H27" s="361">
        <v>575581</v>
      </c>
      <c r="I27" s="360">
        <v>0.58367116018728205</v>
      </c>
      <c r="J27" s="360">
        <v>0.63521935070051705</v>
      </c>
      <c r="K27" s="360">
        <v>0.92356545406800705</v>
      </c>
      <c r="L27" s="361">
        <v>742745</v>
      </c>
      <c r="M27" s="362">
        <v>0.53487918652912503</v>
      </c>
      <c r="N27" s="360">
        <v>0.61022919102440598</v>
      </c>
      <c r="O27" s="360">
        <v>0.73907518986595799</v>
      </c>
      <c r="P27" s="361">
        <v>575581</v>
      </c>
      <c r="Q27" s="362">
        <v>0.62895965270537901</v>
      </c>
      <c r="R27" s="360">
        <v>0.64788154133340703</v>
      </c>
      <c r="S27" s="360">
        <v>0.40645458987017502</v>
      </c>
      <c r="T27" s="361">
        <v>722575</v>
      </c>
      <c r="U27" s="362">
        <v>0.55968455529250605</v>
      </c>
      <c r="V27" s="360">
        <v>0.60344323020384605</v>
      </c>
      <c r="W27" s="360">
        <v>0.88657137802492203</v>
      </c>
      <c r="X27" s="361">
        <v>804658</v>
      </c>
      <c r="Y27" s="362">
        <v>0.50486385861590899</v>
      </c>
      <c r="Z27" s="360">
        <v>0.58015923212128395</v>
      </c>
      <c r="AA27" s="360">
        <v>0.92708740703952897</v>
      </c>
      <c r="AB27" s="90">
        <v>383423</v>
      </c>
      <c r="AC27" s="362">
        <v>0.52932528046063998</v>
      </c>
      <c r="AD27" s="360">
        <v>0.48758593238397202</v>
      </c>
      <c r="AE27" s="360">
        <v>0.71954852909795797</v>
      </c>
      <c r="AF27" s="361">
        <v>620217</v>
      </c>
      <c r="AG27" s="362">
        <v>0.81473783214038598</v>
      </c>
      <c r="AH27" s="360">
        <v>0.81445958196085999</v>
      </c>
      <c r="AI27" s="360">
        <v>0.38270857701736499</v>
      </c>
      <c r="AJ27" s="361">
        <v>1106443</v>
      </c>
      <c r="AK27" s="362">
        <v>0.81709527932246795</v>
      </c>
      <c r="AL27" s="360">
        <v>0.81630798032842</v>
      </c>
      <c r="AM27" s="360">
        <v>0.85526792500851501</v>
      </c>
      <c r="AN27" s="361">
        <v>557884</v>
      </c>
      <c r="AO27" s="362">
        <v>0.81726391482582295</v>
      </c>
      <c r="AP27" s="360">
        <v>0.81856378383589601</v>
      </c>
      <c r="AQ27" s="360">
        <v>0.92769564165640295</v>
      </c>
      <c r="AR27" s="361">
        <v>431049</v>
      </c>
      <c r="AS27" s="362">
        <v>0.81230745362567602</v>
      </c>
      <c r="AT27" s="360">
        <v>0.689257701077433</v>
      </c>
      <c r="AU27" s="361">
        <v>404800</v>
      </c>
      <c r="AV27" s="107">
        <v>0.52950940190935303</v>
      </c>
      <c r="AW27" s="107">
        <v>0.49876219119030202</v>
      </c>
      <c r="AX27" s="107">
        <v>0.96553781325819599</v>
      </c>
      <c r="AY27" s="106">
        <v>783767</v>
      </c>
      <c r="AZ27" s="362">
        <v>0.751454582677761</v>
      </c>
      <c r="BA27" s="360">
        <v>0.77147544906503296</v>
      </c>
      <c r="BB27" s="360">
        <v>0.81029530865013599</v>
      </c>
      <c r="BC27" s="361">
        <v>1073354</v>
      </c>
      <c r="BD27" s="360">
        <v>0.81585291644691504</v>
      </c>
      <c r="BE27" s="360">
        <v>0.35480392360760499</v>
      </c>
      <c r="BF27" s="361">
        <v>985679</v>
      </c>
      <c r="BG27" s="9"/>
    </row>
    <row r="28" spans="1:59" s="82" customFormat="1" ht="12" customHeight="1">
      <c r="A28" s="418" t="s">
        <v>1319</v>
      </c>
      <c r="B28" s="360">
        <v>0.82477324632262095</v>
      </c>
      <c r="C28" s="360">
        <v>5.7090632280606499E-2</v>
      </c>
      <c r="D28" s="361">
        <v>473429</v>
      </c>
      <c r="E28" s="362">
        <v>0.51534437066324901</v>
      </c>
      <c r="F28" s="360">
        <v>0.78599390410118697</v>
      </c>
      <c r="G28" s="360">
        <v>7.4762245958026094E-2</v>
      </c>
      <c r="H28" s="361">
        <v>571949</v>
      </c>
      <c r="I28" s="360">
        <v>0.57557348130361996</v>
      </c>
      <c r="J28" s="360">
        <v>0.61350557351177504</v>
      </c>
      <c r="K28" s="360">
        <v>0.69006703712428996</v>
      </c>
      <c r="L28" s="361">
        <v>741580</v>
      </c>
      <c r="M28" s="362">
        <v>0.52678953790820204</v>
      </c>
      <c r="N28" s="360">
        <v>0.63682455753299205</v>
      </c>
      <c r="O28" s="360">
        <v>-2.9548132784723E-2</v>
      </c>
      <c r="P28" s="361">
        <v>571949</v>
      </c>
      <c r="Q28" s="362">
        <v>0.60743526521241298</v>
      </c>
      <c r="R28" s="360">
        <v>0.61728636905768197</v>
      </c>
      <c r="S28" s="360">
        <v>0.200614350170226</v>
      </c>
      <c r="T28" s="361">
        <v>716274</v>
      </c>
      <c r="U28" s="362">
        <v>0.483163076732816</v>
      </c>
      <c r="V28" s="360">
        <v>0.62210685643240504</v>
      </c>
      <c r="W28" s="360">
        <v>0.41048136201735902</v>
      </c>
      <c r="X28" s="361">
        <v>797918</v>
      </c>
      <c r="Y28" s="362">
        <v>0.51447087860572904</v>
      </c>
      <c r="Z28" s="360">
        <v>0.56131964850998495</v>
      </c>
      <c r="AA28" s="360">
        <v>-0.12640640979353801</v>
      </c>
      <c r="AB28" s="90">
        <v>375585</v>
      </c>
      <c r="AC28" s="362">
        <v>0.51740357248929303</v>
      </c>
      <c r="AD28" s="360">
        <v>0.51562478498905895</v>
      </c>
      <c r="AE28" s="360">
        <v>0.18729130218501899</v>
      </c>
      <c r="AF28" s="361">
        <v>616175</v>
      </c>
      <c r="AG28" s="362">
        <v>0.81104430271162098</v>
      </c>
      <c r="AH28" s="360">
        <v>0.81118132018771505</v>
      </c>
      <c r="AI28" s="360">
        <v>0.317272890414386</v>
      </c>
      <c r="AJ28" s="361">
        <v>1095503</v>
      </c>
      <c r="AK28" s="362">
        <v>0.81886268896606895</v>
      </c>
      <c r="AL28" s="360">
        <v>0.81870368020354001</v>
      </c>
      <c r="AM28" s="360">
        <v>0.190945591169629</v>
      </c>
      <c r="AN28" s="361">
        <v>552082</v>
      </c>
      <c r="AO28" s="362">
        <v>0.80942056841210697</v>
      </c>
      <c r="AP28" s="360">
        <v>0.81277672076721297</v>
      </c>
      <c r="AQ28" s="360">
        <v>3.7251523321110799E-2</v>
      </c>
      <c r="AR28" s="361">
        <v>429868</v>
      </c>
      <c r="AS28" s="362">
        <v>0.82297975584766203</v>
      </c>
      <c r="AT28" s="360">
        <v>0.121501698887568</v>
      </c>
      <c r="AU28" s="361">
        <v>400027</v>
      </c>
      <c r="AV28" s="107">
        <v>0.47582120292185798</v>
      </c>
      <c r="AW28" s="107">
        <v>0.50942367361224805</v>
      </c>
      <c r="AX28" s="107">
        <v>0.33212385171247999</v>
      </c>
      <c r="AY28" s="106">
        <v>774531</v>
      </c>
      <c r="AZ28" s="362">
        <v>0.76533316421140396</v>
      </c>
      <c r="BA28" s="360">
        <v>0.79322240381597797</v>
      </c>
      <c r="BB28" s="360">
        <v>0.87627962386840397</v>
      </c>
      <c r="BC28" s="361">
        <v>1046244</v>
      </c>
      <c r="BD28" s="360">
        <v>0.82512359041678396</v>
      </c>
      <c r="BE28" s="360">
        <v>0.20134754075214301</v>
      </c>
      <c r="BF28" s="361">
        <v>976150</v>
      </c>
      <c r="BG28" s="9"/>
    </row>
    <row r="29" spans="1:59" s="82" customFormat="1" ht="12" customHeight="1">
      <c r="A29" s="418" t="s">
        <v>1320</v>
      </c>
      <c r="B29" s="360">
        <v>0.82303704870163696</v>
      </c>
      <c r="C29" s="360">
        <v>0.82183073132669804</v>
      </c>
      <c r="D29" s="361">
        <v>460878</v>
      </c>
      <c r="E29" s="362">
        <v>0.51261279088005596</v>
      </c>
      <c r="F29" s="360">
        <v>0.80157529404417405</v>
      </c>
      <c r="G29" s="360">
        <v>0.91220570458786798</v>
      </c>
      <c r="H29" s="361">
        <v>534327</v>
      </c>
      <c r="I29" s="360">
        <v>0.59277545307469304</v>
      </c>
      <c r="J29" s="360">
        <v>0.65097516987222104</v>
      </c>
      <c r="K29" s="360">
        <v>0.88268888375579102</v>
      </c>
      <c r="L29" s="361">
        <v>744179</v>
      </c>
      <c r="M29" s="362">
        <v>0.54134759582727798</v>
      </c>
      <c r="N29" s="360">
        <v>0.65963509454731495</v>
      </c>
      <c r="O29" s="360">
        <v>0.87796396484411299</v>
      </c>
      <c r="P29" s="361">
        <v>534327</v>
      </c>
      <c r="Q29" s="362">
        <v>0.60891169035466697</v>
      </c>
      <c r="R29" s="360">
        <v>0.63484147495221999</v>
      </c>
      <c r="S29" s="360">
        <v>0.87638234078482802</v>
      </c>
      <c r="T29" s="361">
        <v>660848</v>
      </c>
      <c r="U29" s="362">
        <v>0.45211815841694097</v>
      </c>
      <c r="V29" s="360">
        <v>0.62115672476045003</v>
      </c>
      <c r="W29" s="360">
        <v>0.86155753671743596</v>
      </c>
      <c r="X29" s="361">
        <v>674622</v>
      </c>
      <c r="Y29" s="362">
        <v>0.535752772142709</v>
      </c>
      <c r="Z29" s="360">
        <v>0.58822449952121303</v>
      </c>
      <c r="AA29" s="360">
        <v>0.735352540049385</v>
      </c>
      <c r="AB29" s="90">
        <v>270423</v>
      </c>
      <c r="AC29" s="362">
        <v>0.53193115601795804</v>
      </c>
      <c r="AD29" s="360">
        <v>0.52619723535678098</v>
      </c>
      <c r="AE29" s="360">
        <v>0.82998337071801398</v>
      </c>
      <c r="AF29" s="361">
        <v>624384</v>
      </c>
      <c r="AG29" s="362">
        <v>0.81907129849431703</v>
      </c>
      <c r="AH29" s="360">
        <v>0.82011659890995603</v>
      </c>
      <c r="AI29" s="360">
        <v>0.965421415397548</v>
      </c>
      <c r="AJ29" s="361">
        <v>1035040</v>
      </c>
      <c r="AK29" s="362">
        <v>0.81976290782408401</v>
      </c>
      <c r="AL29" s="360">
        <v>0.82024909008698099</v>
      </c>
      <c r="AM29" s="360">
        <v>0.87724010007354702</v>
      </c>
      <c r="AN29" s="361">
        <v>527424</v>
      </c>
      <c r="AO29" s="362">
        <v>0.817762044600996</v>
      </c>
      <c r="AP29" s="360">
        <v>0.82037954868479401</v>
      </c>
      <c r="AQ29" s="360">
        <v>0.73902511562830098</v>
      </c>
      <c r="AR29" s="361">
        <v>323714</v>
      </c>
      <c r="AS29" s="362">
        <v>0.81901384618844897</v>
      </c>
      <c r="AT29" s="360">
        <v>0.84777325567927297</v>
      </c>
      <c r="AU29" s="361">
        <v>381886</v>
      </c>
      <c r="AV29" s="107">
        <v>0.53261298289594505</v>
      </c>
      <c r="AW29" s="107">
        <v>0.533724066889392</v>
      </c>
      <c r="AX29" s="107">
        <v>0.87940546688673904</v>
      </c>
      <c r="AY29" s="106">
        <v>627904</v>
      </c>
      <c r="AZ29" s="362">
        <v>0.76099304592547201</v>
      </c>
      <c r="BA29" s="360">
        <v>0.793364324638272</v>
      </c>
      <c r="BB29" s="360">
        <v>0.95564642321989302</v>
      </c>
      <c r="BC29" s="361">
        <v>898839</v>
      </c>
      <c r="BD29" s="360">
        <v>0.81589586676737103</v>
      </c>
      <c r="BE29" s="360">
        <v>0.95411563807995803</v>
      </c>
      <c r="BF29" s="361">
        <v>929027</v>
      </c>
      <c r="BG29" s="9"/>
    </row>
    <row r="30" spans="1:59" s="82" customFormat="1" ht="12" customHeight="1">
      <c r="A30" s="418" t="s">
        <v>332</v>
      </c>
      <c r="B30" s="360">
        <v>0.83331425152892002</v>
      </c>
      <c r="C30" s="360">
        <v>0.79450340302684497</v>
      </c>
      <c r="D30" s="361">
        <v>376554</v>
      </c>
      <c r="E30" s="362">
        <v>0.52647778524347399</v>
      </c>
      <c r="F30" s="360">
        <v>0.804022307680065</v>
      </c>
      <c r="G30" s="360">
        <v>0.91059812584567901</v>
      </c>
      <c r="H30" s="361">
        <v>461250</v>
      </c>
      <c r="I30" s="360">
        <v>0.59306283273466798</v>
      </c>
      <c r="J30" s="360">
        <v>0.64859928422845803</v>
      </c>
      <c r="K30" s="360">
        <v>0.87208147389933999</v>
      </c>
      <c r="L30" s="361">
        <v>763193</v>
      </c>
      <c r="M30" s="362">
        <v>0.51478962815080798</v>
      </c>
      <c r="N30" s="360">
        <v>0.67370781036257199</v>
      </c>
      <c r="O30" s="360">
        <v>0.84044147094608301</v>
      </c>
      <c r="P30" s="361">
        <v>461250</v>
      </c>
      <c r="Q30" s="362">
        <v>0.60912902874630703</v>
      </c>
      <c r="R30" s="360">
        <v>0.63761679436991603</v>
      </c>
      <c r="S30" s="360">
        <v>0.84558182424362505</v>
      </c>
      <c r="T30" s="361">
        <v>731838</v>
      </c>
      <c r="U30" s="362">
        <v>0.55647170412420199</v>
      </c>
      <c r="V30" s="360">
        <v>0.67035951224664703</v>
      </c>
      <c r="W30" s="360">
        <v>0.84949001749234998</v>
      </c>
      <c r="X30" s="361">
        <v>603576</v>
      </c>
      <c r="Y30" s="362">
        <v>0.50679378017980403</v>
      </c>
      <c r="Z30" s="360">
        <v>0.58035378980222996</v>
      </c>
      <c r="AA30" s="360">
        <v>0.69267663192447604</v>
      </c>
      <c r="AB30" s="90">
        <v>257017</v>
      </c>
      <c r="AC30" s="362">
        <v>0.51426176713553795</v>
      </c>
      <c r="AD30" s="360">
        <v>0.51526025874790504</v>
      </c>
      <c r="AE30" s="360">
        <v>0.79314611179936101</v>
      </c>
      <c r="AF30" s="361">
        <v>492783</v>
      </c>
      <c r="AG30" s="362">
        <v>0.81901865203156099</v>
      </c>
      <c r="AH30" s="360">
        <v>0.81826841751339197</v>
      </c>
      <c r="AI30" s="360">
        <v>0.94741266073579</v>
      </c>
      <c r="AJ30" s="361">
        <v>862683</v>
      </c>
      <c r="AK30" s="362">
        <v>0.81932375435980997</v>
      </c>
      <c r="AL30" s="360">
        <v>0.81935236004989698</v>
      </c>
      <c r="AM30" s="360">
        <v>0.84613612272065097</v>
      </c>
      <c r="AN30" s="361">
        <v>434710</v>
      </c>
      <c r="AO30" s="362">
        <v>0.81675412053579699</v>
      </c>
      <c r="AP30" s="360">
        <v>0.81455082255929401</v>
      </c>
      <c r="AQ30" s="360">
        <v>0.71075871209506103</v>
      </c>
      <c r="AR30" s="361">
        <v>302638</v>
      </c>
      <c r="AS30" s="362">
        <v>0.81620227966020498</v>
      </c>
      <c r="AT30" s="360">
        <v>0.83937197481124504</v>
      </c>
      <c r="AU30" s="361">
        <v>315703</v>
      </c>
      <c r="AV30" s="107">
        <v>0.518227647909693</v>
      </c>
      <c r="AW30" s="107">
        <v>0.550152812275575</v>
      </c>
      <c r="AX30" s="107">
        <v>0.87651498900268798</v>
      </c>
      <c r="AY30" s="106">
        <v>565779</v>
      </c>
      <c r="AZ30" s="362">
        <v>0.76751532714112003</v>
      </c>
      <c r="BA30" s="360">
        <v>0.79134023926110098</v>
      </c>
      <c r="BB30" s="360">
        <v>0.94080417113533399</v>
      </c>
      <c r="BC30" s="361">
        <v>768928</v>
      </c>
      <c r="BD30" s="360">
        <v>0.83039082596492897</v>
      </c>
      <c r="BE30" s="360">
        <v>0.93895776372226503</v>
      </c>
      <c r="BF30" s="361">
        <v>772770</v>
      </c>
      <c r="BG30" s="9"/>
    </row>
    <row r="31" spans="1:59" s="82" customFormat="1" ht="12" customHeight="1">
      <c r="A31" s="418" t="s">
        <v>1321</v>
      </c>
      <c r="B31" s="360">
        <v>0.83641138474062404</v>
      </c>
      <c r="C31" s="360">
        <v>0.79976975376044901</v>
      </c>
      <c r="D31" s="361">
        <v>476728</v>
      </c>
      <c r="E31" s="362">
        <v>0.55405190066352095</v>
      </c>
      <c r="F31" s="360">
        <v>0.83418656014714099</v>
      </c>
      <c r="G31" s="360">
        <v>0.90288456205968504</v>
      </c>
      <c r="H31" s="361">
        <v>580251</v>
      </c>
      <c r="I31" s="360">
        <v>0.60056768705603603</v>
      </c>
      <c r="J31" s="360">
        <v>0.658928604910622</v>
      </c>
      <c r="K31" s="360">
        <v>0.86495450022574205</v>
      </c>
      <c r="L31" s="361">
        <v>756976</v>
      </c>
      <c r="M31" s="362">
        <v>0.49909864113321101</v>
      </c>
      <c r="N31" s="360">
        <v>0.64484454373727196</v>
      </c>
      <c r="O31" s="360">
        <v>0.81495039037170403</v>
      </c>
      <c r="P31" s="361">
        <v>580251</v>
      </c>
      <c r="Q31" s="362">
        <v>0.62923883155025095</v>
      </c>
      <c r="R31" s="360">
        <v>0.65048690219749505</v>
      </c>
      <c r="S31" s="360">
        <v>0.83353426852169299</v>
      </c>
      <c r="T31" s="361">
        <v>728588</v>
      </c>
      <c r="U31" s="362">
        <v>0.55949636777057399</v>
      </c>
      <c r="V31" s="360">
        <v>0.66831627793280701</v>
      </c>
      <c r="W31" s="360">
        <v>0.83628646043227906</v>
      </c>
      <c r="X31" s="361">
        <v>839927</v>
      </c>
      <c r="Y31" s="362">
        <v>0.53048073541706098</v>
      </c>
      <c r="Z31" s="360">
        <v>0.60461509731962104</v>
      </c>
      <c r="AA31" s="360">
        <v>0.72388599300095502</v>
      </c>
      <c r="AB31" s="90">
        <v>422428</v>
      </c>
      <c r="AC31" s="362">
        <v>0.55447952696042402</v>
      </c>
      <c r="AD31" s="360">
        <v>0.52542544961681803</v>
      </c>
      <c r="AE31" s="360">
        <v>0.80169891718502995</v>
      </c>
      <c r="AF31" s="361">
        <v>626801</v>
      </c>
      <c r="AG31" s="362">
        <v>0.82948358057682703</v>
      </c>
      <c r="AH31" s="360">
        <v>0.83031900086069299</v>
      </c>
      <c r="AI31" s="360">
        <v>0.92861825678844001</v>
      </c>
      <c r="AJ31" s="361">
        <v>1116156</v>
      </c>
      <c r="AK31" s="362">
        <v>0.81646368057107299</v>
      </c>
      <c r="AL31" s="360">
        <v>0.81548952802794605</v>
      </c>
      <c r="AM31" s="360">
        <v>0.84713452996777405</v>
      </c>
      <c r="AN31" s="361">
        <v>562041</v>
      </c>
      <c r="AO31" s="362">
        <v>0.82030727206660503</v>
      </c>
      <c r="AP31" s="360">
        <v>0.82165226757010601</v>
      </c>
      <c r="AQ31" s="360">
        <v>0.71414533009590198</v>
      </c>
      <c r="AR31" s="361">
        <v>463882</v>
      </c>
      <c r="AS31" s="362">
        <v>0.82267890410622702</v>
      </c>
      <c r="AT31" s="360">
        <v>0.76015719316628505</v>
      </c>
      <c r="AU31" s="361">
        <v>408296</v>
      </c>
      <c r="AV31" s="107">
        <v>0.53819236758136102</v>
      </c>
      <c r="AW31" s="107">
        <v>0.56953860313476501</v>
      </c>
      <c r="AX31" s="107">
        <v>0.86057713433541105</v>
      </c>
      <c r="AY31" s="106">
        <v>832866</v>
      </c>
      <c r="AZ31" s="362">
        <v>0.77549487009746798</v>
      </c>
      <c r="BA31" s="360">
        <v>0.80041721697181101</v>
      </c>
      <c r="BB31" s="360">
        <v>0.93768808918852797</v>
      </c>
      <c r="BC31" s="361">
        <v>1144844</v>
      </c>
      <c r="BD31" s="360">
        <v>0.81830455652329703</v>
      </c>
      <c r="BE31" s="360">
        <v>0.91193086586807603</v>
      </c>
      <c r="BF31" s="361">
        <v>993581</v>
      </c>
      <c r="BG31" s="9"/>
    </row>
    <row r="32" spans="1:59" s="82" customFormat="1" ht="12" customHeight="1">
      <c r="A32" s="418" t="s">
        <v>1322</v>
      </c>
      <c r="B32" s="360">
        <v>0.78240845943897497</v>
      </c>
      <c r="C32" s="360">
        <v>0.40239230127188003</v>
      </c>
      <c r="D32" s="361">
        <v>470252</v>
      </c>
      <c r="E32" s="362">
        <v>0.52144181346446195</v>
      </c>
      <c r="F32" s="360">
        <v>0.80780375230426704</v>
      </c>
      <c r="G32" s="360">
        <v>0.84804610883280096</v>
      </c>
      <c r="H32" s="361">
        <v>567004</v>
      </c>
      <c r="I32" s="360">
        <v>0.580771431956558</v>
      </c>
      <c r="J32" s="360">
        <v>0.64755684085876397</v>
      </c>
      <c r="K32" s="360">
        <v>0.81633972094829799</v>
      </c>
      <c r="L32" s="361">
        <v>758705</v>
      </c>
      <c r="M32" s="362">
        <v>0.56136427884638995</v>
      </c>
      <c r="N32" s="360">
        <v>0.68703917234840495</v>
      </c>
      <c r="O32" s="360">
        <v>0.250428171004139</v>
      </c>
      <c r="P32" s="361">
        <v>567004</v>
      </c>
      <c r="Q32" s="362">
        <v>0.60763198826039999</v>
      </c>
      <c r="R32" s="360">
        <v>0.62828776218421201</v>
      </c>
      <c r="S32" s="360">
        <v>0.28146851331548101</v>
      </c>
      <c r="T32" s="361">
        <v>709767</v>
      </c>
      <c r="U32" s="362">
        <v>0.50063759702993804</v>
      </c>
      <c r="V32" s="360">
        <v>0.45475766803834</v>
      </c>
      <c r="W32" s="360">
        <v>0.67796449439707496</v>
      </c>
      <c r="X32" s="361">
        <v>804577</v>
      </c>
      <c r="Y32" s="362">
        <v>0.51803965264363705</v>
      </c>
      <c r="Z32" s="360">
        <v>0.55246876717127003</v>
      </c>
      <c r="AA32" s="360">
        <v>0.385445148491319</v>
      </c>
      <c r="AB32" s="90">
        <v>394333</v>
      </c>
      <c r="AC32" s="362">
        <v>0.50959040926755494</v>
      </c>
      <c r="AD32" s="360">
        <v>0.50397627633026998</v>
      </c>
      <c r="AE32" s="360">
        <v>0.73565243721818396</v>
      </c>
      <c r="AF32" s="361">
        <v>625699</v>
      </c>
      <c r="AG32" s="362">
        <v>0.78846901329199603</v>
      </c>
      <c r="AH32" s="360">
        <v>0.78872803212161202</v>
      </c>
      <c r="AI32" s="360">
        <v>0.69022105677072798</v>
      </c>
      <c r="AJ32" s="361">
        <v>1092012</v>
      </c>
      <c r="AK32" s="362">
        <v>0.78588441770426598</v>
      </c>
      <c r="AL32" s="360">
        <v>0.78561568183832997</v>
      </c>
      <c r="AM32" s="360">
        <v>0.62194777420698699</v>
      </c>
      <c r="AN32" s="361">
        <v>551539</v>
      </c>
      <c r="AO32" s="362">
        <v>0.77426158428922998</v>
      </c>
      <c r="AP32" s="360">
        <v>0.77317132034240799</v>
      </c>
      <c r="AQ32" s="360">
        <v>0.54995163941352798</v>
      </c>
      <c r="AR32" s="361">
        <v>438580</v>
      </c>
      <c r="AS32" s="362">
        <v>0.79251766269799395</v>
      </c>
      <c r="AT32" s="360">
        <v>0.45676642334379802</v>
      </c>
      <c r="AU32" s="361">
        <v>400714</v>
      </c>
      <c r="AV32" s="107">
        <v>0.53393679533303795</v>
      </c>
      <c r="AW32" s="107">
        <v>0.50252326984992701</v>
      </c>
      <c r="AX32" s="107">
        <v>0.70269427440689802</v>
      </c>
      <c r="AY32" s="106">
        <v>790924</v>
      </c>
      <c r="AZ32" s="362">
        <v>0.73564300125612303</v>
      </c>
      <c r="BA32" s="360">
        <v>0.74965579327104104</v>
      </c>
      <c r="BB32" s="360">
        <v>0.77399113439485701</v>
      </c>
      <c r="BC32" s="361">
        <v>1108071</v>
      </c>
      <c r="BD32" s="360">
        <v>0.81931121908029403</v>
      </c>
      <c r="BE32" s="360">
        <v>0.89054362017270505</v>
      </c>
      <c r="BF32" s="361">
        <v>971350</v>
      </c>
      <c r="BG32" s="9"/>
    </row>
    <row r="33" spans="1:59" s="82" customFormat="1" ht="12" customHeight="1">
      <c r="A33" s="418" t="s">
        <v>1323</v>
      </c>
      <c r="B33" s="360">
        <v>0.83359191275193101</v>
      </c>
      <c r="C33" s="360">
        <v>0.80601831952701697</v>
      </c>
      <c r="D33" s="361">
        <v>475524</v>
      </c>
      <c r="E33" s="362">
        <v>0.51937760414304501</v>
      </c>
      <c r="F33" s="360">
        <v>0.80473709164487806</v>
      </c>
      <c r="G33" s="360">
        <v>0.91069677086807099</v>
      </c>
      <c r="H33" s="361">
        <v>577834</v>
      </c>
      <c r="I33" s="360">
        <v>0.59319359570135499</v>
      </c>
      <c r="J33" s="360">
        <v>0.65019377766637199</v>
      </c>
      <c r="K33" s="360">
        <v>0.88224289365418895</v>
      </c>
      <c r="L33" s="361">
        <v>741526</v>
      </c>
      <c r="M33" s="362">
        <v>0.53084756430489999</v>
      </c>
      <c r="N33" s="360">
        <v>0.64286771408686805</v>
      </c>
      <c r="O33" s="360">
        <v>0.81461983878067001</v>
      </c>
      <c r="P33" s="361">
        <v>577834</v>
      </c>
      <c r="Q33" s="362">
        <v>0.61333562957461196</v>
      </c>
      <c r="R33" s="360">
        <v>0.64412292603785004</v>
      </c>
      <c r="S33" s="360">
        <v>0.85343814765832904</v>
      </c>
      <c r="T33" s="361">
        <v>443556</v>
      </c>
      <c r="U33" s="362">
        <v>0.52746991479748095</v>
      </c>
      <c r="V33" s="360">
        <v>0.66474402790416998</v>
      </c>
      <c r="W33" s="360">
        <v>0.86546096914205894</v>
      </c>
      <c r="X33" s="361">
        <v>801251</v>
      </c>
      <c r="Y33" s="362">
        <v>0.51975843263134502</v>
      </c>
      <c r="Z33" s="360">
        <v>0.57157574446645698</v>
      </c>
      <c r="AA33" s="360">
        <v>0.74233011081506395</v>
      </c>
      <c r="AB33" s="90">
        <v>376758</v>
      </c>
      <c r="AC33" s="362">
        <v>0.51141576054724203</v>
      </c>
      <c r="AD33" s="360">
        <v>0.522821946150969</v>
      </c>
      <c r="AE33" s="360">
        <v>0.821804700710137</v>
      </c>
      <c r="AF33" s="361">
        <v>623224</v>
      </c>
      <c r="AG33" s="362">
        <v>0.81920396503024195</v>
      </c>
      <c r="AH33" s="360">
        <v>0.81966151931887998</v>
      </c>
      <c r="AI33" s="360">
        <v>0.939699332468514</v>
      </c>
      <c r="AJ33" s="361">
        <v>652459</v>
      </c>
      <c r="AK33" s="362">
        <v>0.81863787041175395</v>
      </c>
      <c r="AL33" s="360">
        <v>0.81834372926982402</v>
      </c>
      <c r="AM33" s="360">
        <v>0.864708419901701</v>
      </c>
      <c r="AN33" s="361">
        <v>362016</v>
      </c>
      <c r="AO33" s="362">
        <v>0.80616063115933501</v>
      </c>
      <c r="AP33" s="360">
        <v>0.80938861891428104</v>
      </c>
      <c r="AQ33" s="360">
        <v>0.72858568916939603</v>
      </c>
      <c r="AR33" s="361">
        <v>255742</v>
      </c>
      <c r="AS33" s="362">
        <v>0.813079002938217</v>
      </c>
      <c r="AT33" s="360">
        <v>0.829194803691228</v>
      </c>
      <c r="AU33" s="361">
        <v>403929</v>
      </c>
      <c r="AV33" s="107">
        <v>0.52676858682395999</v>
      </c>
      <c r="AW33" s="107">
        <v>0.52573206353318702</v>
      </c>
      <c r="AX33" s="107">
        <v>0.860694207469061</v>
      </c>
      <c r="AY33" s="106">
        <v>777458</v>
      </c>
      <c r="AZ33" s="362">
        <v>0.76753588028252795</v>
      </c>
      <c r="BA33" s="360">
        <v>0.79274991813658402</v>
      </c>
      <c r="BB33" s="360">
        <v>0.51645893403773802</v>
      </c>
      <c r="BC33" s="361">
        <v>1066697</v>
      </c>
      <c r="BD33" s="360">
        <v>0.82573545885825195</v>
      </c>
      <c r="BE33" s="360">
        <v>0.92458629357468303</v>
      </c>
      <c r="BF33" s="361">
        <v>988724</v>
      </c>
      <c r="BG33" s="9"/>
    </row>
    <row r="34" spans="1:59" s="82" customFormat="1" ht="12" customHeight="1">
      <c r="A34" s="418" t="s">
        <v>1324</v>
      </c>
      <c r="B34" s="360">
        <v>0.85025466888136103</v>
      </c>
      <c r="C34" s="360">
        <v>0.72942160474029305</v>
      </c>
      <c r="D34" s="361">
        <v>472539</v>
      </c>
      <c r="E34" s="362">
        <v>0.54213977760184395</v>
      </c>
      <c r="F34" s="360">
        <v>0.81817348840275295</v>
      </c>
      <c r="G34" s="360">
        <v>0.741529923008868</v>
      </c>
      <c r="H34" s="361">
        <v>571529</v>
      </c>
      <c r="I34" s="360">
        <v>0.58598335508417598</v>
      </c>
      <c r="J34" s="360">
        <v>0.64057974054807898</v>
      </c>
      <c r="K34" s="360">
        <v>0.82554006091424403</v>
      </c>
      <c r="L34" s="361">
        <v>746577</v>
      </c>
      <c r="M34" s="362">
        <v>0.54169736356156795</v>
      </c>
      <c r="N34" s="360">
        <v>0.64716088957911799</v>
      </c>
      <c r="O34" s="360">
        <v>0.768333402927732</v>
      </c>
      <c r="P34" s="361">
        <v>571529</v>
      </c>
      <c r="Q34" s="362">
        <v>0.60602211753864998</v>
      </c>
      <c r="R34" s="360">
        <v>0.63844973802831695</v>
      </c>
      <c r="S34" s="360">
        <v>0.77421491607693504</v>
      </c>
      <c r="T34" s="361">
        <v>715970</v>
      </c>
      <c r="U34" s="362">
        <v>0.54163208471103097</v>
      </c>
      <c r="V34" s="360">
        <v>0.63900308215823798</v>
      </c>
      <c r="W34" s="360">
        <v>0.77516205727287502</v>
      </c>
      <c r="X34" s="361">
        <v>815633</v>
      </c>
      <c r="Y34" s="362">
        <v>0.53985173998964398</v>
      </c>
      <c r="Z34" s="360">
        <v>0.58951295940467696</v>
      </c>
      <c r="AA34" s="360">
        <v>0.65717704637857899</v>
      </c>
      <c r="AB34" s="90">
        <v>403229</v>
      </c>
      <c r="AC34" s="362">
        <v>0.52791324799433204</v>
      </c>
      <c r="AD34" s="360">
        <v>0.53208952842837698</v>
      </c>
      <c r="AE34" s="360">
        <v>0.76727229398222696</v>
      </c>
      <c r="AF34" s="361">
        <v>625845</v>
      </c>
      <c r="AG34" s="362">
        <v>0.81729595821671597</v>
      </c>
      <c r="AH34" s="360">
        <v>0.817485482136177</v>
      </c>
      <c r="AI34" s="360">
        <v>0.88521993816788003</v>
      </c>
      <c r="AJ34" s="361">
        <v>1099714</v>
      </c>
      <c r="AK34" s="362">
        <v>0.81495938414443403</v>
      </c>
      <c r="AL34" s="360">
        <v>0.81600671294161697</v>
      </c>
      <c r="AM34" s="360">
        <v>0.79603169420315401</v>
      </c>
      <c r="AN34" s="361">
        <v>554538</v>
      </c>
      <c r="AO34" s="362">
        <v>0.80853366844885899</v>
      </c>
      <c r="AP34" s="360">
        <v>0.81377769072647199</v>
      </c>
      <c r="AQ34" s="360">
        <v>0.67448824490551595</v>
      </c>
      <c r="AR34" s="361">
        <v>447053</v>
      </c>
      <c r="AS34" s="362">
        <v>0.791929169850213</v>
      </c>
      <c r="AT34" s="360">
        <v>0.75063595884423195</v>
      </c>
      <c r="AU34" s="361">
        <v>402788</v>
      </c>
      <c r="AV34" s="107">
        <v>0.508379236501036</v>
      </c>
      <c r="AW34" s="107">
        <v>0.56358872193184195</v>
      </c>
      <c r="AX34" s="107">
        <v>0.818513566481195</v>
      </c>
      <c r="AY34" s="106">
        <v>803603</v>
      </c>
      <c r="AZ34" s="362">
        <v>0.76999667498771596</v>
      </c>
      <c r="BA34" s="360">
        <v>0.79273421404474798</v>
      </c>
      <c r="BB34" s="360">
        <v>0.92173021434232805</v>
      </c>
      <c r="BC34" s="361">
        <v>1136417</v>
      </c>
      <c r="BD34" s="360">
        <v>0.82402212059202795</v>
      </c>
      <c r="BE34" s="360">
        <v>0.99981664254197899</v>
      </c>
      <c r="BF34" s="361">
        <v>977716</v>
      </c>
      <c r="BG34" s="9"/>
    </row>
    <row r="35" spans="1:59" s="82" customFormat="1" ht="12" customHeight="1">
      <c r="A35" s="418" t="s">
        <v>1325</v>
      </c>
      <c r="B35" s="360">
        <v>0.85421349728373297</v>
      </c>
      <c r="C35" s="360">
        <v>0.79147626544479699</v>
      </c>
      <c r="D35" s="361">
        <v>456544</v>
      </c>
      <c r="E35" s="362">
        <v>0.62461770254087701</v>
      </c>
      <c r="F35" s="360">
        <v>0.87975300891455299</v>
      </c>
      <c r="G35" s="360">
        <v>0.907569852889901</v>
      </c>
      <c r="H35" s="361">
        <v>540280</v>
      </c>
      <c r="I35" s="360">
        <v>0.63091977433537905</v>
      </c>
      <c r="J35" s="360">
        <v>0.68397039199933596</v>
      </c>
      <c r="K35" s="360">
        <v>0.85895012221266598</v>
      </c>
      <c r="L35" s="361">
        <v>720328</v>
      </c>
      <c r="M35" s="362">
        <v>0.61879913922567498</v>
      </c>
      <c r="N35" s="360">
        <v>0.70917428229476398</v>
      </c>
      <c r="O35" s="360">
        <v>0.805518782885422</v>
      </c>
      <c r="P35" s="361">
        <v>540280</v>
      </c>
      <c r="Q35" s="362">
        <v>0.66944350431855504</v>
      </c>
      <c r="R35" s="360">
        <v>0.68021187342239497</v>
      </c>
      <c r="S35" s="360">
        <v>0.82189589356356396</v>
      </c>
      <c r="T35" s="361">
        <v>680287</v>
      </c>
      <c r="U35" s="362">
        <v>0.65612012869103398</v>
      </c>
      <c r="V35" s="360">
        <v>0.80505956821539804</v>
      </c>
      <c r="W35" s="360">
        <v>0.89091428472451994</v>
      </c>
      <c r="X35" s="361">
        <v>786158</v>
      </c>
      <c r="Y35" s="362">
        <v>0.59217633433729</v>
      </c>
      <c r="Z35" s="360">
        <v>0.65449897938831103</v>
      </c>
      <c r="AA35" s="360">
        <v>0.70204569820474205</v>
      </c>
      <c r="AB35" s="90">
        <v>375866</v>
      </c>
      <c r="AC35" s="362">
        <v>0.57300299972095103</v>
      </c>
      <c r="AD35" s="360">
        <v>0.58882162907448699</v>
      </c>
      <c r="AE35" s="360">
        <v>0.796116611205263</v>
      </c>
      <c r="AF35" s="361">
        <v>585108</v>
      </c>
      <c r="AG35" s="362">
        <v>0.84394269182841297</v>
      </c>
      <c r="AH35" s="360">
        <v>0.84345106885102505</v>
      </c>
      <c r="AI35" s="360">
        <v>0.92588146921591796</v>
      </c>
      <c r="AJ35" s="361">
        <v>1038514</v>
      </c>
      <c r="AK35" s="362">
        <v>0.85032316562289401</v>
      </c>
      <c r="AL35" s="360">
        <v>0.84976208894646099</v>
      </c>
      <c r="AM35" s="360">
        <v>0.83429870216379098</v>
      </c>
      <c r="AN35" s="361">
        <v>528154</v>
      </c>
      <c r="AO35" s="362">
        <v>0.83304384865169701</v>
      </c>
      <c r="AP35" s="360">
        <v>0.83629038143851697</v>
      </c>
      <c r="AQ35" s="360">
        <v>0.69163619918355201</v>
      </c>
      <c r="AR35" s="361">
        <v>424609</v>
      </c>
      <c r="AS35" s="362">
        <v>0.84021442777767097</v>
      </c>
      <c r="AT35" s="360">
        <v>0.80874389544786696</v>
      </c>
      <c r="AU35" s="361">
        <v>382914</v>
      </c>
      <c r="AV35" s="107">
        <v>0.60224359262270799</v>
      </c>
      <c r="AW35" s="107">
        <v>0.61369220913633604</v>
      </c>
      <c r="AX35" s="107">
        <v>0.85254370364565701</v>
      </c>
      <c r="AY35" s="106">
        <v>766068</v>
      </c>
      <c r="AZ35" s="362">
        <v>0.80857552208560102</v>
      </c>
      <c r="BA35" s="360">
        <v>0.82829576852063902</v>
      </c>
      <c r="BB35" s="360">
        <v>0.93233944734873397</v>
      </c>
      <c r="BC35" s="361">
        <v>996218</v>
      </c>
      <c r="BD35" s="360">
        <v>0.83160711827538303</v>
      </c>
      <c r="BE35" s="360">
        <v>0.90821489582004999</v>
      </c>
      <c r="BF35" s="361">
        <v>925311</v>
      </c>
      <c r="BG35" s="9"/>
    </row>
    <row r="36" spans="1:59" s="82" customFormat="1" ht="12" customHeight="1">
      <c r="A36" s="418" t="s">
        <v>1326</v>
      </c>
      <c r="B36" s="360">
        <v>0.81879104045955298</v>
      </c>
      <c r="C36" s="360">
        <v>0.72928555681526697</v>
      </c>
      <c r="D36" s="361">
        <v>463991</v>
      </c>
      <c r="E36" s="362">
        <v>0.543588988237655</v>
      </c>
      <c r="F36" s="360">
        <v>0.83036300768828297</v>
      </c>
      <c r="G36" s="360">
        <v>0.90182974838949803</v>
      </c>
      <c r="H36" s="361">
        <v>560127</v>
      </c>
      <c r="I36" s="360">
        <v>0.58526568445036797</v>
      </c>
      <c r="J36" s="360">
        <v>0.64025866075243998</v>
      </c>
      <c r="K36" s="360">
        <v>0.86192880977089203</v>
      </c>
      <c r="L36" s="361">
        <v>754689</v>
      </c>
      <c r="M36" s="362">
        <v>0.54444960591166902</v>
      </c>
      <c r="N36" s="360">
        <v>0.65309982888712104</v>
      </c>
      <c r="O36" s="360">
        <v>0.760393079741152</v>
      </c>
      <c r="P36" s="361">
        <v>560127</v>
      </c>
      <c r="Q36" s="362">
        <v>0.62787392820360599</v>
      </c>
      <c r="R36" s="360">
        <v>0.65941646628876505</v>
      </c>
      <c r="S36" s="360">
        <v>0.78445305876018101</v>
      </c>
      <c r="T36" s="361">
        <v>702581</v>
      </c>
      <c r="U36" s="362">
        <v>0.68173226901541295</v>
      </c>
      <c r="V36" s="360">
        <v>0.69466490874012998</v>
      </c>
      <c r="W36" s="360">
        <v>0.81212411590090094</v>
      </c>
      <c r="X36" s="361">
        <v>801970</v>
      </c>
      <c r="Y36" s="362">
        <v>0.54387801668618896</v>
      </c>
      <c r="Z36" s="360">
        <v>0.59432433295913201</v>
      </c>
      <c r="AA36" s="360">
        <v>0.62372673695729997</v>
      </c>
      <c r="AB36" s="90">
        <v>395962</v>
      </c>
      <c r="AC36" s="362">
        <v>0.54834446753701505</v>
      </c>
      <c r="AD36" s="360">
        <v>0.56321030165991404</v>
      </c>
      <c r="AE36" s="360">
        <v>0.80463024893410195</v>
      </c>
      <c r="AF36" s="361">
        <v>625801</v>
      </c>
      <c r="AG36" s="362">
        <v>0.82959802531548299</v>
      </c>
      <c r="AH36" s="360">
        <v>0.82890317018192405</v>
      </c>
      <c r="AI36" s="360">
        <v>0.89623165693127704</v>
      </c>
      <c r="AJ36" s="361">
        <v>1082005</v>
      </c>
      <c r="AK36" s="362">
        <v>0.81501738905074606</v>
      </c>
      <c r="AL36" s="360">
        <v>0.81488135628259095</v>
      </c>
      <c r="AM36" s="360">
        <v>0.778906772002118</v>
      </c>
      <c r="AN36" s="361">
        <v>547443</v>
      </c>
      <c r="AO36" s="362">
        <v>0.81153796406161904</v>
      </c>
      <c r="AP36" s="360">
        <v>0.81126514642534298</v>
      </c>
      <c r="AQ36" s="360">
        <v>0.64920148875705397</v>
      </c>
      <c r="AR36" s="361">
        <v>437736</v>
      </c>
      <c r="AS36" s="362">
        <v>0.79881240490517003</v>
      </c>
      <c r="AT36" s="360">
        <v>0.76613463465030096</v>
      </c>
      <c r="AU36" s="361">
        <v>398153</v>
      </c>
      <c r="AV36" s="107">
        <v>0.57076197747638402</v>
      </c>
      <c r="AW36" s="107">
        <v>0.57465142307981398</v>
      </c>
      <c r="AX36" s="107">
        <v>0.798837701612787</v>
      </c>
      <c r="AY36" s="106">
        <v>791454</v>
      </c>
      <c r="AZ36" s="362">
        <v>0.76748393684865301</v>
      </c>
      <c r="BA36" s="360">
        <v>0.79446219884969704</v>
      </c>
      <c r="BB36" s="360">
        <v>0.90271466217991003</v>
      </c>
      <c r="BC36" s="361">
        <v>1111974</v>
      </c>
      <c r="BD36" s="360">
        <v>0.83627016980791002</v>
      </c>
      <c r="BE36" s="360">
        <v>0.91309527710758998</v>
      </c>
      <c r="BF36" s="361">
        <v>980365</v>
      </c>
      <c r="BG36" s="9"/>
    </row>
    <row r="37" spans="1:59" s="82" customFormat="1" ht="12" customHeight="1">
      <c r="A37" s="418" t="s">
        <v>1327</v>
      </c>
      <c r="B37" s="360">
        <v>0.83095341919004295</v>
      </c>
      <c r="C37" s="360">
        <v>0.83381060168120402</v>
      </c>
      <c r="D37" s="361">
        <v>465344</v>
      </c>
      <c r="E37" s="362">
        <v>0.50946889366620296</v>
      </c>
      <c r="F37" s="360">
        <v>0.79506182347933896</v>
      </c>
      <c r="G37" s="360">
        <v>0.928517790292964</v>
      </c>
      <c r="H37" s="361">
        <v>543818</v>
      </c>
      <c r="I37" s="360">
        <v>0.58660516510323502</v>
      </c>
      <c r="J37" s="360">
        <v>0.64034398891233901</v>
      </c>
      <c r="K37" s="360">
        <v>0.89634656276470503</v>
      </c>
      <c r="L37" s="361">
        <v>722770</v>
      </c>
      <c r="M37" s="362">
        <v>0.52972802749922898</v>
      </c>
      <c r="N37" s="360">
        <v>0.64657949618121202</v>
      </c>
      <c r="O37" s="360">
        <v>0.861533040572383</v>
      </c>
      <c r="P37" s="361">
        <v>543818</v>
      </c>
      <c r="Q37" s="362">
        <v>0.611090040493666</v>
      </c>
      <c r="R37" s="360">
        <v>0.62596419944588</v>
      </c>
      <c r="S37" s="360">
        <v>0.88622123742047798</v>
      </c>
      <c r="T37" s="361">
        <v>674092</v>
      </c>
      <c r="U37" s="362">
        <v>0.43296392831882202</v>
      </c>
      <c r="V37" s="360">
        <v>0.59211554686054002</v>
      </c>
      <c r="W37" s="360">
        <v>0.84189988025690399</v>
      </c>
      <c r="X37" s="361">
        <v>669556</v>
      </c>
      <c r="Y37" s="362">
        <v>0.496652066280725</v>
      </c>
      <c r="Z37" s="360">
        <v>0.57287710805218905</v>
      </c>
      <c r="AA37" s="360">
        <v>0.73056846999929603</v>
      </c>
      <c r="AB37" s="90">
        <v>260018</v>
      </c>
      <c r="AC37" s="362">
        <v>0.52031134128383005</v>
      </c>
      <c r="AD37" s="360">
        <v>0.52140161363761395</v>
      </c>
      <c r="AE37" s="360">
        <v>0.84769018121609596</v>
      </c>
      <c r="AF37" s="361">
        <v>624510</v>
      </c>
      <c r="AG37" s="362">
        <v>0.81604717143572303</v>
      </c>
      <c r="AH37" s="360">
        <v>0.81776132392108403</v>
      </c>
      <c r="AI37" s="360">
        <v>0.95844283410898901</v>
      </c>
      <c r="AJ37" s="361">
        <v>1112479</v>
      </c>
      <c r="AK37" s="362">
        <v>0.81577360611499306</v>
      </c>
      <c r="AL37" s="360">
        <v>0.81441414369142795</v>
      </c>
      <c r="AM37" s="360">
        <v>0.87354578146602502</v>
      </c>
      <c r="AN37" s="361">
        <v>551169</v>
      </c>
      <c r="AO37" s="362">
        <v>0.81005307843666197</v>
      </c>
      <c r="AP37" s="360">
        <v>0.81155389774770403</v>
      </c>
      <c r="AQ37" s="360">
        <v>0.75698624404544401</v>
      </c>
      <c r="AR37" s="361">
        <v>378935</v>
      </c>
      <c r="AS37" s="362">
        <v>0.81158235333253603</v>
      </c>
      <c r="AT37" s="360">
        <v>0.85227264459242502</v>
      </c>
      <c r="AU37" s="361">
        <v>384699</v>
      </c>
      <c r="AV37" s="107">
        <v>0.54667494351716905</v>
      </c>
      <c r="AW37" s="107">
        <v>0.55127641864022603</v>
      </c>
      <c r="AX37" s="107">
        <v>0.87394911902697203</v>
      </c>
      <c r="AY37" s="106">
        <v>619007</v>
      </c>
      <c r="AZ37" s="362">
        <v>0.76359839597329104</v>
      </c>
      <c r="BA37" s="360">
        <v>0.78982330252620603</v>
      </c>
      <c r="BB37" s="360">
        <v>0.95424973226992205</v>
      </c>
      <c r="BC37" s="361">
        <v>896839</v>
      </c>
      <c r="BD37" s="360">
        <v>0.82193614861783604</v>
      </c>
      <c r="BE37" s="360">
        <v>0.95812747157713096</v>
      </c>
      <c r="BF37" s="361">
        <v>943292</v>
      </c>
      <c r="BG37" s="9"/>
    </row>
    <row r="38" spans="1:59" s="82" customFormat="1" ht="12" customHeight="1">
      <c r="A38" s="418" t="s">
        <v>1328</v>
      </c>
      <c r="B38" s="360">
        <v>0.85545279480422398</v>
      </c>
      <c r="C38" s="360">
        <v>0.80927023092380701</v>
      </c>
      <c r="D38" s="361">
        <v>478006</v>
      </c>
      <c r="E38" s="362">
        <v>0.51911776480722605</v>
      </c>
      <c r="F38" s="360">
        <v>0.80317844711944997</v>
      </c>
      <c r="G38" s="360">
        <v>0.90286632590552696</v>
      </c>
      <c r="H38" s="361">
        <v>582466</v>
      </c>
      <c r="I38" s="360">
        <v>0.58888307500599402</v>
      </c>
      <c r="J38" s="360">
        <v>0.64677249382893698</v>
      </c>
      <c r="K38" s="360">
        <v>0.874224177271966</v>
      </c>
      <c r="L38" s="361">
        <v>763083</v>
      </c>
      <c r="M38" s="362">
        <v>0.53390305346744305</v>
      </c>
      <c r="N38" s="360">
        <v>0.63671759293013697</v>
      </c>
      <c r="O38" s="360">
        <v>0.84147164462081703</v>
      </c>
      <c r="P38" s="361">
        <v>582466</v>
      </c>
      <c r="Q38" s="362">
        <v>0.60260839068402205</v>
      </c>
      <c r="R38" s="360">
        <v>0.62360006890524</v>
      </c>
      <c r="S38" s="360">
        <v>0.84996504359971403</v>
      </c>
      <c r="T38" s="361">
        <v>731559</v>
      </c>
      <c r="U38" s="362">
        <v>0.460930620245944</v>
      </c>
      <c r="V38" s="360">
        <v>0.59701305083933098</v>
      </c>
      <c r="W38" s="360">
        <v>0.84299130164465697</v>
      </c>
      <c r="X38" s="361">
        <v>852525</v>
      </c>
      <c r="Y38" s="362">
        <v>0.51643826369516099</v>
      </c>
      <c r="Z38" s="360">
        <v>0.58443065270615602</v>
      </c>
      <c r="AA38" s="360">
        <v>0.76499248939141595</v>
      </c>
      <c r="AB38" s="90">
        <v>435573</v>
      </c>
      <c r="AC38" s="362">
        <v>0.45456586826230999</v>
      </c>
      <c r="AD38" s="360">
        <v>0.48938204797129597</v>
      </c>
      <c r="AE38" s="360">
        <v>0.81099914862865297</v>
      </c>
      <c r="AF38" s="361">
        <v>626721</v>
      </c>
      <c r="AG38" s="362">
        <v>0.82172195569681905</v>
      </c>
      <c r="AH38" s="360">
        <v>0.82156207123807201</v>
      </c>
      <c r="AI38" s="360">
        <v>0.932306574966837</v>
      </c>
      <c r="AJ38" s="361">
        <v>1120244</v>
      </c>
      <c r="AK38" s="362">
        <v>0.81678940730298699</v>
      </c>
      <c r="AL38" s="360">
        <v>0.81593885251426101</v>
      </c>
      <c r="AM38" s="360">
        <v>0.84198199942442598</v>
      </c>
      <c r="AN38" s="361">
        <v>564754</v>
      </c>
      <c r="AO38" s="362">
        <v>0.80966359911991304</v>
      </c>
      <c r="AP38" s="360">
        <v>0.81430833460816099</v>
      </c>
      <c r="AQ38" s="360">
        <v>0.755519838454625</v>
      </c>
      <c r="AR38" s="361">
        <v>474586</v>
      </c>
      <c r="AS38" s="362">
        <v>0.81798726520237197</v>
      </c>
      <c r="AT38" s="360">
        <v>0.81099192279745302</v>
      </c>
      <c r="AU38" s="361">
        <v>410448</v>
      </c>
      <c r="AV38" s="107">
        <v>0.52470642705856696</v>
      </c>
      <c r="AW38" s="107">
        <v>0.57785998500791202</v>
      </c>
      <c r="AX38" s="107">
        <v>0.87479489869334603</v>
      </c>
      <c r="AY38" s="106">
        <v>849490</v>
      </c>
      <c r="AZ38" s="362">
        <v>0.75915000131698196</v>
      </c>
      <c r="BA38" s="360">
        <v>0.78414004198494303</v>
      </c>
      <c r="BB38" s="360">
        <v>0.93909443186368702</v>
      </c>
      <c r="BC38" s="361">
        <v>1175245</v>
      </c>
      <c r="BD38" s="360">
        <v>0.818477051020991</v>
      </c>
      <c r="BE38" s="360">
        <v>0.919914301161882</v>
      </c>
      <c r="BF38" s="361">
        <v>996963</v>
      </c>
      <c r="BG38" s="9"/>
    </row>
    <row r="39" spans="1:59" s="82" customFormat="1" ht="12" customHeight="1">
      <c r="A39" s="418" t="s">
        <v>1329</v>
      </c>
      <c r="B39" s="360">
        <v>0.84921230908555401</v>
      </c>
      <c r="C39" s="360">
        <v>0.813598329879057</v>
      </c>
      <c r="D39" s="361">
        <v>478004</v>
      </c>
      <c r="E39" s="362">
        <v>0.51839996411574996</v>
      </c>
      <c r="F39" s="360">
        <v>0.80588233399223697</v>
      </c>
      <c r="G39" s="360">
        <v>0.90181509709230301</v>
      </c>
      <c r="H39" s="361">
        <v>582458</v>
      </c>
      <c r="I39" s="360">
        <v>0.59204102834888395</v>
      </c>
      <c r="J39" s="360">
        <v>0.64605229753554305</v>
      </c>
      <c r="K39" s="360">
        <v>0.87537232693519496</v>
      </c>
      <c r="L39" s="361">
        <v>763081</v>
      </c>
      <c r="M39" s="362">
        <v>0.54849956372627495</v>
      </c>
      <c r="N39" s="360">
        <v>0.63798570266281995</v>
      </c>
      <c r="O39" s="360">
        <v>0.83253946220417796</v>
      </c>
      <c r="P39" s="361">
        <v>582458</v>
      </c>
      <c r="Q39" s="362">
        <v>0.61143151171352506</v>
      </c>
      <c r="R39" s="360">
        <v>0.62959407659952105</v>
      </c>
      <c r="S39" s="360">
        <v>0.85132212067605695</v>
      </c>
      <c r="T39" s="361">
        <v>731555</v>
      </c>
      <c r="U39" s="362">
        <v>0.48074052508513598</v>
      </c>
      <c r="V39" s="360">
        <v>0.58932382068848099</v>
      </c>
      <c r="W39" s="360">
        <v>0.84094555775370095</v>
      </c>
      <c r="X39" s="361">
        <v>852526</v>
      </c>
      <c r="Y39" s="362">
        <v>0.53382536394797797</v>
      </c>
      <c r="Z39" s="360">
        <v>0.57620893115385097</v>
      </c>
      <c r="AA39" s="360">
        <v>0.76239357083509596</v>
      </c>
      <c r="AB39" s="90">
        <v>435566</v>
      </c>
      <c r="AC39" s="362">
        <v>0.51226385974588295</v>
      </c>
      <c r="AD39" s="360">
        <v>0.50001443340847396</v>
      </c>
      <c r="AE39" s="360">
        <v>0.817029147477213</v>
      </c>
      <c r="AF39" s="361">
        <v>626715</v>
      </c>
      <c r="AG39" s="362">
        <v>0.81500913092732497</v>
      </c>
      <c r="AH39" s="360">
        <v>0.81603499046986205</v>
      </c>
      <c r="AI39" s="360">
        <v>0.92587867164964799</v>
      </c>
      <c r="AJ39" s="361">
        <v>1120233</v>
      </c>
      <c r="AK39" s="362">
        <v>0.81958621039479396</v>
      </c>
      <c r="AL39" s="360">
        <v>0.818472485030456</v>
      </c>
      <c r="AM39" s="360">
        <v>0.84694472027835699</v>
      </c>
      <c r="AN39" s="361">
        <v>564752</v>
      </c>
      <c r="AO39" s="362">
        <v>0.81958830305225905</v>
      </c>
      <c r="AP39" s="360">
        <v>0.82412600282130299</v>
      </c>
      <c r="AQ39" s="360">
        <v>0.75677421784193599</v>
      </c>
      <c r="AR39" s="361">
        <v>474570</v>
      </c>
      <c r="AS39" s="362">
        <v>0.784000423366081</v>
      </c>
      <c r="AT39" s="360">
        <v>0.80417655164958002</v>
      </c>
      <c r="AU39" s="361">
        <v>410444</v>
      </c>
      <c r="AV39" s="107">
        <v>0.49901060097643801</v>
      </c>
      <c r="AW39" s="107">
        <v>0.53805024094289999</v>
      </c>
      <c r="AX39" s="107">
        <v>0.86815184233130804</v>
      </c>
      <c r="AY39" s="106">
        <v>849490</v>
      </c>
      <c r="AZ39" s="362">
        <v>0.76165336995574695</v>
      </c>
      <c r="BA39" s="360">
        <v>0.78857896964192997</v>
      </c>
      <c r="BB39" s="360">
        <v>0.93843959880180305</v>
      </c>
      <c r="BC39" s="361">
        <v>1175238</v>
      </c>
      <c r="BD39" s="360">
        <v>0.823528473920773</v>
      </c>
      <c r="BE39" s="360">
        <v>0.91525702586086299</v>
      </c>
      <c r="BF39" s="361">
        <v>996957</v>
      </c>
      <c r="BG39" s="9"/>
    </row>
    <row r="40" spans="1:59" s="82" customFormat="1" ht="12" customHeight="1">
      <c r="A40" s="418" t="s">
        <v>1330</v>
      </c>
      <c r="B40" s="360">
        <v>0.82397235980821804</v>
      </c>
      <c r="C40" s="360">
        <v>0.73560149290999499</v>
      </c>
      <c r="D40" s="361">
        <v>427943</v>
      </c>
      <c r="E40" s="362">
        <v>0.52012667454274897</v>
      </c>
      <c r="F40" s="360">
        <v>0.78937239414621496</v>
      </c>
      <c r="G40" s="360">
        <v>0.88522516529320905</v>
      </c>
      <c r="H40" s="361">
        <v>493239</v>
      </c>
      <c r="I40" s="360">
        <v>0.58761505333505604</v>
      </c>
      <c r="J40" s="360">
        <v>0.64250989472419096</v>
      </c>
      <c r="K40" s="360">
        <v>0.86466269843548804</v>
      </c>
      <c r="L40" s="361">
        <v>609026</v>
      </c>
      <c r="M40" s="362">
        <v>0.49265038358330299</v>
      </c>
      <c r="N40" s="360">
        <v>0.640659978605153</v>
      </c>
      <c r="O40" s="360">
        <v>0.76706293623899902</v>
      </c>
      <c r="P40" s="361">
        <v>493239</v>
      </c>
      <c r="Q40" s="362">
        <v>0.61182086109582301</v>
      </c>
      <c r="R40" s="360">
        <v>0.64741139677721005</v>
      </c>
      <c r="S40" s="360">
        <v>0.808552983884953</v>
      </c>
      <c r="T40" s="361">
        <v>603475</v>
      </c>
      <c r="U40" s="362">
        <v>0.477512317668287</v>
      </c>
      <c r="V40" s="360">
        <v>0.69397194196368694</v>
      </c>
      <c r="W40" s="360">
        <v>0.84992555899489197</v>
      </c>
      <c r="X40" s="361">
        <v>577623</v>
      </c>
      <c r="Y40" s="362">
        <v>0.51656381586903799</v>
      </c>
      <c r="Z40" s="360">
        <v>0.56862426112966602</v>
      </c>
      <c r="AA40" s="360">
        <v>0.64157790705484197</v>
      </c>
      <c r="AB40" s="90">
        <v>226434</v>
      </c>
      <c r="AC40" s="362">
        <v>0.50914044038406503</v>
      </c>
      <c r="AD40" s="360">
        <v>0.49770502539849498</v>
      </c>
      <c r="AE40" s="360">
        <v>0.73700095288169798</v>
      </c>
      <c r="AF40" s="361">
        <v>522709</v>
      </c>
      <c r="AG40" s="362">
        <v>0.81707986314884395</v>
      </c>
      <c r="AH40" s="360">
        <v>0.81708570431865202</v>
      </c>
      <c r="AI40" s="360">
        <v>0.93425905586714797</v>
      </c>
      <c r="AJ40" s="361">
        <v>949769</v>
      </c>
      <c r="AK40" s="362">
        <v>0.809846171980798</v>
      </c>
      <c r="AL40" s="360">
        <v>0.80930803731760903</v>
      </c>
      <c r="AM40" s="360">
        <v>0.80607168878977697</v>
      </c>
      <c r="AN40" s="361">
        <v>487767</v>
      </c>
      <c r="AO40" s="362">
        <v>0.81669286426113696</v>
      </c>
      <c r="AP40" s="360">
        <v>0.81808608059292598</v>
      </c>
      <c r="AQ40" s="360">
        <v>0.67232397165225699</v>
      </c>
      <c r="AR40" s="361">
        <v>268092</v>
      </c>
      <c r="AS40" s="362">
        <v>0.80480100868714399</v>
      </c>
      <c r="AT40" s="360">
        <v>0.73821486401518299</v>
      </c>
      <c r="AU40" s="361">
        <v>357256</v>
      </c>
      <c r="AV40" s="107">
        <v>0.49815379966094497</v>
      </c>
      <c r="AW40" s="107">
        <v>0.50704304798967903</v>
      </c>
      <c r="AX40" s="107">
        <v>0.81843715241959403</v>
      </c>
      <c r="AY40" s="106">
        <v>538493</v>
      </c>
      <c r="AZ40" s="362">
        <v>0.76045236701485097</v>
      </c>
      <c r="BA40" s="360">
        <v>0.78698505177313305</v>
      </c>
      <c r="BB40" s="360">
        <v>0.92829827014091404</v>
      </c>
      <c r="BC40" s="361">
        <v>785323</v>
      </c>
      <c r="BD40" s="360">
        <v>0.80983131429883104</v>
      </c>
      <c r="BE40" s="360">
        <v>0.91383754703031195</v>
      </c>
      <c r="BF40" s="361">
        <v>860396</v>
      </c>
      <c r="BG40" s="9"/>
    </row>
    <row r="41" spans="1:59" s="82" customFormat="1" ht="12" customHeight="1">
      <c r="A41" s="418" t="s">
        <v>1331</v>
      </c>
      <c r="B41" s="360">
        <v>0.827447165973209</v>
      </c>
      <c r="C41" s="360">
        <v>0.67905373165518701</v>
      </c>
      <c r="D41" s="361">
        <v>185824</v>
      </c>
      <c r="E41" s="362">
        <v>0.55486182359266101</v>
      </c>
      <c r="F41" s="360">
        <v>0.81328355310588596</v>
      </c>
      <c r="G41" s="360">
        <v>0.88785198851381797</v>
      </c>
      <c r="H41" s="361">
        <v>246535</v>
      </c>
      <c r="I41" s="360">
        <v>0.58863613751062605</v>
      </c>
      <c r="J41" s="360">
        <v>0.65444891786911097</v>
      </c>
      <c r="K41" s="360">
        <v>0.35143414444242899</v>
      </c>
      <c r="L41" s="361">
        <v>744572</v>
      </c>
      <c r="M41" s="362">
        <v>0.57416188646466004</v>
      </c>
      <c r="N41" s="360">
        <v>0.64560548557369102</v>
      </c>
      <c r="O41" s="360">
        <v>0.813154414694928</v>
      </c>
      <c r="P41" s="361">
        <v>246535</v>
      </c>
      <c r="Q41" s="362">
        <v>0.64197720012642701</v>
      </c>
      <c r="R41" s="360">
        <v>0.65693131864276899</v>
      </c>
      <c r="S41" s="360">
        <v>0.76024872351906703</v>
      </c>
      <c r="T41" s="361">
        <v>384172</v>
      </c>
      <c r="U41" s="362">
        <v>0.56984787832458095</v>
      </c>
      <c r="V41" s="360">
        <v>0.71615374625946404</v>
      </c>
      <c r="W41" s="360">
        <v>0.82708695895328299</v>
      </c>
      <c r="X41" s="361">
        <v>198850</v>
      </c>
      <c r="Y41" s="362">
        <v>0.51791699946715197</v>
      </c>
      <c r="Z41" s="360">
        <v>0.59017334327289495</v>
      </c>
      <c r="AA41" s="360">
        <v>0.57762923143343303</v>
      </c>
      <c r="AB41" s="90">
        <v>101192</v>
      </c>
      <c r="AC41" s="362">
        <v>0.52035855059700198</v>
      </c>
      <c r="AD41" s="360">
        <v>0.55711001775070201</v>
      </c>
      <c r="AE41" s="360">
        <v>0.73866890584200595</v>
      </c>
      <c r="AF41" s="361">
        <v>345529</v>
      </c>
      <c r="AG41" s="362">
        <v>0.82223430577745904</v>
      </c>
      <c r="AH41" s="360">
        <v>0.82162865571103105</v>
      </c>
      <c r="AI41" s="360">
        <v>0.76333544670570197</v>
      </c>
      <c r="AJ41" s="361">
        <v>1086488</v>
      </c>
      <c r="AK41" s="362">
        <v>0.81293570872821597</v>
      </c>
      <c r="AL41" s="360">
        <v>0.81280031357468296</v>
      </c>
      <c r="AM41" s="360">
        <v>0.46850916927099201</v>
      </c>
      <c r="AN41" s="361">
        <v>550231</v>
      </c>
      <c r="AO41" s="362">
        <v>0.81195733660841496</v>
      </c>
      <c r="AP41" s="360">
        <v>0.81476746945581602</v>
      </c>
      <c r="AQ41" s="360">
        <v>0.37792759075295002</v>
      </c>
      <c r="AR41" s="361">
        <v>440381</v>
      </c>
      <c r="AS41" s="362">
        <v>0.81313334744404597</v>
      </c>
      <c r="AT41" s="360">
        <v>0.74660822346579503</v>
      </c>
      <c r="AU41" s="361">
        <v>138364</v>
      </c>
      <c r="AV41" s="107">
        <v>0.56771384287395599</v>
      </c>
      <c r="AW41" s="107">
        <v>0.59862279985628997</v>
      </c>
      <c r="AX41" s="107">
        <v>0.79953840940420395</v>
      </c>
      <c r="AY41" s="106">
        <v>189512</v>
      </c>
      <c r="AZ41" s="362">
        <v>0.782279946652085</v>
      </c>
      <c r="BA41" s="360">
        <v>0.80185053080454505</v>
      </c>
      <c r="BB41" s="360">
        <v>0.89945228962508506</v>
      </c>
      <c r="BC41" s="361">
        <v>259225</v>
      </c>
      <c r="BD41" s="360">
        <v>0.83795253969414596</v>
      </c>
      <c r="BE41" s="360">
        <v>0.92887417071911904</v>
      </c>
      <c r="BF41" s="361">
        <v>331175</v>
      </c>
      <c r="BG41" s="9"/>
    </row>
    <row r="42" spans="1:59" s="82" customFormat="1" ht="12" customHeight="1">
      <c r="A42" s="418" t="s">
        <v>1332</v>
      </c>
      <c r="B42" s="360">
        <v>0.84008403159939204</v>
      </c>
      <c r="C42" s="360">
        <v>0.81944727322527899</v>
      </c>
      <c r="D42" s="361">
        <v>475605</v>
      </c>
      <c r="E42" s="362">
        <v>0.57505063264946099</v>
      </c>
      <c r="F42" s="360">
        <v>0.84110136934844304</v>
      </c>
      <c r="G42" s="360">
        <v>0.91594474657029101</v>
      </c>
      <c r="H42" s="361">
        <v>578547</v>
      </c>
      <c r="I42" s="360">
        <v>0.60774431200759305</v>
      </c>
      <c r="J42" s="360">
        <v>0.66490247890151599</v>
      </c>
      <c r="K42" s="360">
        <v>0.87373375876176096</v>
      </c>
      <c r="L42" s="361">
        <v>732815</v>
      </c>
      <c r="M42" s="362">
        <v>0.54045160247961499</v>
      </c>
      <c r="N42" s="360">
        <v>0.63367389382204797</v>
      </c>
      <c r="O42" s="360">
        <v>0.81419287844728605</v>
      </c>
      <c r="P42" s="361">
        <v>578547</v>
      </c>
      <c r="Q42" s="362">
        <v>0.634352548690716</v>
      </c>
      <c r="R42" s="360">
        <v>0.65422173115916704</v>
      </c>
      <c r="S42" s="360">
        <v>0.847136825373625</v>
      </c>
      <c r="T42" s="361">
        <v>726571</v>
      </c>
      <c r="U42" s="362">
        <v>0.61122619723204596</v>
      </c>
      <c r="V42" s="360">
        <v>0.71382192429547497</v>
      </c>
      <c r="W42" s="360">
        <v>0.86801505668469403</v>
      </c>
      <c r="X42" s="361">
        <v>781025</v>
      </c>
      <c r="Y42" s="362">
        <v>0.54389109433390703</v>
      </c>
      <c r="Z42" s="360">
        <v>0.60628204822279597</v>
      </c>
      <c r="AA42" s="360">
        <v>0.719093591883193</v>
      </c>
      <c r="AB42" s="90">
        <v>351691</v>
      </c>
      <c r="AC42" s="362">
        <v>0.54983617616637503</v>
      </c>
      <c r="AD42" s="360">
        <v>0.53594203291097298</v>
      </c>
      <c r="AE42" s="360">
        <v>0.81366966607948998</v>
      </c>
      <c r="AF42" s="361">
        <v>623766</v>
      </c>
      <c r="AG42" s="362">
        <v>0.82841559574704604</v>
      </c>
      <c r="AH42" s="360">
        <v>0.82793159863653998</v>
      </c>
      <c r="AI42" s="360">
        <v>0.94106321987953101</v>
      </c>
      <c r="AJ42" s="361">
        <v>1111678</v>
      </c>
      <c r="AK42" s="362">
        <v>0.832965216622511</v>
      </c>
      <c r="AL42" s="360">
        <v>0.83216410469462798</v>
      </c>
      <c r="AM42" s="360">
        <v>0.85952366299962701</v>
      </c>
      <c r="AN42" s="361">
        <v>553815</v>
      </c>
      <c r="AO42" s="362">
        <v>0.82234389752321502</v>
      </c>
      <c r="AP42" s="360">
        <v>0.821597817223922</v>
      </c>
      <c r="AQ42" s="360">
        <v>0.70562943009785395</v>
      </c>
      <c r="AR42" s="361">
        <v>403464</v>
      </c>
      <c r="AS42" s="362">
        <v>0.81082436662994295</v>
      </c>
      <c r="AT42" s="360">
        <v>0.82656036212308504</v>
      </c>
      <c r="AU42" s="361">
        <v>401749</v>
      </c>
      <c r="AV42" s="107">
        <v>0.53633132860863397</v>
      </c>
      <c r="AW42" s="107">
        <v>0.57705176868328101</v>
      </c>
      <c r="AX42" s="107">
        <v>0.86064199345206704</v>
      </c>
      <c r="AY42" s="106">
        <v>748863</v>
      </c>
      <c r="AZ42" s="362">
        <v>0.77732742977507996</v>
      </c>
      <c r="BA42" s="360">
        <v>0.79975892258301995</v>
      </c>
      <c r="BB42" s="360">
        <v>0.93820463284731404</v>
      </c>
      <c r="BC42" s="361">
        <v>1029915</v>
      </c>
      <c r="BD42" s="360">
        <v>0.82543037532627295</v>
      </c>
      <c r="BE42" s="360">
        <v>0.92822173237721695</v>
      </c>
      <c r="BF42" s="361">
        <v>990543</v>
      </c>
      <c r="BG42" s="9"/>
    </row>
    <row r="43" spans="1:59" s="82" customFormat="1" ht="12" customHeight="1">
      <c r="A43" s="418" t="s">
        <v>1333</v>
      </c>
      <c r="B43" s="360">
        <v>0.80505131022807797</v>
      </c>
      <c r="C43" s="360">
        <v>0.72193985298903796</v>
      </c>
      <c r="D43" s="361">
        <v>476206</v>
      </c>
      <c r="E43" s="362">
        <v>0.50593708576394503</v>
      </c>
      <c r="F43" s="360">
        <v>0.79564433614596497</v>
      </c>
      <c r="G43" s="360">
        <v>0.87272080926081297</v>
      </c>
      <c r="H43" s="361">
        <v>579915</v>
      </c>
      <c r="I43" s="360">
        <v>0.575432302443039</v>
      </c>
      <c r="J43" s="360">
        <v>0.61850946061577206</v>
      </c>
      <c r="K43" s="360">
        <v>0.89541086467106901</v>
      </c>
      <c r="L43" s="361">
        <v>742686</v>
      </c>
      <c r="M43" s="362">
        <v>0.491141071236325</v>
      </c>
      <c r="N43" s="360">
        <v>0.64433327909329696</v>
      </c>
      <c r="O43" s="360">
        <v>0.71074554129366396</v>
      </c>
      <c r="P43" s="361">
        <v>579915</v>
      </c>
      <c r="Q43" s="362">
        <v>0.60668644191811005</v>
      </c>
      <c r="R43" s="360">
        <v>0.60913342653070202</v>
      </c>
      <c r="S43" s="360">
        <v>0.74114167019671395</v>
      </c>
      <c r="T43" s="361">
        <v>728380</v>
      </c>
      <c r="U43" s="362">
        <v>0.53999625348650104</v>
      </c>
      <c r="V43" s="360">
        <v>0.60295180843544705</v>
      </c>
      <c r="W43" s="360">
        <v>0.88326372877017401</v>
      </c>
      <c r="X43" s="361">
        <v>800687</v>
      </c>
      <c r="Y43" s="362">
        <v>0.50974657141912305</v>
      </c>
      <c r="Z43" s="360">
        <v>0.58172420692180005</v>
      </c>
      <c r="AA43" s="360">
        <v>0.26792737506325498</v>
      </c>
      <c r="AB43" s="90">
        <v>372959</v>
      </c>
      <c r="AC43" s="362">
        <v>0.49883232421886498</v>
      </c>
      <c r="AD43" s="360">
        <v>0.52581249254360996</v>
      </c>
      <c r="AE43" s="360">
        <v>0.67677374432874104</v>
      </c>
      <c r="AF43" s="361">
        <v>625914</v>
      </c>
      <c r="AG43" s="362">
        <v>0.804406698034142</v>
      </c>
      <c r="AH43" s="360">
        <v>0.804377127288182</v>
      </c>
      <c r="AI43" s="360">
        <v>0.92346322608851905</v>
      </c>
      <c r="AJ43" s="361">
        <v>1114697</v>
      </c>
      <c r="AK43" s="362">
        <v>0.80614064855720802</v>
      </c>
      <c r="AL43" s="360">
        <v>0.80574853256617196</v>
      </c>
      <c r="AM43" s="360">
        <v>0.84661787808504296</v>
      </c>
      <c r="AN43" s="361">
        <v>556220</v>
      </c>
      <c r="AO43" s="362">
        <v>0.81287946472223205</v>
      </c>
      <c r="AP43" s="360">
        <v>0.81390078503571095</v>
      </c>
      <c r="AQ43" s="360">
        <v>0.73000782324159497</v>
      </c>
      <c r="AR43" s="361">
        <v>422018</v>
      </c>
      <c r="AS43" s="362">
        <v>0.80921799122533999</v>
      </c>
      <c r="AT43" s="360">
        <v>0.75032479015508302</v>
      </c>
      <c r="AU43" s="361">
        <v>403745</v>
      </c>
      <c r="AV43" s="107">
        <v>0.50623613433866299</v>
      </c>
      <c r="AW43" s="107">
        <v>0.49662593591441101</v>
      </c>
      <c r="AX43" s="107">
        <v>0.89533995956853896</v>
      </c>
      <c r="AY43" s="106">
        <v>773900</v>
      </c>
      <c r="AZ43" s="362">
        <v>0.76082112008497005</v>
      </c>
      <c r="BA43" s="360">
        <v>0.78530453110396503</v>
      </c>
      <c r="BB43" s="360">
        <v>0.92799166787579701</v>
      </c>
      <c r="BC43" s="361">
        <v>1175700</v>
      </c>
      <c r="BD43" s="360">
        <v>0.79601824843232705</v>
      </c>
      <c r="BE43" s="360">
        <v>0.89735173632030996</v>
      </c>
      <c r="BF43" s="361">
        <v>992592</v>
      </c>
      <c r="BG43" s="9"/>
    </row>
    <row r="44" spans="1:59" s="82" customFormat="1" ht="12" customHeight="1">
      <c r="A44" s="418" t="s">
        <v>1334</v>
      </c>
      <c r="B44" s="360">
        <v>0.83605279989912595</v>
      </c>
      <c r="C44" s="360">
        <v>0.79956535740881596</v>
      </c>
      <c r="D44" s="361">
        <v>473246</v>
      </c>
      <c r="E44" s="362">
        <v>0.54511828838371201</v>
      </c>
      <c r="F44" s="360">
        <v>0.82359908591680497</v>
      </c>
      <c r="G44" s="360">
        <v>0.90830369870657102</v>
      </c>
      <c r="H44" s="361">
        <v>575319</v>
      </c>
      <c r="I44" s="360">
        <v>0.58461089728146298</v>
      </c>
      <c r="J44" s="360">
        <v>0.64339351326610505</v>
      </c>
      <c r="K44" s="360">
        <v>0.86884098906473195</v>
      </c>
      <c r="L44" s="361">
        <v>740304</v>
      </c>
      <c r="M44" s="362">
        <v>0.52971462660426505</v>
      </c>
      <c r="N44" s="360">
        <v>0.65190629486062801</v>
      </c>
      <c r="O44" s="360">
        <v>0.82144732898690798</v>
      </c>
      <c r="P44" s="361">
        <v>575319</v>
      </c>
      <c r="Q44" s="362">
        <v>0.609337642479992</v>
      </c>
      <c r="R44" s="360">
        <v>0.64095409827752103</v>
      </c>
      <c r="S44" s="360">
        <v>0.84284828057684602</v>
      </c>
      <c r="T44" s="361">
        <v>723017</v>
      </c>
      <c r="U44" s="362">
        <v>0.47317675463480002</v>
      </c>
      <c r="V44" s="360">
        <v>0.69345750897130598</v>
      </c>
      <c r="W44" s="360">
        <v>0.84988903391218096</v>
      </c>
      <c r="X44" s="361">
        <v>802285</v>
      </c>
      <c r="Y44" s="362">
        <v>0.51109522512026795</v>
      </c>
      <c r="Z44" s="360">
        <v>0.57643914999877499</v>
      </c>
      <c r="AA44" s="360">
        <v>0.72743819504869001</v>
      </c>
      <c r="AB44" s="90">
        <v>378951</v>
      </c>
      <c r="AC44" s="362">
        <v>0.52180150533824698</v>
      </c>
      <c r="AD44" s="360">
        <v>0.53004356093569904</v>
      </c>
      <c r="AE44" s="360">
        <v>0.81990958145458404</v>
      </c>
      <c r="AF44" s="361">
        <v>620975</v>
      </c>
      <c r="AG44" s="362">
        <v>0.83070132124752205</v>
      </c>
      <c r="AH44" s="360">
        <v>0.83089698751857199</v>
      </c>
      <c r="AI44" s="360">
        <v>0.93672076028272699</v>
      </c>
      <c r="AJ44" s="361">
        <v>1106845</v>
      </c>
      <c r="AK44" s="362">
        <v>0.82718374829095298</v>
      </c>
      <c r="AL44" s="360">
        <v>0.82814004088912896</v>
      </c>
      <c r="AM44" s="360">
        <v>0.84557186827289199</v>
      </c>
      <c r="AN44" s="361">
        <v>555109</v>
      </c>
      <c r="AO44" s="362">
        <v>0.81418446065196004</v>
      </c>
      <c r="AP44" s="360">
        <v>0.81768834512697097</v>
      </c>
      <c r="AQ44" s="360">
        <v>0.70675839552189201</v>
      </c>
      <c r="AR44" s="361">
        <v>426782</v>
      </c>
      <c r="AS44" s="362">
        <v>0.83415828111350698</v>
      </c>
      <c r="AT44" s="360">
        <v>0.77918260083320001</v>
      </c>
      <c r="AU44" s="361">
        <v>402939</v>
      </c>
      <c r="AV44" s="107">
        <v>0.52146033566244199</v>
      </c>
      <c r="AW44" s="107">
        <v>0.53553459094710898</v>
      </c>
      <c r="AX44" s="107">
        <v>0.84975251081097702</v>
      </c>
      <c r="AY44" s="106">
        <v>779554</v>
      </c>
      <c r="AZ44" s="362">
        <v>0.76971681693540295</v>
      </c>
      <c r="BA44" s="360">
        <v>0.79846384130144099</v>
      </c>
      <c r="BB44" s="360">
        <v>0.93414714025742396</v>
      </c>
      <c r="BC44" s="361">
        <v>1069500</v>
      </c>
      <c r="BD44" s="360">
        <v>0.83028004034421299</v>
      </c>
      <c r="BE44" s="360">
        <v>0.92426036873380302</v>
      </c>
      <c r="BF44" s="361">
        <v>985992</v>
      </c>
      <c r="BG44" s="9"/>
    </row>
    <row r="45" spans="1:59" s="82" customFormat="1" ht="12" customHeight="1">
      <c r="A45" s="418" t="s">
        <v>1335</v>
      </c>
      <c r="B45" s="360">
        <v>0.82638436005976301</v>
      </c>
      <c r="C45" s="360">
        <v>0.80442887801942997</v>
      </c>
      <c r="D45" s="361">
        <v>475479</v>
      </c>
      <c r="E45" s="362">
        <v>0.52147450728809697</v>
      </c>
      <c r="F45" s="360">
        <v>0.79144776077559797</v>
      </c>
      <c r="G45" s="360">
        <v>0.91394185414334905</v>
      </c>
      <c r="H45" s="361">
        <v>578358</v>
      </c>
      <c r="I45" s="360">
        <v>0.583520789162702</v>
      </c>
      <c r="J45" s="360">
        <v>0.64275927237003605</v>
      </c>
      <c r="K45" s="360">
        <v>0.88165388243951603</v>
      </c>
      <c r="L45" s="361">
        <v>732782</v>
      </c>
      <c r="M45" s="362">
        <v>0.54153054524053301</v>
      </c>
      <c r="N45" s="360">
        <v>0.62563796568589203</v>
      </c>
      <c r="O45" s="360">
        <v>0.84184990158609396</v>
      </c>
      <c r="P45" s="361">
        <v>578358</v>
      </c>
      <c r="Q45" s="362">
        <v>0.62249502451695504</v>
      </c>
      <c r="R45" s="360">
        <v>0.63529863330134795</v>
      </c>
      <c r="S45" s="360">
        <v>0.85964547622319298</v>
      </c>
      <c r="T45" s="361">
        <v>726332</v>
      </c>
      <c r="U45" s="362">
        <v>0.54210510395064104</v>
      </c>
      <c r="V45" s="360">
        <v>0.54731124526344099</v>
      </c>
      <c r="W45" s="360">
        <v>0.87107789953660897</v>
      </c>
      <c r="X45" s="361">
        <v>781005</v>
      </c>
      <c r="Y45" s="362">
        <v>0.51964725865031003</v>
      </c>
      <c r="Z45" s="360">
        <v>0.59289487828773602</v>
      </c>
      <c r="AA45" s="360">
        <v>0.729948512405314</v>
      </c>
      <c r="AB45" s="90">
        <v>351877</v>
      </c>
      <c r="AC45" s="362">
        <v>0.49177261961826502</v>
      </c>
      <c r="AD45" s="360">
        <v>0.52799305745757696</v>
      </c>
      <c r="AE45" s="360">
        <v>0.82260261156791203</v>
      </c>
      <c r="AF45" s="361">
        <v>623625</v>
      </c>
      <c r="AG45" s="362">
        <v>0.82029203291081698</v>
      </c>
      <c r="AH45" s="360">
        <v>0.82119329179182099</v>
      </c>
      <c r="AI45" s="360">
        <v>0.94746667658131101</v>
      </c>
      <c r="AJ45" s="361">
        <v>1111318</v>
      </c>
      <c r="AK45" s="362">
        <v>0.81911244671762795</v>
      </c>
      <c r="AL45" s="360">
        <v>0.81884537993501605</v>
      </c>
      <c r="AM45" s="360">
        <v>0.85533573243872796</v>
      </c>
      <c r="AN45" s="361">
        <v>553750</v>
      </c>
      <c r="AO45" s="362">
        <v>0.80932750289437205</v>
      </c>
      <c r="AP45" s="360">
        <v>0.81145487639339597</v>
      </c>
      <c r="AQ45" s="360">
        <v>0.74144301467792295</v>
      </c>
      <c r="AR45" s="361">
        <v>403558</v>
      </c>
      <c r="AS45" s="362">
        <v>0.80218187612601699</v>
      </c>
      <c r="AT45" s="360">
        <v>0.81644248135589004</v>
      </c>
      <c r="AU45" s="361">
        <v>401722</v>
      </c>
      <c r="AV45" s="107">
        <v>0.51188814116979597</v>
      </c>
      <c r="AW45" s="107">
        <v>0.54301476482307598</v>
      </c>
      <c r="AX45" s="107">
        <v>0.86551403742158695</v>
      </c>
      <c r="AY45" s="106">
        <v>748965</v>
      </c>
      <c r="AZ45" s="362">
        <v>0.76634685162425598</v>
      </c>
      <c r="BA45" s="360">
        <v>0.79474313702699995</v>
      </c>
      <c r="BB45" s="360">
        <v>0.94251302229107503</v>
      </c>
      <c r="BC45" s="361">
        <v>1030198</v>
      </c>
      <c r="BD45" s="360">
        <v>0.83269467033729705</v>
      </c>
      <c r="BE45" s="360">
        <v>0.93177987019028097</v>
      </c>
      <c r="BF45" s="361">
        <v>990250</v>
      </c>
      <c r="BG45" s="9"/>
    </row>
    <row r="46" spans="1:59" s="82" customFormat="1" ht="12" customHeight="1">
      <c r="A46" s="418" t="s">
        <v>1336</v>
      </c>
      <c r="B46" s="360">
        <v>0.80766583977404505</v>
      </c>
      <c r="C46" s="360">
        <v>0.69675010307406404</v>
      </c>
      <c r="D46" s="361">
        <v>467390</v>
      </c>
      <c r="E46" s="362">
        <v>0.51237700008993203</v>
      </c>
      <c r="F46" s="360">
        <v>0.79308060701340599</v>
      </c>
      <c r="G46" s="360">
        <v>0.87962978001824899</v>
      </c>
      <c r="H46" s="361">
        <v>557255</v>
      </c>
      <c r="I46" s="360">
        <v>0.58855004198584104</v>
      </c>
      <c r="J46" s="360">
        <v>0.64608595445746497</v>
      </c>
      <c r="K46" s="360">
        <v>0.86446008247462802</v>
      </c>
      <c r="L46" s="361">
        <v>737031</v>
      </c>
      <c r="M46" s="362">
        <v>0.50976680759389104</v>
      </c>
      <c r="N46" s="360">
        <v>0.62615475575056301</v>
      </c>
      <c r="O46" s="360">
        <v>0.710737016229398</v>
      </c>
      <c r="P46" s="361">
        <v>557255</v>
      </c>
      <c r="Q46" s="362">
        <v>0.62134116659968297</v>
      </c>
      <c r="R46" s="360">
        <v>0.63853416846239996</v>
      </c>
      <c r="S46" s="360">
        <v>0.69563040794104003</v>
      </c>
      <c r="T46" s="361">
        <v>401016</v>
      </c>
      <c r="U46" s="362">
        <v>0.51230861388677695</v>
      </c>
      <c r="V46" s="360">
        <v>0.61716239749733903</v>
      </c>
      <c r="W46" s="360">
        <v>0.76457758268879705</v>
      </c>
      <c r="X46" s="361">
        <v>730381</v>
      </c>
      <c r="Y46" s="362">
        <v>0.51092710969392496</v>
      </c>
      <c r="Z46" s="360">
        <v>0.56538061683674001</v>
      </c>
      <c r="AA46" s="360">
        <v>0.55894995421542304</v>
      </c>
      <c r="AB46" s="90">
        <v>319377</v>
      </c>
      <c r="AC46" s="362">
        <v>0.49346999129674401</v>
      </c>
      <c r="AD46" s="360">
        <v>0.49997080185229498</v>
      </c>
      <c r="AE46" s="360">
        <v>0.72305628128703803</v>
      </c>
      <c r="AF46" s="361">
        <v>601823</v>
      </c>
      <c r="AG46" s="362">
        <v>0.81818939884823705</v>
      </c>
      <c r="AH46" s="360">
        <v>0.81856143160736194</v>
      </c>
      <c r="AI46" s="360">
        <v>0.92211113606962403</v>
      </c>
      <c r="AJ46" s="361">
        <v>1118291</v>
      </c>
      <c r="AK46" s="362">
        <v>0.82271608828702303</v>
      </c>
      <c r="AL46" s="360">
        <v>0.82228059834643796</v>
      </c>
      <c r="AM46" s="360">
        <v>0.820498185407874</v>
      </c>
      <c r="AN46" s="361">
        <v>555368</v>
      </c>
      <c r="AO46" s="362">
        <v>0.80643101553667296</v>
      </c>
      <c r="AP46" s="360">
        <v>0.81004356214325401</v>
      </c>
      <c r="AQ46" s="360">
        <v>0.66239864619403799</v>
      </c>
      <c r="AR46" s="361">
        <v>406075</v>
      </c>
      <c r="AS46" s="362">
        <v>0.83147026919988698</v>
      </c>
      <c r="AT46" s="360">
        <v>0.74956984265493198</v>
      </c>
      <c r="AU46" s="361">
        <v>387712</v>
      </c>
      <c r="AV46" s="107">
        <v>0.50688673356965397</v>
      </c>
      <c r="AW46" s="107">
        <v>0.55762740026018798</v>
      </c>
      <c r="AX46" s="107">
        <v>0.790533199050798</v>
      </c>
      <c r="AY46" s="106">
        <v>694821</v>
      </c>
      <c r="AZ46" s="362">
        <v>0.75783967292982002</v>
      </c>
      <c r="BA46" s="360">
        <v>0.78161249649530795</v>
      </c>
      <c r="BB46" s="360">
        <v>0.90836090742534203</v>
      </c>
      <c r="BC46" s="361">
        <v>434580</v>
      </c>
      <c r="BD46" s="360">
        <v>0.82291769150362204</v>
      </c>
      <c r="BE46" s="360">
        <v>0.89830816618293197</v>
      </c>
      <c r="BF46" s="361">
        <v>953102</v>
      </c>
      <c r="BG46" s="9"/>
    </row>
    <row r="47" spans="1:59" s="82" customFormat="1" ht="12" customHeight="1">
      <c r="A47" s="418" t="s">
        <v>1337</v>
      </c>
      <c r="B47" s="360">
        <v>0.82943115471342899</v>
      </c>
      <c r="C47" s="360">
        <v>0.72705271005540295</v>
      </c>
      <c r="D47" s="361">
        <v>476651</v>
      </c>
      <c r="E47" s="362">
        <v>0.51186985768896498</v>
      </c>
      <c r="F47" s="360">
        <v>0.79597434750489404</v>
      </c>
      <c r="G47" s="360">
        <v>0.89050438827481104</v>
      </c>
      <c r="H47" s="361">
        <v>579586</v>
      </c>
      <c r="I47" s="360">
        <v>0.58542019737440099</v>
      </c>
      <c r="J47" s="360">
        <v>0.64128195216302497</v>
      </c>
      <c r="K47" s="360">
        <v>0.87376336397042997</v>
      </c>
      <c r="L47" s="361">
        <v>736724</v>
      </c>
      <c r="M47" s="362">
        <v>0.52840683853021297</v>
      </c>
      <c r="N47" s="360">
        <v>0.65172264575152905</v>
      </c>
      <c r="O47" s="360">
        <v>0.781168679032614</v>
      </c>
      <c r="P47" s="361">
        <v>579586</v>
      </c>
      <c r="Q47" s="362">
        <v>0.61014347120782897</v>
      </c>
      <c r="R47" s="360">
        <v>0.64245964430858804</v>
      </c>
      <c r="S47" s="360">
        <v>0.80878098146249899</v>
      </c>
      <c r="T47" s="361">
        <v>727358</v>
      </c>
      <c r="U47" s="362">
        <v>0.49976669397415002</v>
      </c>
      <c r="V47" s="360">
        <v>0.68576653793372899</v>
      </c>
      <c r="W47" s="360">
        <v>0.80611863572393905</v>
      </c>
      <c r="X47" s="361">
        <v>779788</v>
      </c>
      <c r="Y47" s="362">
        <v>0.51227814398848104</v>
      </c>
      <c r="Z47" s="360">
        <v>0.57941269851139798</v>
      </c>
      <c r="AA47" s="360">
        <v>0.64414672845083398</v>
      </c>
      <c r="AB47" s="90">
        <v>347780</v>
      </c>
      <c r="AC47" s="362">
        <v>0.51469328489863997</v>
      </c>
      <c r="AD47" s="360">
        <v>0.51141334177926301</v>
      </c>
      <c r="AE47" s="360">
        <v>0.78296662303929498</v>
      </c>
      <c r="AF47" s="361">
        <v>624654</v>
      </c>
      <c r="AG47" s="362">
        <v>0.81632203573020001</v>
      </c>
      <c r="AH47" s="360">
        <v>0.81728750798308503</v>
      </c>
      <c r="AI47" s="360">
        <v>0.94154453492555401</v>
      </c>
      <c r="AJ47" s="361">
        <v>1118186</v>
      </c>
      <c r="AK47" s="362">
        <v>0.820071454382027</v>
      </c>
      <c r="AL47" s="360">
        <v>0.82045921632194596</v>
      </c>
      <c r="AM47" s="360">
        <v>0.82494910738899996</v>
      </c>
      <c r="AN47" s="361">
        <v>555255</v>
      </c>
      <c r="AO47" s="362">
        <v>0.80199434290631699</v>
      </c>
      <c r="AP47" s="360">
        <v>0.802766851965249</v>
      </c>
      <c r="AQ47" s="360">
        <v>0.65750341129175804</v>
      </c>
      <c r="AR47" s="361">
        <v>405464</v>
      </c>
      <c r="AS47" s="362">
        <v>0.81685457523675198</v>
      </c>
      <c r="AT47" s="360">
        <v>0.75524439039393099</v>
      </c>
      <c r="AU47" s="361">
        <v>401503</v>
      </c>
      <c r="AV47" s="107">
        <v>0.545202559654689</v>
      </c>
      <c r="AW47" s="107">
        <v>0.51450235603866601</v>
      </c>
      <c r="AX47" s="107">
        <v>0.82983583962051599</v>
      </c>
      <c r="AY47" s="106">
        <v>744763</v>
      </c>
      <c r="AZ47" s="362">
        <v>0.76243259652133699</v>
      </c>
      <c r="BA47" s="360">
        <v>0.78750334742180295</v>
      </c>
      <c r="BB47" s="360">
        <v>0.91514625111899595</v>
      </c>
      <c r="BC47" s="361">
        <v>995530</v>
      </c>
      <c r="BD47" s="360">
        <v>0.821786922738454</v>
      </c>
      <c r="BE47" s="360">
        <v>0.920915472833712</v>
      </c>
      <c r="BF47" s="361">
        <v>992691</v>
      </c>
      <c r="BG47" s="9"/>
    </row>
    <row r="48" spans="1:59" s="82" customFormat="1" ht="12" customHeight="1">
      <c r="A48" s="418" t="s">
        <v>1338</v>
      </c>
      <c r="B48" s="360">
        <v>0.81083823849396197</v>
      </c>
      <c r="C48" s="360">
        <v>0.78310335017885102</v>
      </c>
      <c r="D48" s="361">
        <v>466444</v>
      </c>
      <c r="E48" s="362">
        <v>0.50724562373726201</v>
      </c>
      <c r="F48" s="360">
        <v>0.78685840253122197</v>
      </c>
      <c r="G48" s="360">
        <v>0.91246526785459603</v>
      </c>
      <c r="H48" s="361">
        <v>567550</v>
      </c>
      <c r="I48" s="360">
        <v>0.58470702660604601</v>
      </c>
      <c r="J48" s="360">
        <v>0.64186533452494698</v>
      </c>
      <c r="K48" s="360">
        <v>0.87670950981413798</v>
      </c>
      <c r="L48" s="361">
        <v>694644</v>
      </c>
      <c r="M48" s="362">
        <v>0.50384221878236601</v>
      </c>
      <c r="N48" s="360">
        <v>0.64785419807620703</v>
      </c>
      <c r="O48" s="360">
        <v>0.83193935316866496</v>
      </c>
      <c r="P48" s="361">
        <v>567550</v>
      </c>
      <c r="Q48" s="362">
        <v>0.61657239012644904</v>
      </c>
      <c r="R48" s="360">
        <v>0.64603477987786995</v>
      </c>
      <c r="S48" s="360">
        <v>0.857419535924556</v>
      </c>
      <c r="T48" s="361">
        <v>709044</v>
      </c>
      <c r="U48" s="362">
        <v>0.53926135030602396</v>
      </c>
      <c r="V48" s="360">
        <v>0.65982181242205895</v>
      </c>
      <c r="W48" s="360">
        <v>0.82667171718805998</v>
      </c>
      <c r="X48" s="361">
        <v>713319</v>
      </c>
      <c r="Y48" s="362">
        <v>0.50771947141264595</v>
      </c>
      <c r="Z48" s="360">
        <v>0.57447181564795502</v>
      </c>
      <c r="AA48" s="360">
        <v>0.66159476530630701</v>
      </c>
      <c r="AB48" s="90">
        <v>294411</v>
      </c>
      <c r="AC48" s="362">
        <v>0.50787719602928405</v>
      </c>
      <c r="AD48" s="360">
        <v>0.54221347447671098</v>
      </c>
      <c r="AE48" s="360">
        <v>0.82540212420009296</v>
      </c>
      <c r="AF48" s="361">
        <v>608887</v>
      </c>
      <c r="AG48" s="362">
        <v>0.82532113857067602</v>
      </c>
      <c r="AH48" s="360">
        <v>0.82507515325691205</v>
      </c>
      <c r="AI48" s="360">
        <v>0.95303418317501498</v>
      </c>
      <c r="AJ48" s="361">
        <v>1079624</v>
      </c>
      <c r="AK48" s="362">
        <v>0.81686840073632005</v>
      </c>
      <c r="AL48" s="360">
        <v>0.81768805596240501</v>
      </c>
      <c r="AM48" s="360">
        <v>0.84943430540586096</v>
      </c>
      <c r="AN48" s="361">
        <v>535047</v>
      </c>
      <c r="AO48" s="362">
        <v>0.81926168107020203</v>
      </c>
      <c r="AP48" s="360">
        <v>0.82294707198916395</v>
      </c>
      <c r="AQ48" s="360">
        <v>0.68904423161413897</v>
      </c>
      <c r="AR48" s="361">
        <v>347848</v>
      </c>
      <c r="AS48" s="362">
        <v>0.78916682445462805</v>
      </c>
      <c r="AT48" s="360">
        <v>0.82490022675665398</v>
      </c>
      <c r="AU48" s="361">
        <v>388647</v>
      </c>
      <c r="AV48" s="107">
        <v>0.51776884337236795</v>
      </c>
      <c r="AW48" s="107">
        <v>0.49718909975367298</v>
      </c>
      <c r="AX48" s="107">
        <v>0.82892532105977601</v>
      </c>
      <c r="AY48" s="106">
        <v>666049</v>
      </c>
      <c r="AZ48" s="362">
        <v>0.763272432501653</v>
      </c>
      <c r="BA48" s="360">
        <v>0.78865019407876502</v>
      </c>
      <c r="BB48" s="360">
        <v>0.93882409438772196</v>
      </c>
      <c r="BC48" s="361">
        <v>923429</v>
      </c>
      <c r="BD48" s="360">
        <v>0.821161222818655</v>
      </c>
      <c r="BE48" s="360">
        <v>0.93525232877323095</v>
      </c>
      <c r="BF48" s="361">
        <v>965212</v>
      </c>
      <c r="BG48" s="9"/>
    </row>
    <row r="49" spans="1:59" s="82" customFormat="1" ht="12" customHeight="1">
      <c r="A49" s="418" t="s">
        <v>1339</v>
      </c>
      <c r="B49" s="360">
        <v>0.83079164032872799</v>
      </c>
      <c r="C49" s="360">
        <v>0.79402787414840703</v>
      </c>
      <c r="D49" s="361">
        <v>475493</v>
      </c>
      <c r="E49" s="362">
        <v>0.52121749876123202</v>
      </c>
      <c r="F49" s="360">
        <v>0.78958526056242095</v>
      </c>
      <c r="G49" s="360">
        <v>0.91270254650691496</v>
      </c>
      <c r="H49" s="361">
        <v>578382</v>
      </c>
      <c r="I49" s="360">
        <v>0.59226715967191601</v>
      </c>
      <c r="J49" s="360">
        <v>0.64464356814704704</v>
      </c>
      <c r="K49" s="360">
        <v>0.87883339862047205</v>
      </c>
      <c r="L49" s="361">
        <v>732823</v>
      </c>
      <c r="M49" s="362">
        <v>0.56314131088660901</v>
      </c>
      <c r="N49" s="360">
        <v>0.630855135470616</v>
      </c>
      <c r="O49" s="360">
        <v>0.83271525140802105</v>
      </c>
      <c r="P49" s="361">
        <v>578382</v>
      </c>
      <c r="Q49" s="362">
        <v>0.61511576800257195</v>
      </c>
      <c r="R49" s="360">
        <v>0.63424824456432205</v>
      </c>
      <c r="S49" s="360">
        <v>0.85888334521295195</v>
      </c>
      <c r="T49" s="361">
        <v>726369</v>
      </c>
      <c r="U49" s="362">
        <v>0.47955918605730502</v>
      </c>
      <c r="V49" s="360">
        <v>0.68373768732387397</v>
      </c>
      <c r="W49" s="360">
        <v>0.86946495367573695</v>
      </c>
      <c r="X49" s="361">
        <v>781100</v>
      </c>
      <c r="Y49" s="362">
        <v>0.52262417624042101</v>
      </c>
      <c r="Z49" s="360">
        <v>0.58066134841003203</v>
      </c>
      <c r="AA49" s="360">
        <v>0.73395704499976999</v>
      </c>
      <c r="AB49" s="90">
        <v>351967</v>
      </c>
      <c r="AC49" s="362">
        <v>0.49604712676982698</v>
      </c>
      <c r="AD49" s="360">
        <v>0.52714824929442206</v>
      </c>
      <c r="AE49" s="360">
        <v>0.81655154147382003</v>
      </c>
      <c r="AF49" s="361">
        <v>623633</v>
      </c>
      <c r="AG49" s="362">
        <v>0.82670170419793298</v>
      </c>
      <c r="AH49" s="360">
        <v>0.82669022817930404</v>
      </c>
      <c r="AI49" s="360">
        <v>0.943722782692898</v>
      </c>
      <c r="AJ49" s="361">
        <v>1111364</v>
      </c>
      <c r="AK49" s="362">
        <v>0.81430170603071605</v>
      </c>
      <c r="AL49" s="360">
        <v>0.81354401032418699</v>
      </c>
      <c r="AM49" s="360">
        <v>0.85332780044589696</v>
      </c>
      <c r="AN49" s="361">
        <v>553775</v>
      </c>
      <c r="AO49" s="362">
        <v>0.80615453970566298</v>
      </c>
      <c r="AP49" s="360">
        <v>0.80999212404410004</v>
      </c>
      <c r="AQ49" s="360">
        <v>0.72708089343276205</v>
      </c>
      <c r="AR49" s="361">
        <v>403653</v>
      </c>
      <c r="AS49" s="362">
        <v>0.83630625178905504</v>
      </c>
      <c r="AT49" s="360">
        <v>0.81311246966676498</v>
      </c>
      <c r="AU49" s="361">
        <v>401744</v>
      </c>
      <c r="AV49" s="107">
        <v>0.47355407726112497</v>
      </c>
      <c r="AW49" s="107">
        <v>0.51867557121882402</v>
      </c>
      <c r="AX49" s="107">
        <v>0.85398548854601597</v>
      </c>
      <c r="AY49" s="106">
        <v>749101</v>
      </c>
      <c r="AZ49" s="362">
        <v>0.76294765176710799</v>
      </c>
      <c r="BA49" s="360">
        <v>0.78814793830288798</v>
      </c>
      <c r="BB49" s="360">
        <v>0.93838659217782505</v>
      </c>
      <c r="BC49" s="361">
        <v>1030369</v>
      </c>
      <c r="BD49" s="360">
        <v>0.81706030145763697</v>
      </c>
      <c r="BE49" s="360">
        <v>0.93260251529358895</v>
      </c>
      <c r="BF49" s="361">
        <v>990283</v>
      </c>
      <c r="BG49" s="9"/>
    </row>
    <row r="50" spans="1:59" s="82" customFormat="1" ht="12" customHeight="1">
      <c r="A50" s="418" t="s">
        <v>1340</v>
      </c>
      <c r="B50" s="360">
        <v>0.82095511113261599</v>
      </c>
      <c r="C50" s="360">
        <v>0.69753054646475798</v>
      </c>
      <c r="D50" s="361">
        <v>477713</v>
      </c>
      <c r="E50" s="362">
        <v>0.51139964679890504</v>
      </c>
      <c r="F50" s="360">
        <v>0.79346844267354799</v>
      </c>
      <c r="G50" s="360">
        <v>0.86474980183498396</v>
      </c>
      <c r="H50" s="361">
        <v>581807</v>
      </c>
      <c r="I50" s="360">
        <v>0.58370557567858306</v>
      </c>
      <c r="J50" s="360">
        <v>0.64154764845505696</v>
      </c>
      <c r="K50" s="360">
        <v>0.84619615064440001</v>
      </c>
      <c r="L50" s="361">
        <v>736582</v>
      </c>
      <c r="M50" s="362">
        <v>0.53421354174693203</v>
      </c>
      <c r="N50" s="360">
        <v>0.63771733866281399</v>
      </c>
      <c r="O50" s="360">
        <v>0.68883301796275498</v>
      </c>
      <c r="P50" s="361">
        <v>581807</v>
      </c>
      <c r="Q50" s="362">
        <v>0.62997617379205395</v>
      </c>
      <c r="R50" s="360">
        <v>0.64361654418363901</v>
      </c>
      <c r="S50" s="360">
        <v>0.73816045875775704</v>
      </c>
      <c r="T50" s="361">
        <v>730701</v>
      </c>
      <c r="U50" s="362">
        <v>0.565201558192023</v>
      </c>
      <c r="V50" s="360">
        <v>0.66010807578632202</v>
      </c>
      <c r="W50" s="360">
        <v>0.79159243842049598</v>
      </c>
      <c r="X50" s="361">
        <v>787104</v>
      </c>
      <c r="Y50" s="362">
        <v>0.50324265804469204</v>
      </c>
      <c r="Z50" s="360">
        <v>0.58759572377845504</v>
      </c>
      <c r="AA50" s="360">
        <v>0.56997593660925805</v>
      </c>
      <c r="AB50" s="90">
        <v>354182</v>
      </c>
      <c r="AC50" s="362">
        <v>0.51116144376207995</v>
      </c>
      <c r="AD50" s="360">
        <v>0.53870784855319798</v>
      </c>
      <c r="AE50" s="360">
        <v>0.72202807133906399</v>
      </c>
      <c r="AF50" s="361">
        <v>626078</v>
      </c>
      <c r="AG50" s="362">
        <v>0.81414560110023904</v>
      </c>
      <c r="AH50" s="360">
        <v>0.81387936331537802</v>
      </c>
      <c r="AI50" s="360">
        <v>0.89212231290802202</v>
      </c>
      <c r="AJ50" s="361">
        <v>1118560</v>
      </c>
      <c r="AK50" s="362">
        <v>0.81131297509190703</v>
      </c>
      <c r="AL50" s="360">
        <v>0.81165561339369197</v>
      </c>
      <c r="AM50" s="360">
        <v>0.76494360211920798</v>
      </c>
      <c r="AN50" s="361">
        <v>555422</v>
      </c>
      <c r="AO50" s="362">
        <v>0.81012458409049604</v>
      </c>
      <c r="AP50" s="360">
        <v>0.81128080396059199</v>
      </c>
      <c r="AQ50" s="360">
        <v>0.613699681350798</v>
      </c>
      <c r="AR50" s="361">
        <v>405855</v>
      </c>
      <c r="AS50" s="362">
        <v>0.810368887367799</v>
      </c>
      <c r="AT50" s="360">
        <v>0.66378050654117404</v>
      </c>
      <c r="AU50" s="361">
        <v>402929</v>
      </c>
      <c r="AV50" s="107">
        <v>0.49155228226967601</v>
      </c>
      <c r="AW50" s="107">
        <v>0.49172178495854102</v>
      </c>
      <c r="AX50" s="107">
        <v>0.79856753941980796</v>
      </c>
      <c r="AY50" s="106">
        <v>753727</v>
      </c>
      <c r="AZ50" s="362">
        <v>0.75190558784079797</v>
      </c>
      <c r="BA50" s="360">
        <v>0.78032616610827199</v>
      </c>
      <c r="BB50" s="360">
        <v>0.85403837545699202</v>
      </c>
      <c r="BC50" s="361">
        <v>1035297</v>
      </c>
      <c r="BD50" s="360">
        <v>0.81775442091182504</v>
      </c>
      <c r="BE50" s="360">
        <v>0.88388907361467195</v>
      </c>
      <c r="BF50" s="361">
        <v>996070</v>
      </c>
      <c r="BG50" s="9"/>
    </row>
    <row r="51" spans="1:59" s="82" customFormat="1" ht="12" customHeight="1">
      <c r="A51" s="418" t="s">
        <v>1341</v>
      </c>
      <c r="B51" s="360">
        <v>0.83725060348364599</v>
      </c>
      <c r="C51" s="360">
        <v>0.85102441433300402</v>
      </c>
      <c r="D51" s="361">
        <v>285170</v>
      </c>
      <c r="E51" s="362">
        <v>0.52288081045387302</v>
      </c>
      <c r="F51" s="360">
        <v>0.81480588963025302</v>
      </c>
      <c r="G51" s="360">
        <v>0.95739063222251797</v>
      </c>
      <c r="H51" s="361">
        <v>351271</v>
      </c>
      <c r="I51" s="360">
        <v>0.58219116614081801</v>
      </c>
      <c r="J51" s="360">
        <v>0.64269260994556898</v>
      </c>
      <c r="K51" s="360">
        <v>0.87057356513490003</v>
      </c>
      <c r="L51" s="361">
        <v>763120</v>
      </c>
      <c r="M51" s="362">
        <v>0.51902951056668001</v>
      </c>
      <c r="N51" s="360">
        <v>0.60525795417176198</v>
      </c>
      <c r="O51" s="360">
        <v>0.900296782253175</v>
      </c>
      <c r="P51" s="361">
        <v>351271</v>
      </c>
      <c r="Q51" s="362">
        <v>0.61287247695208102</v>
      </c>
      <c r="R51" s="360">
        <v>0.64444843755307502</v>
      </c>
      <c r="S51" s="360">
        <v>0.92012561479858301</v>
      </c>
      <c r="T51" s="361">
        <v>399896</v>
      </c>
      <c r="U51" s="362">
        <v>0.39624382781327899</v>
      </c>
      <c r="V51" s="360">
        <v>0.65496468835371602</v>
      </c>
      <c r="W51" s="360">
        <v>0.83872214378436605</v>
      </c>
      <c r="X51" s="361">
        <v>322572</v>
      </c>
      <c r="Y51" s="362">
        <v>0.514977028030559</v>
      </c>
      <c r="Z51" s="360">
        <v>0.57100993228097496</v>
      </c>
      <c r="AA51" s="360">
        <v>0.73279703742402802</v>
      </c>
      <c r="AB51" s="90">
        <v>151166</v>
      </c>
      <c r="AC51" s="362">
        <v>0.52818961319120195</v>
      </c>
      <c r="AD51" s="360">
        <v>0.50885249972773505</v>
      </c>
      <c r="AE51" s="360">
        <v>0.81751161259356298</v>
      </c>
      <c r="AF51" s="361">
        <v>626797</v>
      </c>
      <c r="AG51" s="362">
        <v>0.82340796117671899</v>
      </c>
      <c r="AH51" s="360">
        <v>0.82399982213175005</v>
      </c>
      <c r="AI51" s="360">
        <v>0.93428968886293196</v>
      </c>
      <c r="AJ51" s="361">
        <v>1120320</v>
      </c>
      <c r="AK51" s="362">
        <v>0.81653439721308696</v>
      </c>
      <c r="AL51" s="360">
        <v>0.81759077016399895</v>
      </c>
      <c r="AM51" s="360">
        <v>0.84541608749630004</v>
      </c>
      <c r="AN51" s="361">
        <v>564814</v>
      </c>
      <c r="AO51" s="362">
        <v>0.82415014519065499</v>
      </c>
      <c r="AP51" s="360">
        <v>0.82621457160001999</v>
      </c>
      <c r="AQ51" s="360">
        <v>0.73816033834961403</v>
      </c>
      <c r="AR51" s="361">
        <v>474644</v>
      </c>
      <c r="AS51" s="362">
        <v>0.85060290365084401</v>
      </c>
      <c r="AT51" s="360">
        <v>0.84898170436401998</v>
      </c>
      <c r="AU51" s="361">
        <v>220654</v>
      </c>
      <c r="AV51" s="107">
        <v>0.50459018802058897</v>
      </c>
      <c r="AW51" s="107">
        <v>0.522329828312453</v>
      </c>
      <c r="AX51" s="107">
        <v>0.84938067504645898</v>
      </c>
      <c r="AY51" s="106">
        <v>308570</v>
      </c>
      <c r="AZ51" s="362">
        <v>0.76097537049936403</v>
      </c>
      <c r="BA51" s="360">
        <v>0.78724060625404102</v>
      </c>
      <c r="BB51" s="360">
        <v>0.94002461991979003</v>
      </c>
      <c r="BC51" s="361">
        <v>1175457</v>
      </c>
      <c r="BD51" s="360">
        <v>0.824163882780375</v>
      </c>
      <c r="BE51" s="360">
        <v>0.96863651473196599</v>
      </c>
      <c r="BF51" s="361">
        <v>529205</v>
      </c>
      <c r="BG51" s="9"/>
    </row>
    <row r="52" spans="1:59" s="82" customFormat="1" ht="12" customHeight="1">
      <c r="A52" s="418" t="s">
        <v>1342</v>
      </c>
      <c r="B52" s="360">
        <v>0.82781945989235495</v>
      </c>
      <c r="C52" s="360">
        <v>0.83643785228443501</v>
      </c>
      <c r="D52" s="361">
        <v>442724</v>
      </c>
      <c r="E52" s="362">
        <v>0.513475453662533</v>
      </c>
      <c r="F52" s="360">
        <v>0.79762027449069095</v>
      </c>
      <c r="G52" s="360">
        <v>0.91582823186282702</v>
      </c>
      <c r="H52" s="361">
        <v>491808</v>
      </c>
      <c r="I52" s="360">
        <v>0.58762405124412398</v>
      </c>
      <c r="J52" s="360">
        <v>0.647969822653086</v>
      </c>
      <c r="K52" s="360">
        <v>0.88556791097398702</v>
      </c>
      <c r="L52" s="361">
        <v>737059</v>
      </c>
      <c r="M52" s="362">
        <v>0.54372101029689401</v>
      </c>
      <c r="N52" s="360">
        <v>0.65226357657983702</v>
      </c>
      <c r="O52" s="360">
        <v>0.85780128261917099</v>
      </c>
      <c r="P52" s="361">
        <v>491808</v>
      </c>
      <c r="Q52" s="362">
        <v>0.62401339496060204</v>
      </c>
      <c r="R52" s="360">
        <v>0.63142225327721502</v>
      </c>
      <c r="S52" s="360">
        <v>0.87047558984278495</v>
      </c>
      <c r="T52" s="361">
        <v>603076</v>
      </c>
      <c r="U52" s="362">
        <v>0.54724239617005499</v>
      </c>
      <c r="V52" s="360">
        <v>0.618706516528301</v>
      </c>
      <c r="W52" s="360">
        <v>0.85093050721086505</v>
      </c>
      <c r="X52" s="361">
        <v>594496</v>
      </c>
      <c r="Y52" s="362">
        <v>0.52392383290206301</v>
      </c>
      <c r="Z52" s="360">
        <v>0.58420759013039703</v>
      </c>
      <c r="AA52" s="360">
        <v>0.69744639847359702</v>
      </c>
      <c r="AB52" s="90">
        <v>218789</v>
      </c>
      <c r="AC52" s="362">
        <v>0.49255596872880802</v>
      </c>
      <c r="AD52" s="360">
        <v>0.52627734544850302</v>
      </c>
      <c r="AE52" s="360">
        <v>0.82855512105945095</v>
      </c>
      <c r="AF52" s="361">
        <v>625820</v>
      </c>
      <c r="AG52" s="362">
        <v>0.82032303187583</v>
      </c>
      <c r="AH52" s="360">
        <v>0.82186514097391095</v>
      </c>
      <c r="AI52" s="360">
        <v>0.94760682550799202</v>
      </c>
      <c r="AJ52" s="361">
        <v>1118335</v>
      </c>
      <c r="AK52" s="362">
        <v>0.81660665252341902</v>
      </c>
      <c r="AL52" s="360">
        <v>0.81607763923380805</v>
      </c>
      <c r="AM52" s="360">
        <v>0.86228585221571197</v>
      </c>
      <c r="AN52" s="361">
        <v>555383</v>
      </c>
      <c r="AO52" s="362">
        <v>0.81603391938616898</v>
      </c>
      <c r="AP52" s="360">
        <v>0.81734690783750896</v>
      </c>
      <c r="AQ52" s="360">
        <v>0.74207041522458905</v>
      </c>
      <c r="AR52" s="361">
        <v>406081</v>
      </c>
      <c r="AS52" s="362">
        <v>0.82064445860662105</v>
      </c>
      <c r="AT52" s="360">
        <v>0.83247418815440399</v>
      </c>
      <c r="AU52" s="361">
        <v>365896</v>
      </c>
      <c r="AV52" s="107">
        <v>0.49656094872376699</v>
      </c>
      <c r="AW52" s="107">
        <v>0.54078772936528396</v>
      </c>
      <c r="AX52" s="107">
        <v>0.86187032785073903</v>
      </c>
      <c r="AY52" s="106">
        <v>548049</v>
      </c>
      <c r="AZ52" s="362">
        <v>0.76450131369876295</v>
      </c>
      <c r="BA52" s="360">
        <v>0.79506945177884802</v>
      </c>
      <c r="BB52" s="360">
        <v>0.95165458011249604</v>
      </c>
      <c r="BC52" s="361">
        <v>840209</v>
      </c>
      <c r="BD52" s="360">
        <v>0.82001272537751602</v>
      </c>
      <c r="BE52" s="360">
        <v>0.95340453247730605</v>
      </c>
      <c r="BF52" s="361">
        <v>872682</v>
      </c>
      <c r="BG52" s="9"/>
    </row>
    <row r="53" spans="1:59" s="82" customFormat="1" ht="12" customHeight="1">
      <c r="A53" s="418" t="s">
        <v>1343</v>
      </c>
      <c r="B53" s="360">
        <v>0.84401462047977505</v>
      </c>
      <c r="C53" s="360">
        <v>0.88177758247068505</v>
      </c>
      <c r="D53" s="361">
        <v>277420</v>
      </c>
      <c r="E53" s="362">
        <v>0.51319177106541403</v>
      </c>
      <c r="F53" s="360">
        <v>0.80397023302040804</v>
      </c>
      <c r="G53" s="360">
        <v>0.96862348523782704</v>
      </c>
      <c r="H53" s="361">
        <v>338039</v>
      </c>
      <c r="I53" s="360">
        <v>0.58425460915945604</v>
      </c>
      <c r="J53" s="360">
        <v>0.642031634898514</v>
      </c>
      <c r="K53" s="360">
        <v>0.89698479057511504</v>
      </c>
      <c r="L53" s="361">
        <v>722825</v>
      </c>
      <c r="M53" s="362">
        <v>0.50919437646713195</v>
      </c>
      <c r="N53" s="360">
        <v>0.64220528655277198</v>
      </c>
      <c r="O53" s="360">
        <v>0.91454733306988101</v>
      </c>
      <c r="P53" s="361">
        <v>338039</v>
      </c>
      <c r="Q53" s="362">
        <v>0.60694564752247204</v>
      </c>
      <c r="R53" s="360">
        <v>0.63000471855011897</v>
      </c>
      <c r="S53" s="360">
        <v>0.92442163665045896</v>
      </c>
      <c r="T53" s="361">
        <v>383848</v>
      </c>
      <c r="U53" s="362">
        <v>0.48144611145236199</v>
      </c>
      <c r="V53" s="360">
        <v>0.71118175322020305</v>
      </c>
      <c r="W53" s="360">
        <v>0.88181474531757198</v>
      </c>
      <c r="X53" s="361">
        <v>302934</v>
      </c>
      <c r="Y53" s="362">
        <v>0.49828346586384697</v>
      </c>
      <c r="Z53" s="360">
        <v>0.58587739427063001</v>
      </c>
      <c r="AA53" s="360">
        <v>0.73837499364158898</v>
      </c>
      <c r="AB53" s="90">
        <v>134374</v>
      </c>
      <c r="AC53" s="362">
        <v>0.52569462951312396</v>
      </c>
      <c r="AD53" s="360">
        <v>0.55207775321713604</v>
      </c>
      <c r="AE53" s="360">
        <v>0.90928765178499205</v>
      </c>
      <c r="AF53" s="361">
        <v>350414</v>
      </c>
      <c r="AG53" s="362">
        <v>0.81853855489037397</v>
      </c>
      <c r="AH53" s="360">
        <v>0.81911054719856402</v>
      </c>
      <c r="AI53" s="360">
        <v>0.984212123119941</v>
      </c>
      <c r="AJ53" s="361">
        <v>544560</v>
      </c>
      <c r="AK53" s="362">
        <v>0.81243251853861898</v>
      </c>
      <c r="AL53" s="360">
        <v>0.81173992610772605</v>
      </c>
      <c r="AM53" s="360">
        <v>0.90081172477874905</v>
      </c>
      <c r="AN53" s="361">
        <v>281908</v>
      </c>
      <c r="AO53" s="362">
        <v>0.817265298479256</v>
      </c>
      <c r="AP53" s="360">
        <v>0.82065661858222905</v>
      </c>
      <c r="AQ53" s="360">
        <v>0.75572027380815199</v>
      </c>
      <c r="AR53" s="361">
        <v>153835</v>
      </c>
      <c r="AS53" s="362">
        <v>0.815726658401983</v>
      </c>
      <c r="AT53" s="360">
        <v>0.84805730808647595</v>
      </c>
      <c r="AU53" s="361">
        <v>215803</v>
      </c>
      <c r="AV53" s="107">
        <v>0.51981642829118802</v>
      </c>
      <c r="AW53" s="107">
        <v>0.54690792114644005</v>
      </c>
      <c r="AX53" s="107">
        <v>0.86550714333393997</v>
      </c>
      <c r="AY53" s="106">
        <v>285894</v>
      </c>
      <c r="AZ53" s="362">
        <v>0.76576095825797297</v>
      </c>
      <c r="BA53" s="360">
        <v>0.79493867975371801</v>
      </c>
      <c r="BB53" s="360">
        <v>0.94993853630512204</v>
      </c>
      <c r="BC53" s="361">
        <v>413212</v>
      </c>
      <c r="BD53" s="360">
        <v>0.83784304014437805</v>
      </c>
      <c r="BE53" s="360">
        <v>0.97748025419525597</v>
      </c>
      <c r="BF53" s="361">
        <v>509999</v>
      </c>
      <c r="BG53" s="9"/>
    </row>
    <row r="54" spans="1:59" s="82" customFormat="1" ht="12" customHeight="1">
      <c r="A54" s="418" t="s">
        <v>1344</v>
      </c>
      <c r="B54" s="360">
        <v>0.83341869254489997</v>
      </c>
      <c r="C54" s="360">
        <v>0.42318318450315101</v>
      </c>
      <c r="D54" s="361">
        <v>475707</v>
      </c>
      <c r="E54" s="362">
        <v>0.49521269768843101</v>
      </c>
      <c r="F54" s="360">
        <v>0.756735699936537</v>
      </c>
      <c r="G54" s="360">
        <v>0.65458702158891602</v>
      </c>
      <c r="H54" s="361">
        <v>578602</v>
      </c>
      <c r="I54" s="360">
        <v>0.58284789612223598</v>
      </c>
      <c r="J54" s="360">
        <v>0.62831686748690196</v>
      </c>
      <c r="K54" s="360">
        <v>0.69380452359596601</v>
      </c>
      <c r="L54" s="361">
        <v>752027</v>
      </c>
      <c r="M54" s="362">
        <v>0.51647295937904203</v>
      </c>
      <c r="N54" s="360">
        <v>0.65252177713705095</v>
      </c>
      <c r="O54" s="360">
        <v>0.42803701659724303</v>
      </c>
      <c r="P54" s="361">
        <v>578602</v>
      </c>
      <c r="Q54" s="362">
        <v>0.62938695498768604</v>
      </c>
      <c r="R54" s="360">
        <v>0.65382542510209296</v>
      </c>
      <c r="S54" s="360">
        <v>0.31070949137702197</v>
      </c>
      <c r="T54" s="361">
        <v>726367</v>
      </c>
      <c r="U54" s="362">
        <v>0.53085804739081699</v>
      </c>
      <c r="V54" s="360">
        <v>0.57396361232909698</v>
      </c>
      <c r="W54" s="360">
        <v>0.60732737247935997</v>
      </c>
      <c r="X54" s="361">
        <v>824183</v>
      </c>
      <c r="Y54" s="362">
        <v>0.52218225871374702</v>
      </c>
      <c r="Z54" s="360">
        <v>0.57176292811897</v>
      </c>
      <c r="AA54" s="360">
        <v>0.52434442219779498</v>
      </c>
      <c r="AB54" s="90">
        <v>405249</v>
      </c>
      <c r="AC54" s="362">
        <v>0.51291740057450697</v>
      </c>
      <c r="AD54" s="360">
        <v>0.55230662387957197</v>
      </c>
      <c r="AE54" s="360">
        <v>0.35236819281741899</v>
      </c>
      <c r="AF54" s="361">
        <v>623206</v>
      </c>
      <c r="AG54" s="362">
        <v>0.82656984941658096</v>
      </c>
      <c r="AH54" s="360">
        <v>0.826613257627834</v>
      </c>
      <c r="AI54" s="360">
        <v>0.62123219188055701</v>
      </c>
      <c r="AJ54" s="361">
        <v>1112656</v>
      </c>
      <c r="AK54" s="362">
        <v>0.81858451684320399</v>
      </c>
      <c r="AL54" s="360">
        <v>0.81741015832240504</v>
      </c>
      <c r="AM54" s="360">
        <v>0.550434385457089</v>
      </c>
      <c r="AN54" s="361">
        <v>560781</v>
      </c>
      <c r="AO54" s="362">
        <v>0.817199579037302</v>
      </c>
      <c r="AP54" s="360">
        <v>0.81715056216887205</v>
      </c>
      <c r="AQ54" s="360">
        <v>0.53366894060062398</v>
      </c>
      <c r="AR54" s="361">
        <v>450289</v>
      </c>
      <c r="AS54" s="362">
        <v>0.83372241650740897</v>
      </c>
      <c r="AT54" s="360">
        <v>0.62433274456959698</v>
      </c>
      <c r="AU54" s="361">
        <v>407065</v>
      </c>
      <c r="AV54" s="107">
        <v>0.52951063415140398</v>
      </c>
      <c r="AW54" s="107">
        <v>0.53639367672350202</v>
      </c>
      <c r="AX54" s="107">
        <v>0.68838632691985102</v>
      </c>
      <c r="AY54" s="106">
        <v>811074</v>
      </c>
      <c r="AZ54" s="362">
        <v>0.75683877664559396</v>
      </c>
      <c r="BA54" s="360">
        <v>0.78231303472261804</v>
      </c>
      <c r="BB54" s="360">
        <v>0.67715698372843403</v>
      </c>
      <c r="BC54" s="361">
        <v>1097064</v>
      </c>
      <c r="BD54" s="360">
        <v>0.80878034332952098</v>
      </c>
      <c r="BE54" s="360">
        <v>0.70757762580713102</v>
      </c>
      <c r="BF54" s="361">
        <v>990631</v>
      </c>
      <c r="BG54" s="9"/>
    </row>
    <row r="55" spans="1:59" s="82" customFormat="1" ht="12" customHeight="1">
      <c r="A55" s="418" t="s">
        <v>1345</v>
      </c>
      <c r="B55" s="360">
        <v>0.83662724507588704</v>
      </c>
      <c r="C55" s="360">
        <v>0.81752358648130097</v>
      </c>
      <c r="D55" s="361">
        <v>475760</v>
      </c>
      <c r="E55" s="362">
        <v>0.51907548615536903</v>
      </c>
      <c r="F55" s="360">
        <v>0.80049822636642098</v>
      </c>
      <c r="G55" s="360">
        <v>0.92123278065010605</v>
      </c>
      <c r="H55" s="361">
        <v>578793</v>
      </c>
      <c r="I55" s="360">
        <v>0.58600609627435996</v>
      </c>
      <c r="J55" s="360">
        <v>0.64060986148118304</v>
      </c>
      <c r="K55" s="360">
        <v>0.88630624911953904</v>
      </c>
      <c r="L55" s="361">
        <v>733249</v>
      </c>
      <c r="M55" s="362">
        <v>0.53802067664516895</v>
      </c>
      <c r="N55" s="360">
        <v>0.68720104355018097</v>
      </c>
      <c r="O55" s="360">
        <v>0.85481804498154901</v>
      </c>
      <c r="P55" s="361">
        <v>578793</v>
      </c>
      <c r="Q55" s="362">
        <v>0.60867315863801097</v>
      </c>
      <c r="R55" s="360">
        <v>0.62197255124209305</v>
      </c>
      <c r="S55" s="360">
        <v>0.86377346191233695</v>
      </c>
      <c r="T55" s="361">
        <v>726887</v>
      </c>
      <c r="U55" s="362">
        <v>0.57365047309289297</v>
      </c>
      <c r="V55" s="360">
        <v>0.62522199808961798</v>
      </c>
      <c r="W55" s="360">
        <v>0.85991198300371297</v>
      </c>
      <c r="X55" s="361">
        <v>781992</v>
      </c>
      <c r="Y55" s="362">
        <v>0.49795640058810697</v>
      </c>
      <c r="Z55" s="360">
        <v>0.57866627626636902</v>
      </c>
      <c r="AA55" s="360">
        <v>0.72760808248374598</v>
      </c>
      <c r="AB55" s="90">
        <v>352498</v>
      </c>
      <c r="AC55" s="362">
        <v>0.48663262700758803</v>
      </c>
      <c r="AD55" s="360">
        <v>0.52238491985956903</v>
      </c>
      <c r="AE55" s="360">
        <v>0.82231460060371897</v>
      </c>
      <c r="AF55" s="361">
        <v>623962</v>
      </c>
      <c r="AG55" s="362">
        <v>0.81798601869758303</v>
      </c>
      <c r="AH55" s="360">
        <v>0.81729405492832297</v>
      </c>
      <c r="AI55" s="360">
        <v>0.94950673457785095</v>
      </c>
      <c r="AJ55" s="361">
        <v>1112177</v>
      </c>
      <c r="AK55" s="362">
        <v>0.82324595627745201</v>
      </c>
      <c r="AL55" s="360">
        <v>0.82308485039071599</v>
      </c>
      <c r="AM55" s="360">
        <v>0.87079055413568496</v>
      </c>
      <c r="AN55" s="361">
        <v>553947</v>
      </c>
      <c r="AO55" s="362">
        <v>0.81575276472885805</v>
      </c>
      <c r="AP55" s="360">
        <v>0.81723923200702397</v>
      </c>
      <c r="AQ55" s="360">
        <v>0.72825939660994998</v>
      </c>
      <c r="AR55" s="361">
        <v>404203</v>
      </c>
      <c r="AS55" s="362">
        <v>0.82249926204886803</v>
      </c>
      <c r="AT55" s="360">
        <v>0.853989296671957</v>
      </c>
      <c r="AU55" s="361">
        <v>401859</v>
      </c>
      <c r="AV55" s="107">
        <v>0.51666856858257604</v>
      </c>
      <c r="AW55" s="107">
        <v>0.55605955382554495</v>
      </c>
      <c r="AX55" s="107">
        <v>0.87482686742864402</v>
      </c>
      <c r="AY55" s="106">
        <v>749947</v>
      </c>
      <c r="AZ55" s="362">
        <v>0.75853720001227598</v>
      </c>
      <c r="BA55" s="360">
        <v>0.78908873229669396</v>
      </c>
      <c r="BB55" s="360">
        <v>0.94403820271608196</v>
      </c>
      <c r="BC55" s="361">
        <v>1031455</v>
      </c>
      <c r="BD55" s="360">
        <v>0.82697073793202402</v>
      </c>
      <c r="BE55" s="360">
        <v>0.93653731005395702</v>
      </c>
      <c r="BF55" s="361">
        <v>990925</v>
      </c>
      <c r="BG55" s="9"/>
    </row>
    <row r="56" spans="1:59" s="82" customFormat="1" ht="12" customHeight="1">
      <c r="A56" s="418" t="s">
        <v>1346</v>
      </c>
      <c r="B56" s="360">
        <v>0.82212343142076905</v>
      </c>
      <c r="C56" s="360">
        <v>0.77942246999345899</v>
      </c>
      <c r="D56" s="361">
        <v>478045</v>
      </c>
      <c r="E56" s="362">
        <v>0.53330975778022605</v>
      </c>
      <c r="F56" s="360">
        <v>0.82813751492207899</v>
      </c>
      <c r="G56" s="360">
        <v>0.90700243654470802</v>
      </c>
      <c r="H56" s="361">
        <v>582580</v>
      </c>
      <c r="I56" s="360">
        <v>0.59423015275998403</v>
      </c>
      <c r="J56" s="360">
        <v>0.64824327423124495</v>
      </c>
      <c r="K56" s="360">
        <v>0.87128110766491496</v>
      </c>
      <c r="L56" s="361">
        <v>763191</v>
      </c>
      <c r="M56" s="362">
        <v>0.52409625932179404</v>
      </c>
      <c r="N56" s="360">
        <v>0.66862628542488001</v>
      </c>
      <c r="O56" s="360">
        <v>0.83504103801062401</v>
      </c>
      <c r="P56" s="361">
        <v>582580</v>
      </c>
      <c r="Q56" s="362">
        <v>0.63047395801436601</v>
      </c>
      <c r="R56" s="360">
        <v>0.65521622737283902</v>
      </c>
      <c r="S56" s="360">
        <v>0.85374173556580302</v>
      </c>
      <c r="T56" s="361">
        <v>731839</v>
      </c>
      <c r="U56" s="362">
        <v>0.601812741316894</v>
      </c>
      <c r="V56" s="360">
        <v>0.73180971713850695</v>
      </c>
      <c r="W56" s="360">
        <v>0.85510847644115395</v>
      </c>
      <c r="X56" s="361">
        <v>852762</v>
      </c>
      <c r="Y56" s="362">
        <v>0.519723165919036</v>
      </c>
      <c r="Z56" s="360">
        <v>0.586133459479526</v>
      </c>
      <c r="AA56" s="360">
        <v>0.75299224469701997</v>
      </c>
      <c r="AB56" s="90">
        <v>435788</v>
      </c>
      <c r="AC56" s="362">
        <v>0.51200671902954797</v>
      </c>
      <c r="AD56" s="360">
        <v>0.50443966147528996</v>
      </c>
      <c r="AE56" s="360">
        <v>0.81408886822492599</v>
      </c>
      <c r="AF56" s="361">
        <v>626878</v>
      </c>
      <c r="AG56" s="362">
        <v>0.82258854759857902</v>
      </c>
      <c r="AH56" s="360">
        <v>0.82144412063449801</v>
      </c>
      <c r="AI56" s="360">
        <v>0.92629349207473499</v>
      </c>
      <c r="AJ56" s="361">
        <v>1120436</v>
      </c>
      <c r="AK56" s="362">
        <v>0.82636457904168803</v>
      </c>
      <c r="AL56" s="360">
        <v>0.82537030824514002</v>
      </c>
      <c r="AM56" s="360">
        <v>0.84641541487084304</v>
      </c>
      <c r="AN56" s="361">
        <v>564846</v>
      </c>
      <c r="AO56" s="362">
        <v>0.81142571280678299</v>
      </c>
      <c r="AP56" s="360">
        <v>0.80904900683809</v>
      </c>
      <c r="AQ56" s="360">
        <v>0.744909313018009</v>
      </c>
      <c r="AR56" s="361">
        <v>474743</v>
      </c>
      <c r="AS56" s="362">
        <v>0.83515688138125599</v>
      </c>
      <c r="AT56" s="360">
        <v>0.84176253486893104</v>
      </c>
      <c r="AU56" s="361">
        <v>410515</v>
      </c>
      <c r="AV56" s="107">
        <v>0.52371551244438797</v>
      </c>
      <c r="AW56" s="107">
        <v>0.54577251260537696</v>
      </c>
      <c r="AX56" s="107">
        <v>0.87077448200846097</v>
      </c>
      <c r="AY56" s="106">
        <v>849833</v>
      </c>
      <c r="AZ56" s="362">
        <v>0.77454217795207503</v>
      </c>
      <c r="BA56" s="360">
        <v>0.80034604505011697</v>
      </c>
      <c r="BB56" s="360">
        <v>0.93934322532027703</v>
      </c>
      <c r="BC56" s="361">
        <v>1175696</v>
      </c>
      <c r="BD56" s="360">
        <v>0.81849407484126602</v>
      </c>
      <c r="BE56" s="360">
        <v>0.91830309147653399</v>
      </c>
      <c r="BF56" s="361">
        <v>997145</v>
      </c>
      <c r="BG56" s="9"/>
    </row>
    <row r="57" spans="1:59" s="82" customFormat="1" ht="12" customHeight="1">
      <c r="A57" s="418" t="s">
        <v>1347</v>
      </c>
      <c r="B57" s="360">
        <v>0.82828447763580404</v>
      </c>
      <c r="C57" s="360">
        <v>0.79935155229904797</v>
      </c>
      <c r="D57" s="361">
        <v>467148</v>
      </c>
      <c r="E57" s="362">
        <v>0.52118359070532305</v>
      </c>
      <c r="F57" s="360">
        <v>0.79588284828676703</v>
      </c>
      <c r="G57" s="360">
        <v>0.91140938342856803</v>
      </c>
      <c r="H57" s="361">
        <v>566708</v>
      </c>
      <c r="I57" s="360">
        <v>0.58753423286250805</v>
      </c>
      <c r="J57" s="360">
        <v>0.648572819259019</v>
      </c>
      <c r="K57" s="360">
        <v>0.88262782705062004</v>
      </c>
      <c r="L57" s="361">
        <v>738495</v>
      </c>
      <c r="M57" s="362">
        <v>0.51011033658828298</v>
      </c>
      <c r="N57" s="360">
        <v>0.60136564768909395</v>
      </c>
      <c r="O57" s="360">
        <v>0.83333923971573598</v>
      </c>
      <c r="P57" s="361">
        <v>566708</v>
      </c>
      <c r="Q57" s="362">
        <v>0.60220807829864498</v>
      </c>
      <c r="R57" s="360">
        <v>0.62465593982158396</v>
      </c>
      <c r="S57" s="360">
        <v>0.85875116256432604</v>
      </c>
      <c r="T57" s="361">
        <v>712634</v>
      </c>
      <c r="U57" s="362">
        <v>0.53275772887094897</v>
      </c>
      <c r="V57" s="360">
        <v>0.64393631283364505</v>
      </c>
      <c r="W57" s="360">
        <v>0.85568824773996399</v>
      </c>
      <c r="X57" s="361">
        <v>799470</v>
      </c>
      <c r="Y57" s="362">
        <v>0.52975887259857701</v>
      </c>
      <c r="Z57" s="360">
        <v>0.56752383696290698</v>
      </c>
      <c r="AA57" s="360">
        <v>0.74323075392397597</v>
      </c>
      <c r="AB57" s="90">
        <v>374962</v>
      </c>
      <c r="AC57" s="362">
        <v>0.49514547140419202</v>
      </c>
      <c r="AD57" s="360">
        <v>0.52455489546338097</v>
      </c>
      <c r="AE57" s="360">
        <v>0.82400778947930897</v>
      </c>
      <c r="AF57" s="361">
        <v>610784</v>
      </c>
      <c r="AG57" s="362">
        <v>0.81225793894953302</v>
      </c>
      <c r="AH57" s="360">
        <v>0.81432093446452702</v>
      </c>
      <c r="AI57" s="360">
        <v>0.94407642103445</v>
      </c>
      <c r="AJ57" s="361">
        <v>1086937</v>
      </c>
      <c r="AK57" s="362">
        <v>0.81589878743883304</v>
      </c>
      <c r="AL57" s="360">
        <v>0.816334183669577</v>
      </c>
      <c r="AM57" s="360">
        <v>0.85378624874965703</v>
      </c>
      <c r="AN57" s="361">
        <v>548230</v>
      </c>
      <c r="AO57" s="362">
        <v>0.81481683661478599</v>
      </c>
      <c r="AP57" s="360">
        <v>0.81561813747879497</v>
      </c>
      <c r="AQ57" s="360">
        <v>0.73505441828731499</v>
      </c>
      <c r="AR57" s="361">
        <v>423042</v>
      </c>
      <c r="AS57" s="362">
        <v>0.78791405273235804</v>
      </c>
      <c r="AT57" s="360">
        <v>0.84086541388251501</v>
      </c>
      <c r="AU57" s="361">
        <v>398122</v>
      </c>
      <c r="AV57" s="107">
        <v>0.50617563125666698</v>
      </c>
      <c r="AW57" s="107">
        <v>0.51312037218230799</v>
      </c>
      <c r="AX57" s="107">
        <v>0.858882133955991</v>
      </c>
      <c r="AY57" s="106">
        <v>773079</v>
      </c>
      <c r="AZ57" s="362">
        <v>0.76379082678923405</v>
      </c>
      <c r="BA57" s="360">
        <v>0.79056516649084496</v>
      </c>
      <c r="BB57" s="360">
        <v>0.93727163647741796</v>
      </c>
      <c r="BC57" s="361">
        <v>1032034</v>
      </c>
      <c r="BD57" s="360">
        <v>0.82335537908137901</v>
      </c>
      <c r="BE57" s="360">
        <v>0.93198594200001195</v>
      </c>
      <c r="BF57" s="361">
        <v>968730</v>
      </c>
      <c r="BG57" s="9"/>
    </row>
    <row r="58" spans="1:59" s="82" customFormat="1" ht="12" customHeight="1">
      <c r="A58" s="418" t="s">
        <v>1348</v>
      </c>
      <c r="B58" s="360">
        <v>0.78998509076355405</v>
      </c>
      <c r="C58" s="360">
        <v>0.77577521702414198</v>
      </c>
      <c r="D58" s="361">
        <v>459538</v>
      </c>
      <c r="E58" s="362">
        <v>0.51834673350208604</v>
      </c>
      <c r="F58" s="360">
        <v>0.794605818244424</v>
      </c>
      <c r="G58" s="360">
        <v>0.90493068885302297</v>
      </c>
      <c r="H58" s="361">
        <v>556509</v>
      </c>
      <c r="I58" s="360">
        <v>0.58873100257765498</v>
      </c>
      <c r="J58" s="360">
        <v>0.64430105583658703</v>
      </c>
      <c r="K58" s="360">
        <v>0.879355937196586</v>
      </c>
      <c r="L58" s="361">
        <v>736020</v>
      </c>
      <c r="M58" s="362">
        <v>0.52293474002095997</v>
      </c>
      <c r="N58" s="360">
        <v>0.67630200100889104</v>
      </c>
      <c r="O58" s="360">
        <v>0.81427815486579203</v>
      </c>
      <c r="P58" s="361">
        <v>556509</v>
      </c>
      <c r="Q58" s="362">
        <v>0.60952284101759002</v>
      </c>
      <c r="R58" s="360">
        <v>0.61905560930922998</v>
      </c>
      <c r="S58" s="360">
        <v>0.84279214776067501</v>
      </c>
      <c r="T58" s="361">
        <v>699928</v>
      </c>
      <c r="U58" s="362">
        <v>0.53168585724514605</v>
      </c>
      <c r="V58" s="360">
        <v>0.68691504739703102</v>
      </c>
      <c r="W58" s="360">
        <v>0.85941768908890004</v>
      </c>
      <c r="X58" s="361">
        <v>802436</v>
      </c>
      <c r="Y58" s="362">
        <v>0.515524920298297</v>
      </c>
      <c r="Z58" s="360">
        <v>0.58101113453456399</v>
      </c>
      <c r="AA58" s="360">
        <v>0.72688951792345402</v>
      </c>
      <c r="AB58" s="90">
        <v>385721</v>
      </c>
      <c r="AC58" s="362">
        <v>0.50881292778439102</v>
      </c>
      <c r="AD58" s="360">
        <v>0.52585089486203496</v>
      </c>
      <c r="AE58" s="360">
        <v>0.82032874369682296</v>
      </c>
      <c r="AF58" s="361">
        <v>599857</v>
      </c>
      <c r="AG58" s="362">
        <v>0.82116074703486797</v>
      </c>
      <c r="AH58" s="360">
        <v>0.82243614191821102</v>
      </c>
      <c r="AI58" s="360">
        <v>0.93864809724051201</v>
      </c>
      <c r="AJ58" s="361">
        <v>1066192</v>
      </c>
      <c r="AK58" s="362">
        <v>0.82130950976236505</v>
      </c>
      <c r="AL58" s="360">
        <v>0.82066933545491905</v>
      </c>
      <c r="AM58" s="360">
        <v>0.85321696983726003</v>
      </c>
      <c r="AN58" s="361">
        <v>543243</v>
      </c>
      <c r="AO58" s="362">
        <v>0.809805409349867</v>
      </c>
      <c r="AP58" s="360">
        <v>0.80915462829799101</v>
      </c>
      <c r="AQ58" s="360">
        <v>0.71942386727965002</v>
      </c>
      <c r="AR58" s="361">
        <v>431444</v>
      </c>
      <c r="AS58" s="362">
        <v>0.84232273544638603</v>
      </c>
      <c r="AT58" s="360">
        <v>0.82704158934898997</v>
      </c>
      <c r="AU58" s="361">
        <v>394752</v>
      </c>
      <c r="AV58" s="107">
        <v>0.53655981761016103</v>
      </c>
      <c r="AW58" s="107">
        <v>0.54745712210818698</v>
      </c>
      <c r="AX58" s="107">
        <v>0.85510566424373002</v>
      </c>
      <c r="AY58" s="106">
        <v>783011</v>
      </c>
      <c r="AZ58" s="362">
        <v>0.76207098092046399</v>
      </c>
      <c r="BA58" s="360">
        <v>0.79138612034125</v>
      </c>
      <c r="BB58" s="360">
        <v>0.93683136790100396</v>
      </c>
      <c r="BC58" s="361">
        <v>1038027</v>
      </c>
      <c r="BD58" s="360">
        <v>0.82321870994639801</v>
      </c>
      <c r="BE58" s="360">
        <v>0.92172688841494499</v>
      </c>
      <c r="BF58" s="361">
        <v>950712</v>
      </c>
      <c r="BG58" s="9"/>
    </row>
    <row r="59" spans="1:59" s="82" customFormat="1" ht="12" customHeight="1">
      <c r="A59" s="418" t="s">
        <v>1349</v>
      </c>
      <c r="B59" s="360">
        <v>0.82361620752567599</v>
      </c>
      <c r="C59" s="360">
        <v>0.79184939253745201</v>
      </c>
      <c r="D59" s="361">
        <v>474140</v>
      </c>
      <c r="E59" s="362">
        <v>0.52707469462049805</v>
      </c>
      <c r="F59" s="360">
        <v>0.80934017501244204</v>
      </c>
      <c r="G59" s="360">
        <v>0.91262430437592601</v>
      </c>
      <c r="H59" s="361">
        <v>568207</v>
      </c>
      <c r="I59" s="360">
        <v>0.58297694382868204</v>
      </c>
      <c r="J59" s="360">
        <v>0.63865351910843304</v>
      </c>
      <c r="K59" s="360">
        <v>0.86778905213033197</v>
      </c>
      <c r="L59" s="361">
        <v>762907</v>
      </c>
      <c r="M59" s="362">
        <v>0.54152146920885602</v>
      </c>
      <c r="N59" s="360">
        <v>0.67449915394703397</v>
      </c>
      <c r="O59" s="360">
        <v>0.82296749524451196</v>
      </c>
      <c r="P59" s="361">
        <v>568207</v>
      </c>
      <c r="Q59" s="362">
        <v>0.62675755847007797</v>
      </c>
      <c r="R59" s="360">
        <v>0.64401922147292701</v>
      </c>
      <c r="S59" s="360">
        <v>0.84936467442576902</v>
      </c>
      <c r="T59" s="361">
        <v>731368</v>
      </c>
      <c r="U59" s="362">
        <v>0.606621025273263</v>
      </c>
      <c r="V59" s="360">
        <v>0.71317768254747305</v>
      </c>
      <c r="W59" s="360">
        <v>0.88315433261440501</v>
      </c>
      <c r="X59" s="361">
        <v>743958</v>
      </c>
      <c r="Y59" s="362">
        <v>0.51259246325222296</v>
      </c>
      <c r="Z59" s="360">
        <v>0.55742619115399406</v>
      </c>
      <c r="AA59" s="360">
        <v>0.69435392139014895</v>
      </c>
      <c r="AB59" s="90">
        <v>313081</v>
      </c>
      <c r="AC59" s="362">
        <v>0.502436398896695</v>
      </c>
      <c r="AD59" s="360">
        <v>0.54862050294390297</v>
      </c>
      <c r="AE59" s="360">
        <v>0.80878434680004097</v>
      </c>
      <c r="AF59" s="361">
        <v>611472</v>
      </c>
      <c r="AG59" s="362">
        <v>0.82476649511399602</v>
      </c>
      <c r="AH59" s="360">
        <v>0.82566702994697505</v>
      </c>
      <c r="AI59" s="360">
        <v>0.94838508368331098</v>
      </c>
      <c r="AJ59" s="361">
        <v>1097922</v>
      </c>
      <c r="AK59" s="362">
        <v>0.82634112699665496</v>
      </c>
      <c r="AL59" s="360">
        <v>0.82656937722602997</v>
      </c>
      <c r="AM59" s="360">
        <v>0.86184678490853195</v>
      </c>
      <c r="AN59" s="361">
        <v>549791</v>
      </c>
      <c r="AO59" s="362">
        <v>0.811897484781957</v>
      </c>
      <c r="AP59" s="360">
        <v>0.81668893915026097</v>
      </c>
      <c r="AQ59" s="360">
        <v>0.70634768884654897</v>
      </c>
      <c r="AR59" s="361">
        <v>369667</v>
      </c>
      <c r="AS59" s="362">
        <v>0.81185568383129603</v>
      </c>
      <c r="AT59" s="360">
        <v>0.78431607835093498</v>
      </c>
      <c r="AU59" s="361">
        <v>397952</v>
      </c>
      <c r="AV59" s="107">
        <v>0.52030257890697995</v>
      </c>
      <c r="AW59" s="107">
        <v>0.50846834389307904</v>
      </c>
      <c r="AX59" s="107">
        <v>0.86234230897021502</v>
      </c>
      <c r="AY59" s="106">
        <v>698608</v>
      </c>
      <c r="AZ59" s="362">
        <v>0.76270528776995505</v>
      </c>
      <c r="BA59" s="360">
        <v>0.78977896574975903</v>
      </c>
      <c r="BB59" s="360">
        <v>0.90399822748951297</v>
      </c>
      <c r="BC59" s="361">
        <v>977665</v>
      </c>
      <c r="BD59" s="360">
        <v>0.82869077228573296</v>
      </c>
      <c r="BE59" s="360">
        <v>0.93322121481048304</v>
      </c>
      <c r="BF59" s="361">
        <v>978776</v>
      </c>
      <c r="BG59" s="9"/>
    </row>
    <row r="60" spans="1:59" s="82" customFormat="1" ht="12" customHeight="1">
      <c r="A60" s="418" t="s">
        <v>1350</v>
      </c>
      <c r="B60" s="360">
        <v>0.82023565887967098</v>
      </c>
      <c r="C60" s="360">
        <v>0.80455243127475495</v>
      </c>
      <c r="D60" s="361">
        <v>476285</v>
      </c>
      <c r="E60" s="362">
        <v>0.54960270528858801</v>
      </c>
      <c r="F60" s="360">
        <v>0.83209722663389596</v>
      </c>
      <c r="G60" s="360">
        <v>0.90681655685058404</v>
      </c>
      <c r="H60" s="361">
        <v>579291</v>
      </c>
      <c r="I60" s="360">
        <v>0.59956395218056402</v>
      </c>
      <c r="J60" s="360">
        <v>0.658375889354187</v>
      </c>
      <c r="K60" s="360">
        <v>0.86945347630105396</v>
      </c>
      <c r="L60" s="361">
        <v>744556</v>
      </c>
      <c r="M60" s="362">
        <v>0.58566454844701998</v>
      </c>
      <c r="N60" s="360">
        <v>0.64861771286793202</v>
      </c>
      <c r="O60" s="360">
        <v>0.82447490645916799</v>
      </c>
      <c r="P60" s="361">
        <v>579291</v>
      </c>
      <c r="Q60" s="362">
        <v>0.63100654031024295</v>
      </c>
      <c r="R60" s="360">
        <v>0.64586596018240405</v>
      </c>
      <c r="S60" s="360">
        <v>0.84843687353351804</v>
      </c>
      <c r="T60" s="361">
        <v>727481</v>
      </c>
      <c r="U60" s="362">
        <v>0.55508527524447704</v>
      </c>
      <c r="V60" s="360">
        <v>0.71155799898594296</v>
      </c>
      <c r="W60" s="360">
        <v>0.869894763095726</v>
      </c>
      <c r="X60" s="361">
        <v>807679</v>
      </c>
      <c r="Y60" s="362">
        <v>0.54781505231025696</v>
      </c>
      <c r="Z60" s="360">
        <v>0.59651932172936795</v>
      </c>
      <c r="AA60" s="360">
        <v>0.71359585407368897</v>
      </c>
      <c r="AB60" s="90">
        <v>383093</v>
      </c>
      <c r="AC60" s="362">
        <v>0.55556582025191104</v>
      </c>
      <c r="AD60" s="360">
        <v>0.57327060893569404</v>
      </c>
      <c r="AE60" s="360">
        <v>0.81531821749935596</v>
      </c>
      <c r="AF60" s="361">
        <v>624424</v>
      </c>
      <c r="AG60" s="362">
        <v>0.83724197737083095</v>
      </c>
      <c r="AH60" s="360">
        <v>0.83607048807554896</v>
      </c>
      <c r="AI60" s="360">
        <v>0.93708507919725303</v>
      </c>
      <c r="AJ60" s="361">
        <v>1113574</v>
      </c>
      <c r="AK60" s="362">
        <v>0.84082995887106404</v>
      </c>
      <c r="AL60" s="360">
        <v>0.84047617949741904</v>
      </c>
      <c r="AM60" s="360">
        <v>0.85238779970262502</v>
      </c>
      <c r="AN60" s="361">
        <v>557337</v>
      </c>
      <c r="AO60" s="362">
        <v>0.82208634579592899</v>
      </c>
      <c r="AP60" s="360">
        <v>0.82478414230331798</v>
      </c>
      <c r="AQ60" s="360">
        <v>0.71829367194827998</v>
      </c>
      <c r="AR60" s="361">
        <v>430482</v>
      </c>
      <c r="AS60" s="362">
        <v>0.81071359764366002</v>
      </c>
      <c r="AT60" s="360">
        <v>0.80888154489608399</v>
      </c>
      <c r="AU60" s="361">
        <v>404652</v>
      </c>
      <c r="AV60" s="107">
        <v>0.53606003443860095</v>
      </c>
      <c r="AW60" s="107">
        <v>0.54477572538094099</v>
      </c>
      <c r="AX60" s="107">
        <v>0.84888546543348498</v>
      </c>
      <c r="AY60" s="106">
        <v>786002</v>
      </c>
      <c r="AZ60" s="362">
        <v>0.77384162225921505</v>
      </c>
      <c r="BA60" s="360">
        <v>0.80040148692357604</v>
      </c>
      <c r="BB60" s="360">
        <v>0.93691347216172405</v>
      </c>
      <c r="BC60" s="361">
        <v>1080910</v>
      </c>
      <c r="BD60" s="360">
        <v>0.83603522818531495</v>
      </c>
      <c r="BE60" s="360">
        <v>0.92638893691506896</v>
      </c>
      <c r="BF60" s="361">
        <v>991847</v>
      </c>
      <c r="BG60" s="9"/>
    </row>
    <row r="61" spans="1:59" s="82" customFormat="1" ht="12" customHeight="1">
      <c r="A61" s="418" t="s">
        <v>1351</v>
      </c>
      <c r="B61" s="360">
        <v>0.85172951411822895</v>
      </c>
      <c r="C61" s="360">
        <v>0.81432928591623499</v>
      </c>
      <c r="D61" s="361">
        <v>475547</v>
      </c>
      <c r="E61" s="362">
        <v>0.53555953471735795</v>
      </c>
      <c r="F61" s="360">
        <v>0.815338508987697</v>
      </c>
      <c r="G61" s="360">
        <v>0.90722369823619597</v>
      </c>
      <c r="H61" s="361">
        <v>578450</v>
      </c>
      <c r="I61" s="360">
        <v>0.59473185897126002</v>
      </c>
      <c r="J61" s="360">
        <v>0.64953681578558997</v>
      </c>
      <c r="K61" s="360">
        <v>0.87043916346458605</v>
      </c>
      <c r="L61" s="361">
        <v>732851</v>
      </c>
      <c r="M61" s="362">
        <v>0.52757926856505399</v>
      </c>
      <c r="N61" s="360">
        <v>0.63736647372378996</v>
      </c>
      <c r="O61" s="360">
        <v>0.81798798597523104</v>
      </c>
      <c r="P61" s="361">
        <v>578450</v>
      </c>
      <c r="Q61" s="362">
        <v>0.60972722332637297</v>
      </c>
      <c r="R61" s="360">
        <v>0.63365470756044795</v>
      </c>
      <c r="S61" s="360">
        <v>0.83796274112310498</v>
      </c>
      <c r="T61" s="361">
        <v>726448</v>
      </c>
      <c r="U61" s="362">
        <v>0.54954712779708004</v>
      </c>
      <c r="V61" s="360">
        <v>0.64557458600457596</v>
      </c>
      <c r="W61" s="360">
        <v>0.86088838203013296</v>
      </c>
      <c r="X61" s="361">
        <v>781111</v>
      </c>
      <c r="Y61" s="362">
        <v>0.54623866063183402</v>
      </c>
      <c r="Z61" s="360">
        <v>0.57512420303715195</v>
      </c>
      <c r="AA61" s="360">
        <v>0.69589115245654798</v>
      </c>
      <c r="AB61" s="90">
        <v>351889</v>
      </c>
      <c r="AC61" s="362">
        <v>0.50409262747324002</v>
      </c>
      <c r="AD61" s="360">
        <v>0.51960254403902895</v>
      </c>
      <c r="AE61" s="360">
        <v>0.80512999036137101</v>
      </c>
      <c r="AF61" s="361">
        <v>623689</v>
      </c>
      <c r="AG61" s="362">
        <v>0.82003785839564802</v>
      </c>
      <c r="AH61" s="360">
        <v>0.82054751732341802</v>
      </c>
      <c r="AI61" s="360">
        <v>0.93750466689644096</v>
      </c>
      <c r="AJ61" s="361">
        <v>1111516</v>
      </c>
      <c r="AK61" s="362">
        <v>0.82562264024143395</v>
      </c>
      <c r="AL61" s="360">
        <v>0.82622220884138198</v>
      </c>
      <c r="AM61" s="360">
        <v>0.848345001179025</v>
      </c>
      <c r="AN61" s="361">
        <v>553796</v>
      </c>
      <c r="AO61" s="362">
        <v>0.82056980936799395</v>
      </c>
      <c r="AP61" s="360">
        <v>0.82095071481998605</v>
      </c>
      <c r="AQ61" s="360">
        <v>0.702199356142859</v>
      </c>
      <c r="AR61" s="361">
        <v>403591</v>
      </c>
      <c r="AS61" s="362">
        <v>0.823687626682157</v>
      </c>
      <c r="AT61" s="360">
        <v>0.81244458698603095</v>
      </c>
      <c r="AU61" s="361">
        <v>401744</v>
      </c>
      <c r="AV61" s="107">
        <v>0.52724508717637497</v>
      </c>
      <c r="AW61" s="107">
        <v>0.56736281422868695</v>
      </c>
      <c r="AX61" s="107">
        <v>0.84933616271930401</v>
      </c>
      <c r="AY61" s="106">
        <v>749032</v>
      </c>
      <c r="AZ61" s="362">
        <v>0.76626513947825903</v>
      </c>
      <c r="BA61" s="360">
        <v>0.79232164819220396</v>
      </c>
      <c r="BB61" s="360">
        <v>0.93313363312512798</v>
      </c>
      <c r="BC61" s="361">
        <v>1030259</v>
      </c>
      <c r="BD61" s="360">
        <v>0.82499079805981301</v>
      </c>
      <c r="BE61" s="360">
        <v>0.92765445610064701</v>
      </c>
      <c r="BF61" s="361">
        <v>990409</v>
      </c>
      <c r="BG61" s="9"/>
    </row>
    <row r="62" spans="1:59" s="82" customFormat="1" ht="12" customHeight="1">
      <c r="A62" s="418" t="s">
        <v>1352</v>
      </c>
      <c r="B62" s="360">
        <v>0.82866814679373402</v>
      </c>
      <c r="C62" s="360">
        <v>0.823485247045455</v>
      </c>
      <c r="D62" s="361">
        <v>457158</v>
      </c>
      <c r="E62" s="362">
        <v>0.54627018278071304</v>
      </c>
      <c r="F62" s="360">
        <v>0.82704045556245198</v>
      </c>
      <c r="G62" s="360">
        <v>0.88316740465717003</v>
      </c>
      <c r="H62" s="361">
        <v>552791</v>
      </c>
      <c r="I62" s="360">
        <v>0.58911314873220699</v>
      </c>
      <c r="J62" s="360">
        <v>0.65057298869281599</v>
      </c>
      <c r="K62" s="360">
        <v>0.85231274820055103</v>
      </c>
      <c r="L62" s="361">
        <v>756810</v>
      </c>
      <c r="M62" s="362">
        <v>0.52244092310611001</v>
      </c>
      <c r="N62" s="360">
        <v>0.66670356453631996</v>
      </c>
      <c r="O62" s="360">
        <v>0.83665407902205602</v>
      </c>
      <c r="P62" s="361">
        <v>552791</v>
      </c>
      <c r="Q62" s="362">
        <v>0.61627973621677801</v>
      </c>
      <c r="R62" s="360">
        <v>0.63693416384556001</v>
      </c>
      <c r="S62" s="360">
        <v>0.85257459379729605</v>
      </c>
      <c r="T62" s="361">
        <v>691682</v>
      </c>
      <c r="U62" s="362">
        <v>0.58790561569928201</v>
      </c>
      <c r="V62" s="360">
        <v>0.75571222102927804</v>
      </c>
      <c r="W62" s="360">
        <v>0.85347121249591296</v>
      </c>
      <c r="X62" s="361">
        <v>778399</v>
      </c>
      <c r="Y62" s="362">
        <v>0.53419200267809497</v>
      </c>
      <c r="Z62" s="360">
        <v>0.58374377725886095</v>
      </c>
      <c r="AA62" s="360">
        <v>0.74264584347845897</v>
      </c>
      <c r="AB62" s="90">
        <v>378841</v>
      </c>
      <c r="AC62" s="362">
        <v>0.52236976239822996</v>
      </c>
      <c r="AD62" s="360">
        <v>0.51953693559154801</v>
      </c>
      <c r="AE62" s="360">
        <v>0.78646345021467301</v>
      </c>
      <c r="AF62" s="361">
        <v>625692</v>
      </c>
      <c r="AG62" s="362">
        <v>0.82245155212267695</v>
      </c>
      <c r="AH62" s="360">
        <v>0.823342835268151</v>
      </c>
      <c r="AI62" s="360">
        <v>0.93558768789205404</v>
      </c>
      <c r="AJ62" s="361">
        <v>1060924</v>
      </c>
      <c r="AK62" s="362">
        <v>0.82291351154737202</v>
      </c>
      <c r="AL62" s="360">
        <v>0.821917080668774</v>
      </c>
      <c r="AM62" s="360">
        <v>0.84499332622436196</v>
      </c>
      <c r="AN62" s="361">
        <v>535032</v>
      </c>
      <c r="AO62" s="362">
        <v>0.81295355228042299</v>
      </c>
      <c r="AP62" s="360">
        <v>0.81640297880281598</v>
      </c>
      <c r="AQ62" s="360">
        <v>0.749812274515119</v>
      </c>
      <c r="AR62" s="361">
        <v>423619</v>
      </c>
      <c r="AS62" s="362">
        <v>0.82315651705396997</v>
      </c>
      <c r="AT62" s="360">
        <v>0.78405662702188605</v>
      </c>
      <c r="AU62" s="361">
        <v>388485</v>
      </c>
      <c r="AV62" s="107">
        <v>0.53506709815179698</v>
      </c>
      <c r="AW62" s="107">
        <v>0.53961622341073701</v>
      </c>
      <c r="AX62" s="107">
        <v>0.86310838120192002</v>
      </c>
      <c r="AY62" s="106">
        <v>762457</v>
      </c>
      <c r="AZ62" s="362">
        <v>0.76560070280852999</v>
      </c>
      <c r="BA62" s="360">
        <v>0.79385238216384002</v>
      </c>
      <c r="BB62" s="360">
        <v>0.93195127411194001</v>
      </c>
      <c r="BC62" s="361">
        <v>1117716</v>
      </c>
      <c r="BD62" s="360">
        <v>0.83448658344200999</v>
      </c>
      <c r="BE62" s="360">
        <v>0.90365765402925202</v>
      </c>
      <c r="BF62" s="361">
        <v>988626</v>
      </c>
      <c r="BG62" s="9"/>
    </row>
    <row r="63" spans="1:59" s="82" customFormat="1" ht="12" customHeight="1">
      <c r="A63" s="418" t="s">
        <v>1353</v>
      </c>
      <c r="B63" s="360">
        <v>0.83755379579295997</v>
      </c>
      <c r="C63" s="360">
        <v>0.81241890177729603</v>
      </c>
      <c r="D63" s="361">
        <v>454044</v>
      </c>
      <c r="E63" s="362">
        <v>0.50849120218619703</v>
      </c>
      <c r="F63" s="360">
        <v>0.80078468689882898</v>
      </c>
      <c r="G63" s="360">
        <v>0.92002748736752704</v>
      </c>
      <c r="H63" s="361">
        <v>547726</v>
      </c>
      <c r="I63" s="360">
        <v>0.58467046336944095</v>
      </c>
      <c r="J63" s="360">
        <v>0.64671954719789304</v>
      </c>
      <c r="K63" s="360">
        <v>0.89397328410668697</v>
      </c>
      <c r="L63" s="361">
        <v>707798</v>
      </c>
      <c r="M63" s="362">
        <v>0.50156399802725204</v>
      </c>
      <c r="N63" s="360">
        <v>0.64056821378416995</v>
      </c>
      <c r="O63" s="360">
        <v>0.83785569390423698</v>
      </c>
      <c r="P63" s="361">
        <v>547726</v>
      </c>
      <c r="Q63" s="362">
        <v>0.61000620553771401</v>
      </c>
      <c r="R63" s="360">
        <v>0.63333236154714601</v>
      </c>
      <c r="S63" s="360">
        <v>0.86277995051981204</v>
      </c>
      <c r="T63" s="361">
        <v>688835</v>
      </c>
      <c r="U63" s="362">
        <v>0.504163632337846</v>
      </c>
      <c r="V63" s="360">
        <v>0.62251941549572498</v>
      </c>
      <c r="W63" s="360">
        <v>0.85819730639553704</v>
      </c>
      <c r="X63" s="361">
        <v>739645</v>
      </c>
      <c r="Y63" s="362">
        <v>0.52899613095097997</v>
      </c>
      <c r="Z63" s="360">
        <v>0.57688598975918504</v>
      </c>
      <c r="AA63" s="360">
        <v>0.72798902229537499</v>
      </c>
      <c r="AB63" s="90">
        <v>317192</v>
      </c>
      <c r="AC63" s="362">
        <v>0.489193342366182</v>
      </c>
      <c r="AD63" s="360">
        <v>0.52945156367471002</v>
      </c>
      <c r="AE63" s="360">
        <v>0.82652099712688398</v>
      </c>
      <c r="AF63" s="361">
        <v>591152</v>
      </c>
      <c r="AG63" s="362">
        <v>0.81563647920035798</v>
      </c>
      <c r="AH63" s="360">
        <v>0.81629494099042899</v>
      </c>
      <c r="AI63" s="360">
        <v>0.95506319470634404</v>
      </c>
      <c r="AJ63" s="361">
        <v>1047187</v>
      </c>
      <c r="AK63" s="362">
        <v>0.827475026452415</v>
      </c>
      <c r="AL63" s="360">
        <v>0.82786825782365003</v>
      </c>
      <c r="AM63" s="360">
        <v>0.86854289164223897</v>
      </c>
      <c r="AN63" s="361">
        <v>533154</v>
      </c>
      <c r="AO63" s="362">
        <v>0.80766912620935205</v>
      </c>
      <c r="AP63" s="360">
        <v>0.810527600462563</v>
      </c>
      <c r="AQ63" s="360">
        <v>0.71212932899117398</v>
      </c>
      <c r="AR63" s="361">
        <v>371525</v>
      </c>
      <c r="AS63" s="362">
        <v>0.81019512754197698</v>
      </c>
      <c r="AT63" s="360">
        <v>0.83220897049286002</v>
      </c>
      <c r="AU63" s="361">
        <v>387480</v>
      </c>
      <c r="AV63" s="107">
        <v>0.54658378812033404</v>
      </c>
      <c r="AW63" s="107">
        <v>0.53434739095030304</v>
      </c>
      <c r="AX63" s="107">
        <v>0.87036763651743299</v>
      </c>
      <c r="AY63" s="106">
        <v>698470</v>
      </c>
      <c r="AZ63" s="362">
        <v>0.76380243178848894</v>
      </c>
      <c r="BA63" s="360">
        <v>0.79301480371316801</v>
      </c>
      <c r="BB63" s="360">
        <v>0.93846899112594295</v>
      </c>
      <c r="BC63" s="361">
        <v>930739</v>
      </c>
      <c r="BD63" s="360">
        <v>0.83000078593305704</v>
      </c>
      <c r="BE63" s="360">
        <v>0.94308799251965003</v>
      </c>
      <c r="BF63" s="361">
        <v>937188</v>
      </c>
      <c r="BG63" s="9"/>
    </row>
    <row r="64" spans="1:59" s="82" customFormat="1" ht="12" customHeight="1">
      <c r="A64" s="419" t="s">
        <v>1354</v>
      </c>
      <c r="B64" s="410">
        <v>0.80029184763503003</v>
      </c>
      <c r="C64" s="410">
        <v>0.68089009560587799</v>
      </c>
      <c r="D64" s="411">
        <v>477543</v>
      </c>
      <c r="E64" s="412">
        <v>0.50076720596177005</v>
      </c>
      <c r="F64" s="410">
        <v>0.78587161084605295</v>
      </c>
      <c r="G64" s="410">
        <v>0.75335555216142602</v>
      </c>
      <c r="H64" s="411">
        <v>581131</v>
      </c>
      <c r="I64" s="410">
        <v>0.58968787314114701</v>
      </c>
      <c r="J64" s="410">
        <v>0.64104861760476295</v>
      </c>
      <c r="K64" s="410">
        <v>0.86724566584603902</v>
      </c>
      <c r="L64" s="411">
        <v>763189</v>
      </c>
      <c r="M64" s="412">
        <v>0.51569503903997904</v>
      </c>
      <c r="N64" s="410">
        <v>0.63036019602042404</v>
      </c>
      <c r="O64" s="410">
        <v>0.44834116010346198</v>
      </c>
      <c r="P64" s="411">
        <v>581131</v>
      </c>
      <c r="Q64" s="412">
        <v>0.60894036844854804</v>
      </c>
      <c r="R64" s="410">
        <v>0.62606817345831101</v>
      </c>
      <c r="S64" s="410">
        <v>0.55032967619518902</v>
      </c>
      <c r="T64" s="411">
        <v>729588</v>
      </c>
      <c r="U64" s="412">
        <v>0.53924455804083005</v>
      </c>
      <c r="V64" s="410">
        <v>0.59611350823153397</v>
      </c>
      <c r="W64" s="410">
        <v>0.861892739953112</v>
      </c>
      <c r="X64" s="411">
        <v>842460</v>
      </c>
      <c r="Y64" s="412">
        <v>0.51242308036231698</v>
      </c>
      <c r="Z64" s="410">
        <v>0.57736665001215104</v>
      </c>
      <c r="AA64" s="410">
        <v>0.65556748193680603</v>
      </c>
      <c r="AB64" s="395">
        <v>423854</v>
      </c>
      <c r="AC64" s="412">
        <v>0.51619196032100001</v>
      </c>
      <c r="AD64" s="410">
        <v>0.55771640489883301</v>
      </c>
      <c r="AE64" s="410">
        <v>0.66195109253244599</v>
      </c>
      <c r="AF64" s="411">
        <v>625374</v>
      </c>
      <c r="AG64" s="412">
        <v>0.82203139933320801</v>
      </c>
      <c r="AH64" s="410">
        <v>0.82235601147931303</v>
      </c>
      <c r="AI64" s="410">
        <v>0.90221032032961401</v>
      </c>
      <c r="AJ64" s="411">
        <v>1117227</v>
      </c>
      <c r="AK64" s="412">
        <v>0.813404398972006</v>
      </c>
      <c r="AL64" s="410">
        <v>0.81308254965109406</v>
      </c>
      <c r="AM64" s="410">
        <v>0.63547969998294795</v>
      </c>
      <c r="AN64" s="411">
        <v>562585</v>
      </c>
      <c r="AO64" s="412">
        <v>0.81147904197558096</v>
      </c>
      <c r="AP64" s="410">
        <v>0.81597243649346995</v>
      </c>
      <c r="AQ64" s="410">
        <v>0.683519195124903</v>
      </c>
      <c r="AR64" s="411">
        <v>464812</v>
      </c>
      <c r="AS64" s="412">
        <v>0.83493537293097897</v>
      </c>
      <c r="AT64" s="410">
        <v>0.60249893809366795</v>
      </c>
      <c r="AU64" s="411">
        <v>408986</v>
      </c>
      <c r="AV64" s="212">
        <v>0.47756637622598602</v>
      </c>
      <c r="AW64" s="212">
        <v>0.51661787752515098</v>
      </c>
      <c r="AX64" s="212">
        <v>0.85528945488637398</v>
      </c>
      <c r="AY64" s="210">
        <v>834624</v>
      </c>
      <c r="AZ64" s="412">
        <v>0.76099862406760199</v>
      </c>
      <c r="BA64" s="410">
        <v>0.78804715836917605</v>
      </c>
      <c r="BB64" s="410">
        <v>0.92434897688272399</v>
      </c>
      <c r="BC64" s="411">
        <v>1140621</v>
      </c>
      <c r="BD64" s="410">
        <v>0.82757236625535902</v>
      </c>
      <c r="BE64" s="410">
        <v>0.84107764094269799</v>
      </c>
      <c r="BF64" s="411">
        <v>994934</v>
      </c>
      <c r="BG64" s="9"/>
    </row>
    <row r="65" spans="1:58">
      <c r="A65" s="9" t="s">
        <v>1501</v>
      </c>
      <c r="D65" s="358"/>
    </row>
    <row r="68" spans="1:58">
      <c r="AF68" s="357"/>
      <c r="AI68" s="307"/>
      <c r="AJ68" s="357"/>
      <c r="AM68" s="307"/>
      <c r="AN68" s="357"/>
      <c r="AQ68" s="307"/>
      <c r="AR68" s="357"/>
      <c r="AT68" s="307"/>
      <c r="AU68"/>
      <c r="AY68" s="357"/>
      <c r="BB68" s="307"/>
      <c r="BC68" s="357"/>
      <c r="BE68" s="307"/>
      <c r="BF68"/>
    </row>
    <row r="69" spans="1:58">
      <c r="AF69" s="357"/>
      <c r="AI69" s="307"/>
      <c r="AJ69" s="357"/>
      <c r="AM69" s="307"/>
      <c r="AN69" s="357"/>
      <c r="AQ69" s="307"/>
      <c r="AR69" s="357"/>
      <c r="AT69" s="307"/>
      <c r="AU69"/>
      <c r="AY69" s="357"/>
      <c r="BB69" s="307"/>
      <c r="BC69" s="357"/>
      <c r="BE69" s="307"/>
      <c r="BF69"/>
    </row>
    <row r="70" spans="1:58">
      <c r="AF70" s="357"/>
      <c r="AG70" s="307"/>
      <c r="AJ70" s="357"/>
      <c r="AK70" s="307"/>
      <c r="AN70" s="357"/>
      <c r="AO70" s="307"/>
      <c r="AS70"/>
      <c r="AT70"/>
      <c r="AU70"/>
      <c r="AW70" s="357"/>
      <c r="AX70" s="357"/>
      <c r="AY70" s="357"/>
      <c r="AZ70" s="307"/>
      <c r="BD70"/>
      <c r="BE70"/>
      <c r="BF70"/>
    </row>
    <row r="71" spans="1:58">
      <c r="AF71" s="357"/>
      <c r="AG71" s="307"/>
      <c r="AJ71" s="357"/>
      <c r="AK71" s="307"/>
      <c r="AN71" s="357"/>
      <c r="AO71" s="307"/>
      <c r="AS71"/>
      <c r="AT71"/>
      <c r="AU71"/>
      <c r="AW71" s="357"/>
      <c r="AX71" s="357"/>
      <c r="AY71" s="357"/>
      <c r="AZ71" s="307"/>
      <c r="BD71"/>
      <c r="BE71"/>
      <c r="BF71"/>
    </row>
    <row r="72" spans="1:58">
      <c r="AF72" s="357"/>
      <c r="AG72" s="307"/>
      <c r="AJ72" s="357"/>
      <c r="AK72" s="307"/>
      <c r="AN72" s="357"/>
      <c r="AO72" s="307"/>
      <c r="AS72"/>
      <c r="AT72"/>
      <c r="AU72"/>
      <c r="AW72" s="357"/>
      <c r="AX72" s="357"/>
      <c r="AY72" s="357"/>
      <c r="AZ72" s="307"/>
      <c r="BD72"/>
      <c r="BE72"/>
      <c r="BF72"/>
    </row>
    <row r="73" spans="1:58">
      <c r="AF73" s="357"/>
      <c r="AG73" s="307"/>
      <c r="AJ73" s="357"/>
      <c r="AK73" s="307"/>
      <c r="AN73" s="357"/>
      <c r="AO73" s="307"/>
      <c r="AS73"/>
      <c r="AT73"/>
      <c r="AU73"/>
      <c r="AW73" s="357"/>
      <c r="AX73" s="357"/>
      <c r="AY73" s="357"/>
      <c r="AZ73" s="307"/>
      <c r="BD73"/>
      <c r="BE73"/>
      <c r="BF73"/>
    </row>
    <row r="74" spans="1:58">
      <c r="AF74" s="357"/>
      <c r="AG74" s="307"/>
      <c r="AJ74" s="357"/>
      <c r="AK74" s="307"/>
      <c r="AN74" s="357"/>
      <c r="AO74" s="307"/>
      <c r="AS74"/>
      <c r="AT74"/>
      <c r="AU74"/>
      <c r="AW74" s="357"/>
      <c r="AX74" s="357"/>
      <c r="AY74" s="357"/>
      <c r="AZ74" s="307"/>
      <c r="BD74"/>
      <c r="BE74"/>
      <c r="BF74"/>
    </row>
    <row r="75" spans="1:58">
      <c r="AF75" s="357"/>
      <c r="AG75" s="307"/>
      <c r="AJ75" s="357"/>
      <c r="AK75" s="307"/>
      <c r="AN75" s="357"/>
      <c r="AO75" s="307"/>
      <c r="AS75"/>
      <c r="AT75"/>
      <c r="AU75"/>
      <c r="AW75" s="357"/>
      <c r="AX75" s="357"/>
      <c r="AY75" s="357"/>
      <c r="AZ75" s="307"/>
      <c r="BD75"/>
      <c r="BE75"/>
      <c r="BF75"/>
    </row>
    <row r="76" spans="1:58">
      <c r="O76" s="307"/>
      <c r="P76" s="357"/>
      <c r="Q76" s="307"/>
      <c r="T76" s="357"/>
      <c r="U76" s="307"/>
      <c r="X76" s="357"/>
      <c r="Y76" s="307"/>
      <c r="AB76" s="357"/>
      <c r="AC76" s="307"/>
      <c r="AH76" s="307"/>
      <c r="AJ76" s="357"/>
      <c r="AL76" s="307"/>
      <c r="AN76" s="357"/>
      <c r="AO76" s="307"/>
      <c r="AP76"/>
      <c r="AQ76"/>
      <c r="AR76"/>
      <c r="AS76"/>
      <c r="AU76" s="357"/>
      <c r="AV76" s="357"/>
      <c r="AW76" s="307"/>
      <c r="AX76" s="357"/>
      <c r="AY76" s="357"/>
      <c r="AZ76" s="307"/>
      <c r="BA76"/>
      <c r="BB76"/>
      <c r="BC76"/>
      <c r="BD76"/>
      <c r="BE76"/>
      <c r="BF76"/>
    </row>
    <row r="77" spans="1:58">
      <c r="O77" s="307"/>
      <c r="P77" s="357"/>
      <c r="Q77" s="307"/>
      <c r="T77" s="357"/>
      <c r="U77" s="307"/>
      <c r="X77" s="357"/>
      <c r="Y77" s="307"/>
      <c r="AB77" s="357"/>
      <c r="AC77" s="307"/>
      <c r="AH77" s="307"/>
      <c r="AJ77" s="357"/>
      <c r="AL77" s="307"/>
      <c r="AN77" s="357"/>
      <c r="AO77" s="307"/>
      <c r="AP77"/>
      <c r="AQ77"/>
      <c r="AR77"/>
      <c r="AS77"/>
      <c r="AU77" s="357"/>
      <c r="AV77" s="357"/>
      <c r="AW77" s="307"/>
      <c r="AX77" s="357"/>
      <c r="AY77" s="357"/>
      <c r="AZ77" s="307"/>
      <c r="BA77"/>
      <c r="BB77"/>
      <c r="BC77"/>
      <c r="BD77"/>
      <c r="BE77"/>
      <c r="BF77"/>
    </row>
    <row r="78" spans="1:58">
      <c r="O78" s="307"/>
      <c r="P78" s="357"/>
      <c r="Q78" s="307"/>
      <c r="T78" s="357"/>
      <c r="U78" s="307"/>
      <c r="X78" s="357"/>
      <c r="Y78" s="307"/>
      <c r="AB78" s="357"/>
      <c r="AC78" s="307"/>
      <c r="AH78" s="307"/>
      <c r="AJ78" s="357"/>
      <c r="AL78" s="307"/>
      <c r="AN78" s="357"/>
      <c r="AO78" s="307"/>
      <c r="AP78"/>
      <c r="AQ78"/>
      <c r="AR78"/>
      <c r="AS78"/>
      <c r="AU78" s="357"/>
      <c r="AV78" s="357"/>
      <c r="AW78" s="307"/>
      <c r="AX78" s="357"/>
      <c r="AY78" s="357"/>
      <c r="AZ78" s="307"/>
      <c r="BA78"/>
      <c r="BB78"/>
      <c r="BC78"/>
      <c r="BD78"/>
      <c r="BE78"/>
      <c r="BF78"/>
    </row>
    <row r="79" spans="1:58">
      <c r="O79" s="307"/>
      <c r="P79" s="357"/>
      <c r="Q79" s="307"/>
      <c r="T79" s="357"/>
      <c r="U79" s="307"/>
      <c r="X79" s="357"/>
      <c r="Y79" s="307"/>
      <c r="AB79" s="357"/>
      <c r="AC79" s="307"/>
      <c r="AH79" s="307"/>
      <c r="AJ79" s="357"/>
      <c r="AL79" s="307"/>
      <c r="AN79" s="357"/>
      <c r="AO79" s="307"/>
      <c r="AP79"/>
      <c r="AQ79"/>
      <c r="AR79"/>
      <c r="AS79"/>
      <c r="AU79" s="357"/>
      <c r="AV79" s="357"/>
      <c r="AW79" s="307"/>
      <c r="AX79" s="357"/>
      <c r="AY79" s="357"/>
      <c r="AZ79" s="307"/>
      <c r="BA79"/>
      <c r="BB79"/>
      <c r="BC79"/>
      <c r="BD79"/>
      <c r="BE79"/>
      <c r="BF79"/>
    </row>
    <row r="80" spans="1:58">
      <c r="O80" s="307"/>
      <c r="P80" s="357"/>
      <c r="Q80" s="307"/>
      <c r="T80" s="357"/>
      <c r="U80" s="307"/>
      <c r="X80" s="357"/>
      <c r="Y80" s="307"/>
      <c r="AB80" s="357"/>
      <c r="AC80" s="307"/>
      <c r="AH80" s="307"/>
      <c r="AJ80" s="357"/>
      <c r="AL80" s="307"/>
      <c r="AN80" s="357"/>
      <c r="AO80" s="307"/>
      <c r="AP80"/>
      <c r="AQ80"/>
      <c r="AR80"/>
      <c r="AS80"/>
      <c r="AU80" s="357"/>
      <c r="AV80" s="357"/>
      <c r="AW80" s="307"/>
      <c r="AX80" s="357"/>
      <c r="AY80" s="357"/>
      <c r="AZ80" s="307"/>
      <c r="BA80"/>
      <c r="BB80"/>
      <c r="BC80"/>
      <c r="BD80"/>
      <c r="BE80"/>
      <c r="BF80"/>
    </row>
    <row r="81" spans="15:58">
      <c r="O81" s="307"/>
      <c r="P81" s="357"/>
      <c r="Q81" s="307"/>
      <c r="T81" s="357"/>
      <c r="U81" s="307"/>
      <c r="X81" s="357"/>
      <c r="Y81" s="307"/>
      <c r="AB81" s="357"/>
      <c r="AC81" s="307"/>
      <c r="AH81" s="307"/>
      <c r="AJ81" s="357"/>
      <c r="AL81" s="307"/>
      <c r="AN81" s="357"/>
      <c r="AO81" s="307"/>
      <c r="AP81"/>
      <c r="AQ81"/>
      <c r="AR81"/>
      <c r="AS81"/>
      <c r="AU81" s="357"/>
      <c r="AV81" s="357"/>
      <c r="AW81" s="307"/>
      <c r="AX81" s="357"/>
      <c r="AY81" s="357"/>
      <c r="AZ81" s="307"/>
      <c r="BA81"/>
      <c r="BB81"/>
      <c r="BC81"/>
      <c r="BD81"/>
      <c r="BE81"/>
      <c r="BF81"/>
    </row>
    <row r="82" spans="15:58">
      <c r="O82" s="307"/>
      <c r="P82" s="357"/>
      <c r="Q82" s="307"/>
      <c r="T82" s="357"/>
      <c r="U82" s="307"/>
      <c r="X82" s="357"/>
      <c r="Y82" s="307"/>
      <c r="AB82" s="357"/>
      <c r="AC82" s="307"/>
      <c r="AH82" s="307"/>
      <c r="AJ82" s="357"/>
      <c r="AL82" s="307"/>
      <c r="AN82" s="357"/>
      <c r="AO82" s="307"/>
      <c r="AP82"/>
      <c r="AQ82"/>
      <c r="AR82"/>
      <c r="AS82"/>
      <c r="AU82" s="357"/>
      <c r="AV82" s="357"/>
      <c r="AW82" s="307"/>
      <c r="AX82" s="357"/>
      <c r="AY82" s="357"/>
      <c r="AZ82" s="307"/>
      <c r="BA82"/>
      <c r="BB82"/>
      <c r="BC82"/>
      <c r="BD82"/>
      <c r="BE82"/>
      <c r="BF82"/>
    </row>
    <row r="83" spans="15:58">
      <c r="O83" s="307"/>
      <c r="P83" s="357"/>
      <c r="Q83" s="307"/>
      <c r="T83" s="357"/>
      <c r="U83" s="307"/>
      <c r="X83" s="357"/>
      <c r="Y83" s="307"/>
      <c r="AB83" s="357"/>
      <c r="AC83" s="307"/>
      <c r="AH83" s="307"/>
      <c r="AJ83" s="357"/>
      <c r="AL83" s="307"/>
      <c r="AN83" s="357"/>
      <c r="AO83" s="307"/>
      <c r="AP83"/>
      <c r="AQ83"/>
      <c r="AR83"/>
      <c r="AS83"/>
      <c r="AU83" s="357"/>
      <c r="AV83" s="357"/>
      <c r="AW83" s="307"/>
      <c r="AX83" s="357"/>
      <c r="AY83" s="357"/>
      <c r="AZ83" s="307"/>
      <c r="BA83"/>
      <c r="BB83"/>
      <c r="BC83"/>
      <c r="BD83"/>
      <c r="BE83"/>
      <c r="BF83"/>
    </row>
    <row r="84" spans="15:58">
      <c r="O84" s="307"/>
      <c r="P84" s="357"/>
      <c r="Q84" s="307"/>
      <c r="T84" s="357"/>
      <c r="U84" s="307"/>
      <c r="X84" s="357"/>
      <c r="Y84" s="307"/>
      <c r="AB84" s="357"/>
      <c r="AC84" s="307"/>
      <c r="AH84" s="307"/>
      <c r="AJ84" s="357"/>
      <c r="AL84" s="307"/>
      <c r="AN84" s="357"/>
      <c r="AO84" s="307"/>
      <c r="AP84"/>
      <c r="AQ84"/>
      <c r="AR84"/>
      <c r="AS84"/>
      <c r="AU84" s="357"/>
      <c r="AV84" s="357"/>
      <c r="AW84" s="307"/>
      <c r="AX84" s="357"/>
      <c r="AY84" s="357"/>
      <c r="AZ84" s="307"/>
      <c r="BA84"/>
      <c r="BB84"/>
      <c r="BC84"/>
      <c r="BD84"/>
      <c r="BE84"/>
      <c r="BF84"/>
    </row>
    <row r="85" spans="15:58">
      <c r="O85" s="307"/>
      <c r="P85" s="357"/>
      <c r="Q85" s="307"/>
      <c r="T85" s="357"/>
      <c r="U85" s="307"/>
      <c r="X85" s="357"/>
      <c r="Y85" s="307"/>
      <c r="AB85" s="357"/>
      <c r="AC85" s="307"/>
      <c r="AH85" s="307"/>
      <c r="AJ85" s="357"/>
      <c r="AL85" s="307"/>
      <c r="AN85" s="357"/>
      <c r="AO85" s="307"/>
      <c r="AP85"/>
      <c r="AQ85"/>
      <c r="AR85"/>
      <c r="AS85"/>
      <c r="AU85" s="357"/>
      <c r="AV85" s="357"/>
      <c r="AW85" s="307"/>
      <c r="AX85" s="357"/>
      <c r="AY85" s="357"/>
      <c r="AZ85" s="307"/>
      <c r="BA85"/>
      <c r="BB85"/>
      <c r="BC85"/>
      <c r="BD85"/>
      <c r="BE85"/>
      <c r="BF85"/>
    </row>
    <row r="86" spans="15:58">
      <c r="O86" s="307"/>
      <c r="P86" s="357"/>
      <c r="Q86" s="307"/>
      <c r="T86" s="357"/>
      <c r="U86" s="307"/>
      <c r="X86" s="357"/>
      <c r="Y86" s="307"/>
      <c r="AB86" s="357"/>
      <c r="AC86" s="307"/>
      <c r="AH86" s="307"/>
      <c r="AJ86" s="357"/>
      <c r="AL86" s="307"/>
      <c r="AN86" s="357"/>
      <c r="AO86" s="307"/>
      <c r="AP86"/>
      <c r="AQ86"/>
      <c r="AR86"/>
      <c r="AS86"/>
      <c r="AU86" s="357"/>
      <c r="AV86" s="357"/>
      <c r="AW86" s="307"/>
      <c r="AX86" s="357"/>
      <c r="AY86" s="357"/>
      <c r="AZ86" s="307"/>
      <c r="BA86"/>
      <c r="BB86"/>
      <c r="BC86"/>
      <c r="BD86"/>
      <c r="BE86"/>
      <c r="BF86"/>
    </row>
    <row r="87" spans="15:58">
      <c r="O87" s="307"/>
      <c r="P87" s="357"/>
      <c r="Q87" s="307"/>
      <c r="T87" s="357"/>
      <c r="U87" s="307"/>
      <c r="X87" s="357"/>
      <c r="Y87" s="307"/>
      <c r="AB87" s="357"/>
      <c r="AC87" s="307"/>
      <c r="AH87" s="307"/>
      <c r="AJ87" s="357"/>
      <c r="AL87" s="307"/>
      <c r="AN87" s="357"/>
      <c r="AO87" s="307"/>
      <c r="AP87"/>
      <c r="AQ87"/>
      <c r="AR87"/>
      <c r="AS87"/>
      <c r="AU87" s="357"/>
      <c r="AV87" s="357"/>
      <c r="AW87" s="307"/>
      <c r="AX87" s="357"/>
      <c r="AY87" s="357"/>
      <c r="AZ87" s="307"/>
      <c r="BA87"/>
      <c r="BB87"/>
      <c r="BC87"/>
      <c r="BD87"/>
      <c r="BE87"/>
      <c r="BF87"/>
    </row>
    <row r="88" spans="15:58">
      <c r="O88" s="307"/>
      <c r="P88" s="357"/>
      <c r="Q88" s="307"/>
      <c r="T88" s="357"/>
      <c r="U88" s="307"/>
      <c r="X88" s="357"/>
      <c r="Y88" s="307"/>
      <c r="AB88" s="357"/>
      <c r="AC88" s="307"/>
      <c r="AH88" s="307"/>
      <c r="AJ88" s="357"/>
      <c r="AL88" s="307"/>
      <c r="AN88" s="357"/>
      <c r="AO88" s="307"/>
      <c r="AP88"/>
      <c r="AQ88"/>
      <c r="AR88"/>
      <c r="AS88"/>
      <c r="AU88" s="357"/>
      <c r="AV88" s="357"/>
      <c r="AW88" s="307"/>
      <c r="AX88" s="357"/>
      <c r="AY88" s="357"/>
      <c r="AZ88" s="307"/>
      <c r="BA88"/>
      <c r="BB88"/>
      <c r="BC88"/>
      <c r="BD88"/>
      <c r="BE88"/>
      <c r="BF88"/>
    </row>
    <row r="89" spans="15:58">
      <c r="O89" s="307"/>
      <c r="P89" s="357"/>
      <c r="Q89" s="307"/>
      <c r="T89" s="357"/>
      <c r="U89" s="307"/>
      <c r="X89" s="357"/>
      <c r="Y89" s="307"/>
      <c r="AB89" s="357"/>
      <c r="AC89" s="307"/>
      <c r="AH89" s="307"/>
      <c r="AJ89" s="357"/>
      <c r="AL89" s="307"/>
      <c r="AN89" s="357"/>
      <c r="AO89" s="307"/>
      <c r="AP89"/>
      <c r="AQ89"/>
      <c r="AR89"/>
      <c r="AS89"/>
      <c r="AU89" s="357"/>
      <c r="AV89" s="357"/>
      <c r="AW89" s="307"/>
      <c r="AX89" s="357"/>
      <c r="AY89" s="357"/>
      <c r="AZ89" s="307"/>
      <c r="BA89"/>
      <c r="BB89"/>
      <c r="BC89"/>
      <c r="BD89"/>
      <c r="BE89"/>
      <c r="BF89"/>
    </row>
    <row r="90" spans="15:58">
      <c r="O90" s="307"/>
      <c r="P90" s="357"/>
      <c r="Q90" s="307"/>
      <c r="T90" s="357"/>
      <c r="U90" s="307"/>
      <c r="X90" s="357"/>
      <c r="Y90" s="307"/>
      <c r="AB90" s="357"/>
      <c r="AC90" s="307"/>
      <c r="AH90" s="307"/>
      <c r="AJ90" s="357"/>
      <c r="AL90" s="307"/>
      <c r="AN90" s="357"/>
      <c r="AO90" s="307"/>
      <c r="AP90"/>
      <c r="AQ90"/>
      <c r="AR90"/>
      <c r="AS90"/>
      <c r="AU90" s="357"/>
      <c r="AV90" s="357"/>
      <c r="AW90" s="307"/>
      <c r="AX90" s="357"/>
      <c r="AY90" s="357"/>
      <c r="AZ90" s="307"/>
      <c r="BA90"/>
      <c r="BB90"/>
      <c r="BC90"/>
      <c r="BD90"/>
      <c r="BE90"/>
      <c r="BF90"/>
    </row>
    <row r="91" spans="15:58">
      <c r="O91" s="307"/>
      <c r="P91" s="357"/>
      <c r="Q91" s="307"/>
      <c r="T91" s="357"/>
      <c r="U91" s="307"/>
      <c r="X91" s="357"/>
      <c r="Y91" s="307"/>
      <c r="AB91" s="357"/>
      <c r="AC91" s="307"/>
      <c r="AH91" s="307"/>
      <c r="AJ91" s="357"/>
      <c r="AL91" s="307"/>
      <c r="AN91" s="357"/>
      <c r="AO91" s="307"/>
      <c r="AP91"/>
      <c r="AQ91"/>
      <c r="AR91"/>
      <c r="AS91"/>
      <c r="AU91" s="357"/>
      <c r="AV91" s="357"/>
      <c r="AW91" s="307"/>
      <c r="AX91" s="357"/>
      <c r="AY91" s="357"/>
      <c r="AZ91" s="307"/>
      <c r="BA91"/>
      <c r="BB91"/>
      <c r="BC91"/>
      <c r="BD91"/>
      <c r="BE91"/>
      <c r="BF91"/>
    </row>
    <row r="92" spans="15:58">
      <c r="O92" s="307"/>
      <c r="P92" s="357"/>
      <c r="Q92" s="307"/>
      <c r="T92" s="357"/>
      <c r="U92" s="307"/>
      <c r="X92" s="357"/>
      <c r="Y92" s="307"/>
      <c r="AB92" s="357"/>
      <c r="AC92" s="307"/>
      <c r="AH92" s="307"/>
      <c r="AJ92" s="357"/>
      <c r="AL92" s="307"/>
      <c r="AN92" s="357"/>
      <c r="AO92" s="307"/>
      <c r="AP92"/>
      <c r="AQ92"/>
      <c r="AR92"/>
      <c r="AS92"/>
      <c r="AU92" s="357"/>
      <c r="AV92" s="357"/>
      <c r="AW92" s="307"/>
      <c r="AX92" s="357"/>
      <c r="AY92" s="357"/>
      <c r="AZ92" s="307"/>
      <c r="BA92"/>
      <c r="BB92"/>
      <c r="BC92"/>
      <c r="BD92"/>
      <c r="BE92"/>
      <c r="BF92"/>
    </row>
    <row r="93" spans="15:58">
      <c r="O93" s="307"/>
      <c r="P93" s="357"/>
      <c r="Q93" s="307"/>
      <c r="T93" s="357"/>
      <c r="U93" s="307"/>
      <c r="X93" s="357"/>
      <c r="Y93" s="307"/>
      <c r="AB93" s="357"/>
      <c r="AC93" s="307"/>
      <c r="AH93" s="307"/>
      <c r="AJ93" s="357"/>
      <c r="AL93" s="307"/>
      <c r="AN93" s="357"/>
      <c r="AO93" s="307"/>
      <c r="AP93"/>
      <c r="AQ93"/>
      <c r="AR93"/>
      <c r="AS93"/>
      <c r="AU93" s="357"/>
      <c r="AV93" s="357"/>
      <c r="AW93" s="307"/>
      <c r="AX93" s="357"/>
      <c r="AY93" s="357"/>
      <c r="AZ93" s="307"/>
      <c r="BA93"/>
      <c r="BB93"/>
      <c r="BC93"/>
      <c r="BD93"/>
      <c r="BE93"/>
      <c r="BF93"/>
    </row>
    <row r="94" spans="15:58">
      <c r="O94" s="307"/>
      <c r="P94" s="357"/>
      <c r="Q94" s="307"/>
      <c r="T94" s="357"/>
      <c r="U94" s="307"/>
      <c r="X94" s="357"/>
      <c r="Y94" s="307"/>
      <c r="AB94" s="357"/>
      <c r="AC94" s="307"/>
      <c r="AH94" s="307"/>
      <c r="AJ94" s="357"/>
      <c r="AL94" s="307"/>
      <c r="AN94" s="357"/>
      <c r="AO94" s="307"/>
      <c r="AP94"/>
      <c r="AQ94"/>
      <c r="AR94"/>
      <c r="AS94"/>
      <c r="AU94" s="357"/>
      <c r="AV94" s="357"/>
      <c r="AW94" s="307"/>
      <c r="AX94" s="357"/>
      <c r="AY94" s="357"/>
      <c r="AZ94" s="307"/>
      <c r="BA94"/>
      <c r="BB94"/>
      <c r="BC94"/>
      <c r="BD94"/>
      <c r="BE94"/>
      <c r="BF94"/>
    </row>
    <row r="95" spans="15:58">
      <c r="O95" s="307"/>
      <c r="P95" s="357"/>
      <c r="Q95" s="307"/>
      <c r="T95" s="357"/>
      <c r="U95" s="307"/>
      <c r="X95" s="357"/>
      <c r="Y95" s="307"/>
      <c r="AB95" s="357"/>
      <c r="AC95" s="307"/>
      <c r="AH95" s="307"/>
      <c r="AJ95" s="357"/>
      <c r="AL95" s="307"/>
      <c r="AN95" s="357"/>
      <c r="AO95" s="307"/>
      <c r="AP95"/>
      <c r="AQ95"/>
      <c r="AR95"/>
      <c r="AS95"/>
      <c r="AU95" s="357"/>
      <c r="AV95" s="357"/>
      <c r="AW95" s="307"/>
      <c r="AX95" s="357"/>
      <c r="AY95" s="357"/>
      <c r="AZ95" s="307"/>
      <c r="BA95"/>
      <c r="BB95"/>
      <c r="BC95"/>
      <c r="BD95"/>
      <c r="BE95"/>
      <c r="BF95"/>
    </row>
    <row r="96" spans="15:58">
      <c r="O96" s="307"/>
      <c r="P96" s="357"/>
      <c r="Q96" s="307"/>
      <c r="T96" s="357"/>
      <c r="U96" s="307"/>
      <c r="X96" s="357"/>
      <c r="Y96" s="307"/>
      <c r="AB96" s="357"/>
      <c r="AC96" s="307"/>
      <c r="AH96" s="307"/>
      <c r="AJ96" s="357"/>
      <c r="AL96" s="307"/>
      <c r="AN96" s="357"/>
      <c r="AO96" s="307"/>
      <c r="AP96"/>
      <c r="AQ96"/>
      <c r="AR96"/>
      <c r="AS96"/>
      <c r="AU96" s="357"/>
      <c r="AV96" s="357"/>
      <c r="AW96" s="307"/>
      <c r="AX96" s="357"/>
      <c r="AY96" s="357"/>
      <c r="AZ96" s="307"/>
      <c r="BA96"/>
      <c r="BB96"/>
      <c r="BC96"/>
      <c r="BD96"/>
      <c r="BE96"/>
      <c r="BF96"/>
    </row>
    <row r="97" spans="15:58">
      <c r="O97" s="307"/>
      <c r="P97" s="357"/>
      <c r="Q97" s="307"/>
      <c r="T97" s="357"/>
      <c r="U97" s="307"/>
      <c r="X97" s="357"/>
      <c r="Y97" s="307"/>
      <c r="AB97" s="357"/>
      <c r="AC97" s="307"/>
      <c r="AH97" s="307"/>
      <c r="AJ97" s="357"/>
      <c r="AL97" s="307"/>
      <c r="AN97" s="357"/>
      <c r="AO97" s="307"/>
      <c r="AP97"/>
      <c r="AQ97"/>
      <c r="AR97"/>
      <c r="AS97"/>
      <c r="AU97" s="357"/>
      <c r="AV97" s="357"/>
      <c r="AW97" s="307"/>
      <c r="AX97" s="357"/>
      <c r="AY97" s="357"/>
      <c r="AZ97" s="307"/>
      <c r="BA97"/>
      <c r="BB97"/>
      <c r="BC97"/>
      <c r="BD97"/>
      <c r="BE97"/>
      <c r="BF97"/>
    </row>
    <row r="98" spans="15:58">
      <c r="O98" s="307"/>
      <c r="P98" s="357"/>
      <c r="Q98" s="307"/>
      <c r="T98" s="357"/>
      <c r="U98" s="307"/>
      <c r="X98" s="357"/>
      <c r="Y98" s="307"/>
      <c r="AB98" s="357"/>
      <c r="AC98" s="307"/>
      <c r="AH98" s="307"/>
      <c r="AJ98" s="357"/>
      <c r="AL98" s="307"/>
      <c r="AN98" s="357"/>
      <c r="AO98" s="307"/>
      <c r="AP98"/>
      <c r="AQ98"/>
      <c r="AR98"/>
      <c r="AS98"/>
      <c r="AU98" s="357"/>
      <c r="AV98" s="357"/>
      <c r="AW98" s="307"/>
      <c r="AX98" s="357"/>
      <c r="AY98" s="357"/>
      <c r="AZ98" s="307"/>
      <c r="BA98"/>
      <c r="BB98"/>
      <c r="BC98"/>
      <c r="BD98"/>
      <c r="BE98"/>
      <c r="BF98"/>
    </row>
    <row r="99" spans="15:58">
      <c r="O99" s="307"/>
      <c r="P99" s="357"/>
      <c r="Q99" s="307"/>
      <c r="T99" s="357"/>
      <c r="U99" s="307"/>
      <c r="X99" s="357"/>
      <c r="Y99" s="307"/>
      <c r="AB99" s="357"/>
      <c r="AC99" s="307"/>
      <c r="AH99" s="307"/>
      <c r="AJ99" s="357"/>
      <c r="AL99" s="307"/>
      <c r="AN99" s="357"/>
      <c r="AO99" s="307"/>
      <c r="AP99"/>
      <c r="AQ99"/>
      <c r="AR99"/>
      <c r="AS99"/>
      <c r="AU99" s="357"/>
      <c r="AV99" s="357"/>
      <c r="AW99" s="307"/>
      <c r="AX99" s="357"/>
      <c r="AY99" s="357"/>
      <c r="AZ99" s="307"/>
      <c r="BA99"/>
      <c r="BB99"/>
      <c r="BC99"/>
      <c r="BD99"/>
      <c r="BE99"/>
      <c r="BF99"/>
    </row>
    <row r="100" spans="15:58">
      <c r="O100" s="307"/>
      <c r="P100" s="357"/>
      <c r="Q100" s="307"/>
      <c r="T100" s="357"/>
      <c r="U100" s="307"/>
      <c r="X100" s="357"/>
      <c r="Y100" s="307"/>
      <c r="AB100" s="357"/>
      <c r="AC100" s="307"/>
      <c r="AH100" s="307"/>
      <c r="AJ100" s="357"/>
      <c r="AL100" s="307"/>
      <c r="AN100" s="357"/>
      <c r="AO100" s="307"/>
      <c r="AP100"/>
      <c r="AQ100"/>
      <c r="AR100"/>
      <c r="AS100"/>
      <c r="AU100" s="357"/>
      <c r="AV100" s="357"/>
      <c r="AW100" s="307"/>
      <c r="AX100" s="357"/>
      <c r="AY100" s="357"/>
      <c r="AZ100" s="307"/>
      <c r="BA100"/>
      <c r="BB100"/>
      <c r="BC100"/>
      <c r="BD100"/>
      <c r="BE100"/>
      <c r="BF100"/>
    </row>
    <row r="101" spans="15:58">
      <c r="O101" s="307"/>
      <c r="P101" s="357"/>
      <c r="Q101" s="307"/>
      <c r="T101" s="357"/>
      <c r="U101" s="307"/>
      <c r="X101" s="357"/>
      <c r="Y101" s="307"/>
      <c r="AB101" s="357"/>
      <c r="AC101" s="307"/>
      <c r="AH101" s="307"/>
      <c r="AJ101" s="357"/>
      <c r="AL101" s="307"/>
      <c r="AN101" s="357"/>
      <c r="AO101" s="307"/>
      <c r="AP101"/>
      <c r="AQ101"/>
      <c r="AR101"/>
      <c r="AS101"/>
      <c r="AU101" s="357"/>
      <c r="AV101" s="357"/>
      <c r="AW101" s="307"/>
      <c r="AX101" s="357"/>
      <c r="AY101" s="357"/>
      <c r="AZ101" s="307"/>
      <c r="BA101"/>
      <c r="BB101"/>
      <c r="BC101"/>
      <c r="BD101"/>
      <c r="BE101"/>
      <c r="BF101"/>
    </row>
    <row r="102" spans="15:58">
      <c r="O102" s="307"/>
      <c r="P102" s="357"/>
      <c r="Q102" s="307"/>
      <c r="T102" s="357"/>
      <c r="U102" s="307"/>
      <c r="X102" s="357"/>
      <c r="Y102" s="307"/>
      <c r="AB102" s="357"/>
      <c r="AC102" s="307"/>
      <c r="AH102" s="307"/>
      <c r="AJ102" s="357"/>
      <c r="AL102" s="307"/>
      <c r="AN102" s="357"/>
      <c r="AO102" s="307"/>
      <c r="AP102"/>
      <c r="AQ102"/>
      <c r="AR102"/>
      <c r="AS102"/>
      <c r="AU102" s="357"/>
      <c r="AV102" s="357"/>
      <c r="AW102" s="307"/>
      <c r="AX102" s="357"/>
      <c r="AY102" s="357"/>
      <c r="AZ102" s="307"/>
      <c r="BA102"/>
      <c r="BB102"/>
      <c r="BC102"/>
      <c r="BD102"/>
      <c r="BE102"/>
      <c r="BF102"/>
    </row>
    <row r="103" spans="15:58">
      <c r="O103" s="307"/>
      <c r="P103" s="357"/>
      <c r="Q103" s="307"/>
      <c r="T103" s="357"/>
      <c r="U103" s="307"/>
      <c r="X103" s="357"/>
      <c r="Y103" s="307"/>
      <c r="AB103" s="357"/>
      <c r="AC103" s="307"/>
      <c r="AH103" s="307"/>
      <c r="AJ103" s="357"/>
      <c r="AL103" s="307"/>
      <c r="AN103" s="357"/>
      <c r="AO103" s="307"/>
      <c r="AP103"/>
      <c r="AQ103"/>
      <c r="AR103"/>
      <c r="AS103"/>
      <c r="AU103" s="357"/>
      <c r="AV103" s="357"/>
      <c r="AW103" s="307"/>
      <c r="AX103" s="357"/>
      <c r="AY103" s="357"/>
      <c r="AZ103" s="307"/>
      <c r="BA103"/>
      <c r="BB103"/>
      <c r="BC103"/>
      <c r="BD103"/>
      <c r="BE103"/>
      <c r="BF103"/>
    </row>
    <row r="104" spans="15:58">
      <c r="O104" s="307"/>
      <c r="P104" s="357"/>
      <c r="Q104" s="307"/>
      <c r="T104" s="357"/>
      <c r="U104" s="307"/>
      <c r="X104" s="357"/>
      <c r="Y104" s="307"/>
      <c r="AB104" s="357"/>
      <c r="AC104" s="307"/>
      <c r="AH104" s="307"/>
      <c r="AJ104" s="357"/>
      <c r="AL104" s="307"/>
      <c r="AN104" s="357"/>
      <c r="AO104" s="307"/>
      <c r="AP104"/>
      <c r="AQ104"/>
      <c r="AR104"/>
      <c r="AS104"/>
      <c r="AU104" s="357"/>
      <c r="AV104" s="357"/>
      <c r="AW104" s="307"/>
      <c r="AX104" s="357"/>
      <c r="AY104" s="357"/>
      <c r="AZ104" s="307"/>
      <c r="BA104"/>
      <c r="BB104"/>
      <c r="BC104"/>
      <c r="BD104"/>
      <c r="BE104"/>
      <c r="BF104"/>
    </row>
    <row r="105" spans="15:58">
      <c r="O105" s="307"/>
      <c r="P105" s="357"/>
      <c r="Q105" s="307"/>
      <c r="T105" s="357"/>
      <c r="U105" s="307"/>
      <c r="X105" s="357"/>
      <c r="Y105" s="307"/>
      <c r="AB105" s="357"/>
      <c r="AC105" s="307"/>
      <c r="AH105" s="307"/>
      <c r="AJ105" s="357"/>
      <c r="AL105" s="307"/>
      <c r="AN105" s="357"/>
      <c r="AO105" s="307"/>
      <c r="AP105"/>
      <c r="AQ105"/>
      <c r="AR105"/>
      <c r="AS105"/>
      <c r="AU105" s="357"/>
      <c r="AV105" s="357"/>
      <c r="AW105" s="307"/>
      <c r="AX105" s="357"/>
      <c r="AY105" s="357"/>
      <c r="AZ105" s="307"/>
      <c r="BA105"/>
      <c r="BB105"/>
      <c r="BC105"/>
      <c r="BD105"/>
      <c r="BE105"/>
      <c r="BF105"/>
    </row>
    <row r="106" spans="15:58">
      <c r="O106" s="307"/>
      <c r="P106" s="357"/>
      <c r="Q106" s="307"/>
      <c r="T106" s="357"/>
      <c r="U106" s="307"/>
      <c r="X106" s="357"/>
      <c r="Y106" s="307"/>
      <c r="AB106" s="357"/>
      <c r="AC106" s="307"/>
      <c r="AH106" s="307"/>
      <c r="AJ106" s="357"/>
      <c r="AL106" s="307"/>
      <c r="AN106" s="357"/>
      <c r="AO106" s="307"/>
      <c r="AP106"/>
      <c r="AQ106"/>
      <c r="AR106"/>
      <c r="AS106"/>
      <c r="AU106" s="357"/>
      <c r="AV106" s="357"/>
      <c r="AW106" s="307"/>
      <c r="AX106" s="357"/>
      <c r="AY106" s="357"/>
      <c r="AZ106" s="307"/>
      <c r="BA106"/>
      <c r="BB106"/>
      <c r="BC106"/>
      <c r="BD106"/>
      <c r="BE106"/>
      <c r="BF106"/>
    </row>
    <row r="107" spans="15:58">
      <c r="O107" s="307"/>
      <c r="P107" s="357"/>
      <c r="Q107" s="307"/>
      <c r="T107" s="357"/>
      <c r="U107" s="307"/>
      <c r="X107" s="357"/>
      <c r="Y107" s="307"/>
      <c r="AB107" s="357"/>
      <c r="AC107" s="307"/>
      <c r="AH107" s="307"/>
      <c r="AJ107" s="357"/>
      <c r="AL107" s="307"/>
      <c r="AN107" s="357"/>
      <c r="AO107" s="307"/>
      <c r="AP107"/>
      <c r="AQ107"/>
      <c r="AR107"/>
      <c r="AS107"/>
      <c r="AU107" s="357"/>
      <c r="AV107" s="357"/>
      <c r="AW107" s="307"/>
      <c r="AX107" s="357"/>
      <c r="AY107" s="357"/>
      <c r="AZ107" s="307"/>
      <c r="BA107"/>
      <c r="BB107"/>
      <c r="BC107"/>
      <c r="BD107"/>
      <c r="BE107"/>
      <c r="BF107"/>
    </row>
    <row r="108" spans="15:58">
      <c r="O108" s="307"/>
      <c r="P108" s="357"/>
      <c r="Q108" s="307"/>
      <c r="T108" s="357"/>
      <c r="U108" s="307"/>
      <c r="X108" s="357"/>
      <c r="Y108" s="307"/>
      <c r="AB108" s="357"/>
      <c r="AC108" s="307"/>
      <c r="AH108" s="307"/>
      <c r="AJ108" s="357"/>
      <c r="AL108" s="307"/>
      <c r="AN108" s="357"/>
      <c r="AO108" s="307"/>
      <c r="AP108"/>
      <c r="AQ108"/>
      <c r="AR108"/>
      <c r="AS108"/>
      <c r="AU108" s="357"/>
      <c r="AV108" s="357"/>
      <c r="AW108" s="307"/>
      <c r="AX108" s="357"/>
      <c r="AY108" s="357"/>
      <c r="AZ108" s="307"/>
      <c r="BA108"/>
      <c r="BB108"/>
      <c r="BC108"/>
      <c r="BD108"/>
      <c r="BE108"/>
      <c r="BF108"/>
    </row>
    <row r="109" spans="15:58">
      <c r="O109" s="307"/>
      <c r="P109" s="357"/>
      <c r="Q109" s="307"/>
      <c r="T109" s="357"/>
      <c r="U109" s="307"/>
      <c r="X109" s="357"/>
      <c r="Y109" s="307"/>
      <c r="AB109" s="357"/>
      <c r="AC109" s="307"/>
      <c r="AH109" s="307"/>
      <c r="AJ109" s="357"/>
      <c r="AL109" s="307"/>
      <c r="AN109" s="357"/>
      <c r="AO109" s="307"/>
      <c r="AP109"/>
      <c r="AQ109"/>
      <c r="AR109"/>
      <c r="AS109"/>
      <c r="AU109" s="357"/>
      <c r="AV109" s="357"/>
      <c r="AW109" s="307"/>
      <c r="AX109" s="357"/>
      <c r="AY109" s="357"/>
      <c r="AZ109" s="307"/>
      <c r="BA109"/>
      <c r="BB109"/>
      <c r="BC109"/>
      <c r="BD109"/>
      <c r="BE109"/>
      <c r="BF109"/>
    </row>
    <row r="110" spans="15:58">
      <c r="O110" s="307"/>
      <c r="P110" s="357"/>
      <c r="Q110" s="307"/>
      <c r="T110" s="357"/>
      <c r="U110" s="307"/>
      <c r="X110" s="357"/>
      <c r="Y110" s="307"/>
      <c r="AB110" s="357"/>
      <c r="AC110" s="307"/>
      <c r="AH110" s="307"/>
      <c r="AJ110" s="357"/>
      <c r="AL110" s="307"/>
      <c r="AN110" s="357"/>
      <c r="AO110" s="307"/>
      <c r="AP110"/>
      <c r="AQ110"/>
      <c r="AR110"/>
      <c r="AS110"/>
      <c r="AU110" s="357"/>
      <c r="AV110" s="357"/>
      <c r="AW110" s="307"/>
      <c r="AX110" s="357"/>
      <c r="AY110" s="357"/>
      <c r="AZ110" s="307"/>
      <c r="BA110"/>
      <c r="BB110"/>
      <c r="BC110"/>
      <c r="BD110"/>
      <c r="BE110"/>
      <c r="BF110"/>
    </row>
    <row r="111" spans="15:58">
      <c r="O111" s="307"/>
      <c r="P111" s="357"/>
      <c r="Q111" s="307"/>
      <c r="T111" s="357"/>
      <c r="U111" s="307"/>
      <c r="X111" s="357"/>
      <c r="Y111" s="307"/>
      <c r="AB111" s="357"/>
      <c r="AC111" s="307"/>
      <c r="AH111" s="307"/>
      <c r="AJ111" s="357"/>
      <c r="AL111" s="307"/>
      <c r="AN111" s="357"/>
      <c r="AO111" s="307"/>
      <c r="AP111"/>
      <c r="AQ111"/>
      <c r="AR111"/>
      <c r="AS111"/>
      <c r="AU111" s="357"/>
      <c r="AV111" s="357"/>
      <c r="AW111" s="307"/>
      <c r="AX111" s="357"/>
      <c r="AY111" s="357"/>
      <c r="AZ111" s="307"/>
      <c r="BA111"/>
      <c r="BB111"/>
      <c r="BC111"/>
      <c r="BD111"/>
      <c r="BE111"/>
      <c r="BF111"/>
    </row>
    <row r="112" spans="15:58">
      <c r="O112" s="307"/>
      <c r="P112" s="357"/>
      <c r="Q112" s="307"/>
      <c r="T112" s="357"/>
      <c r="U112" s="307"/>
      <c r="X112" s="357"/>
      <c r="Y112" s="307"/>
      <c r="AB112" s="357"/>
      <c r="AC112" s="307"/>
      <c r="AH112" s="307"/>
      <c r="AJ112" s="357"/>
      <c r="AL112" s="307"/>
      <c r="AN112" s="357"/>
      <c r="AO112" s="307"/>
      <c r="AP112"/>
      <c r="AQ112"/>
      <c r="AR112"/>
      <c r="AS112"/>
      <c r="AU112" s="357"/>
      <c r="AV112" s="357"/>
      <c r="AW112" s="307"/>
      <c r="AX112" s="357"/>
      <c r="AY112" s="357"/>
      <c r="AZ112" s="307"/>
      <c r="BA112"/>
      <c r="BB112"/>
      <c r="BC112"/>
      <c r="BD112"/>
      <c r="BE112"/>
      <c r="BF112"/>
    </row>
    <row r="113" spans="15:58">
      <c r="O113" s="307"/>
      <c r="P113" s="357"/>
      <c r="Q113" s="307"/>
      <c r="T113" s="357"/>
      <c r="U113" s="307"/>
      <c r="X113" s="357"/>
      <c r="Y113" s="307"/>
      <c r="AB113" s="357"/>
      <c r="AC113" s="307"/>
      <c r="AH113" s="307"/>
      <c r="AJ113" s="357"/>
      <c r="AL113" s="307"/>
      <c r="AN113" s="357"/>
      <c r="AO113" s="307"/>
      <c r="AP113"/>
      <c r="AQ113"/>
      <c r="AR113"/>
      <c r="AS113"/>
      <c r="AU113" s="357"/>
      <c r="AV113" s="357"/>
      <c r="AW113" s="307"/>
      <c r="AX113" s="357"/>
      <c r="AY113" s="357"/>
      <c r="AZ113" s="307"/>
      <c r="BA113"/>
      <c r="BB113"/>
      <c r="BC113"/>
      <c r="BD113"/>
      <c r="BE113"/>
      <c r="BF113"/>
    </row>
    <row r="114" spans="15:58">
      <c r="O114" s="307"/>
      <c r="P114" s="357"/>
      <c r="Q114" s="307"/>
      <c r="T114" s="357"/>
      <c r="U114" s="307"/>
      <c r="X114" s="357"/>
      <c r="Y114" s="307"/>
      <c r="AB114" s="357"/>
      <c r="AC114" s="307"/>
      <c r="AH114" s="307"/>
      <c r="AJ114" s="357"/>
      <c r="AL114" s="307"/>
      <c r="AN114" s="357"/>
      <c r="AO114" s="307"/>
      <c r="AP114"/>
      <c r="AQ114"/>
      <c r="AR114"/>
      <c r="AS114"/>
      <c r="AU114" s="357"/>
      <c r="AV114" s="357"/>
      <c r="AW114" s="307"/>
      <c r="AX114" s="357"/>
      <c r="AY114" s="357"/>
      <c r="AZ114" s="307"/>
      <c r="BA114"/>
      <c r="BB114"/>
      <c r="BC114"/>
      <c r="BD114"/>
      <c r="BE114"/>
      <c r="BF114"/>
    </row>
    <row r="115" spans="15:58">
      <c r="O115" s="307"/>
      <c r="P115" s="357"/>
      <c r="Q115" s="307"/>
      <c r="T115" s="357"/>
      <c r="U115" s="307"/>
      <c r="X115" s="357"/>
      <c r="Y115" s="307"/>
      <c r="AB115" s="357"/>
      <c r="AC115" s="307"/>
      <c r="AH115" s="307"/>
      <c r="AJ115" s="357"/>
      <c r="AL115" s="307"/>
      <c r="AN115" s="357"/>
      <c r="AO115" s="307"/>
      <c r="AP115"/>
      <c r="AQ115"/>
      <c r="AR115"/>
      <c r="AS115"/>
      <c r="AU115" s="357"/>
      <c r="AV115" s="357"/>
      <c r="AW115" s="307"/>
      <c r="AX115" s="357"/>
      <c r="AY115" s="357"/>
      <c r="AZ115" s="307"/>
      <c r="BA115"/>
      <c r="BB115"/>
      <c r="BC115"/>
      <c r="BD115"/>
      <c r="BE115"/>
      <c r="BF115"/>
    </row>
    <row r="116" spans="15:58">
      <c r="O116" s="307"/>
      <c r="P116" s="357"/>
      <c r="Q116" s="307"/>
      <c r="T116" s="357"/>
      <c r="U116" s="307"/>
      <c r="X116" s="357"/>
      <c r="Y116" s="307"/>
      <c r="AB116" s="357"/>
      <c r="AC116" s="307"/>
      <c r="AH116" s="307"/>
      <c r="AJ116" s="357"/>
      <c r="AL116" s="307"/>
      <c r="AN116" s="357"/>
      <c r="AO116" s="307"/>
      <c r="AP116"/>
      <c r="AQ116"/>
      <c r="AR116"/>
      <c r="AS116"/>
      <c r="AU116" s="357"/>
      <c r="AV116" s="357"/>
      <c r="AW116" s="307"/>
      <c r="AX116" s="357"/>
      <c r="AY116" s="357"/>
      <c r="AZ116" s="307"/>
      <c r="BA116"/>
      <c r="BB116"/>
      <c r="BC116"/>
      <c r="BD116"/>
      <c r="BE116"/>
      <c r="BF116"/>
    </row>
    <row r="117" spans="15:58">
      <c r="O117" s="307"/>
      <c r="P117" s="357"/>
      <c r="Q117" s="307"/>
      <c r="T117" s="357"/>
      <c r="U117" s="307"/>
      <c r="X117" s="357"/>
      <c r="Y117" s="307"/>
      <c r="AB117" s="357"/>
      <c r="AC117" s="307"/>
      <c r="AH117" s="307"/>
      <c r="AJ117" s="357"/>
      <c r="AL117" s="307"/>
      <c r="AN117" s="357"/>
      <c r="AO117" s="307"/>
      <c r="AP117"/>
      <c r="AQ117"/>
      <c r="AR117"/>
      <c r="AS117"/>
      <c r="AU117" s="357"/>
      <c r="AV117" s="357"/>
      <c r="AW117" s="307"/>
      <c r="AX117" s="357"/>
      <c r="AY117" s="357"/>
      <c r="AZ117" s="307"/>
      <c r="BA117"/>
      <c r="BB117"/>
      <c r="BC117"/>
      <c r="BD117"/>
      <c r="BE117"/>
      <c r="BF117"/>
    </row>
    <row r="118" spans="15:58">
      <c r="O118" s="307"/>
      <c r="P118" s="357"/>
      <c r="Q118" s="307"/>
      <c r="T118" s="357"/>
      <c r="U118" s="307"/>
      <c r="X118" s="357"/>
      <c r="Y118" s="307"/>
      <c r="AB118" s="357"/>
      <c r="AC118" s="307"/>
      <c r="AH118" s="307"/>
      <c r="AJ118" s="357"/>
      <c r="AL118" s="307"/>
      <c r="AN118" s="357"/>
      <c r="AO118" s="307"/>
      <c r="AP118"/>
      <c r="AQ118"/>
      <c r="AR118"/>
      <c r="AS118"/>
      <c r="AU118" s="357"/>
      <c r="AV118" s="357"/>
      <c r="AW118" s="307"/>
      <c r="AX118" s="357"/>
      <c r="AY118" s="357"/>
      <c r="AZ118" s="307"/>
      <c r="BA118"/>
      <c r="BB118"/>
      <c r="BC118"/>
      <c r="BD118"/>
      <c r="BE118"/>
      <c r="BF118"/>
    </row>
    <row r="119" spans="15:58">
      <c r="O119" s="307"/>
      <c r="P119" s="357"/>
      <c r="Q119" s="307"/>
      <c r="T119" s="357"/>
      <c r="U119" s="307"/>
      <c r="X119" s="357"/>
      <c r="Y119" s="307"/>
      <c r="AB119" s="357"/>
      <c r="AC119" s="307"/>
      <c r="AH119" s="307"/>
      <c r="AJ119" s="357"/>
      <c r="AL119" s="307"/>
      <c r="AN119" s="357"/>
      <c r="AO119" s="307"/>
      <c r="AP119"/>
      <c r="AQ119"/>
      <c r="AR119"/>
      <c r="AS119"/>
      <c r="AU119" s="357"/>
      <c r="AV119" s="357"/>
      <c r="AW119" s="307"/>
      <c r="AX119" s="357"/>
      <c r="AY119" s="357"/>
      <c r="AZ119" s="307"/>
      <c r="BA119"/>
      <c r="BB119"/>
      <c r="BC119"/>
      <c r="BD119"/>
      <c r="BE119"/>
      <c r="BF119"/>
    </row>
    <row r="120" spans="15:58">
      <c r="O120" s="307"/>
      <c r="P120" s="357"/>
      <c r="Q120" s="307"/>
      <c r="T120" s="357"/>
      <c r="U120" s="307"/>
      <c r="X120" s="357"/>
      <c r="Y120" s="307"/>
      <c r="AB120" s="357"/>
      <c r="AC120" s="307"/>
      <c r="AH120" s="307"/>
      <c r="AJ120" s="357"/>
      <c r="AL120" s="307"/>
      <c r="AN120" s="357"/>
      <c r="AO120" s="307"/>
      <c r="AP120"/>
      <c r="AQ120"/>
      <c r="AR120"/>
      <c r="AS120"/>
      <c r="AU120" s="357"/>
      <c r="AV120" s="357"/>
      <c r="AW120" s="307"/>
      <c r="AX120" s="357"/>
      <c r="AY120" s="357"/>
      <c r="AZ120" s="307"/>
      <c r="BA120"/>
      <c r="BB120"/>
      <c r="BC120"/>
      <c r="BD120"/>
      <c r="BE120"/>
      <c r="BF120"/>
    </row>
    <row r="121" spans="15:58">
      <c r="O121" s="307"/>
      <c r="P121" s="357"/>
      <c r="Q121" s="307"/>
      <c r="T121" s="357"/>
      <c r="U121" s="307"/>
      <c r="X121" s="357"/>
      <c r="Y121" s="307"/>
      <c r="AB121" s="357"/>
      <c r="AC121" s="307"/>
      <c r="AH121" s="307"/>
      <c r="AJ121" s="357"/>
      <c r="AL121" s="307"/>
      <c r="AN121" s="357"/>
      <c r="AO121" s="307"/>
      <c r="AP121"/>
      <c r="AQ121"/>
      <c r="AR121"/>
      <c r="AS121"/>
      <c r="AU121" s="357"/>
      <c r="AV121" s="357"/>
      <c r="AW121" s="307"/>
      <c r="AX121" s="357"/>
      <c r="AY121" s="357"/>
      <c r="AZ121" s="307"/>
      <c r="BA121"/>
      <c r="BB121"/>
      <c r="BC121"/>
      <c r="BD121"/>
      <c r="BE121"/>
      <c r="BF121"/>
    </row>
    <row r="122" spans="15:58">
      <c r="O122" s="307"/>
      <c r="P122" s="357"/>
      <c r="Q122" s="307"/>
      <c r="T122" s="357"/>
      <c r="U122" s="307"/>
      <c r="X122" s="357"/>
      <c r="Y122" s="307"/>
      <c r="AB122" s="357"/>
      <c r="AC122" s="307"/>
      <c r="AH122" s="307"/>
      <c r="AJ122" s="357"/>
      <c r="AL122" s="307"/>
      <c r="AN122" s="357"/>
      <c r="AO122" s="307"/>
      <c r="AP122"/>
      <c r="AQ122"/>
      <c r="AR122"/>
      <c r="AS122"/>
      <c r="AU122" s="357"/>
      <c r="AV122" s="357"/>
      <c r="AW122" s="307"/>
      <c r="AX122" s="357"/>
      <c r="AY122" s="357"/>
      <c r="AZ122" s="307"/>
      <c r="BA122"/>
      <c r="BB122"/>
      <c r="BC122"/>
      <c r="BD122"/>
      <c r="BE122"/>
      <c r="BF122"/>
    </row>
    <row r="123" spans="15:58">
      <c r="O123" s="307"/>
      <c r="P123" s="357"/>
      <c r="Q123" s="307"/>
      <c r="T123" s="357"/>
      <c r="U123" s="307"/>
      <c r="X123" s="357"/>
      <c r="Y123" s="307"/>
      <c r="AB123" s="357"/>
      <c r="AC123" s="307"/>
      <c r="AH123" s="307"/>
      <c r="AJ123" s="357"/>
      <c r="AL123" s="307"/>
      <c r="AN123" s="357"/>
      <c r="AO123" s="307"/>
      <c r="AP123"/>
      <c r="AQ123"/>
      <c r="AR123"/>
      <c r="AS123"/>
      <c r="AU123" s="357"/>
      <c r="AV123" s="357"/>
      <c r="AW123" s="307"/>
      <c r="AX123" s="357"/>
      <c r="AY123" s="357"/>
      <c r="AZ123" s="307"/>
      <c r="BA123"/>
      <c r="BB123"/>
      <c r="BC123"/>
      <c r="BD123"/>
      <c r="BE123"/>
      <c r="BF123"/>
    </row>
    <row r="124" spans="15:58">
      <c r="O124" s="307"/>
      <c r="P124" s="357"/>
      <c r="Q124" s="307"/>
      <c r="T124" s="357"/>
      <c r="U124" s="307"/>
      <c r="X124" s="357"/>
      <c r="Y124" s="307"/>
      <c r="AB124" s="357"/>
      <c r="AC124" s="307"/>
      <c r="AH124" s="307"/>
      <c r="AJ124" s="357"/>
      <c r="AL124" s="307"/>
      <c r="AN124" s="357"/>
      <c r="AO124" s="307"/>
      <c r="AP124"/>
      <c r="AQ124"/>
      <c r="AR124"/>
      <c r="AS124"/>
      <c r="AU124" s="357"/>
      <c r="AV124" s="357"/>
      <c r="AW124" s="307"/>
      <c r="AX124" s="357"/>
      <c r="AY124" s="357"/>
      <c r="AZ124" s="307"/>
      <c r="BA124"/>
      <c r="BB124"/>
      <c r="BC124"/>
      <c r="BD124"/>
      <c r="BE124"/>
      <c r="BF124"/>
    </row>
    <row r="125" spans="15:58">
      <c r="O125" s="307"/>
      <c r="P125" s="357"/>
      <c r="Q125" s="307"/>
      <c r="T125" s="357"/>
      <c r="U125" s="307"/>
      <c r="X125" s="357"/>
      <c r="Y125" s="307"/>
      <c r="AB125" s="357"/>
      <c r="AC125" s="307"/>
      <c r="AH125" s="307"/>
      <c r="AJ125" s="357"/>
      <c r="AL125" s="307"/>
      <c r="AN125" s="357"/>
      <c r="AO125" s="307"/>
      <c r="AP125"/>
      <c r="AQ125"/>
      <c r="AR125"/>
      <c r="AS125"/>
      <c r="AU125" s="357"/>
      <c r="AV125" s="357"/>
      <c r="AW125" s="307"/>
      <c r="AX125" s="357"/>
      <c r="AY125" s="357"/>
      <c r="AZ125" s="307"/>
      <c r="BA125"/>
      <c r="BB125"/>
      <c r="BC125"/>
      <c r="BD125"/>
      <c r="BE125"/>
      <c r="BF125"/>
    </row>
    <row r="126" spans="15:58">
      <c r="O126" s="307"/>
      <c r="P126" s="357"/>
      <c r="Q126" s="307"/>
      <c r="T126" s="357"/>
      <c r="U126" s="307"/>
      <c r="X126" s="357"/>
      <c r="Y126" s="307"/>
      <c r="AB126" s="357"/>
      <c r="AC126" s="307"/>
      <c r="AH126" s="307"/>
      <c r="AJ126" s="357"/>
      <c r="AL126" s="307"/>
      <c r="AN126" s="357"/>
      <c r="AO126" s="307"/>
      <c r="AP126"/>
      <c r="AQ126"/>
      <c r="AR126"/>
      <c r="AS126"/>
      <c r="AU126" s="357"/>
      <c r="AV126" s="357"/>
      <c r="AW126" s="307"/>
      <c r="AX126" s="357"/>
      <c r="AY126" s="357"/>
      <c r="AZ126" s="307"/>
      <c r="BA126"/>
      <c r="BB126"/>
      <c r="BC126"/>
      <c r="BD126"/>
      <c r="BE126"/>
      <c r="BF126"/>
    </row>
    <row r="127" spans="15:58">
      <c r="O127" s="307"/>
      <c r="P127" s="357"/>
      <c r="Q127" s="307"/>
      <c r="T127" s="357"/>
      <c r="U127" s="307"/>
      <c r="X127" s="357"/>
      <c r="Y127" s="307"/>
      <c r="AB127" s="357"/>
      <c r="AC127" s="307"/>
      <c r="AH127" s="307"/>
      <c r="AJ127" s="357"/>
      <c r="AL127" s="307"/>
      <c r="AN127" s="357"/>
      <c r="AO127" s="307"/>
      <c r="AP127"/>
      <c r="AQ127"/>
      <c r="AR127"/>
      <c r="AS127"/>
      <c r="AU127" s="357"/>
      <c r="AV127" s="357"/>
      <c r="AW127" s="307"/>
      <c r="AX127" s="357"/>
      <c r="AY127" s="357"/>
      <c r="AZ127" s="307"/>
      <c r="BA127"/>
      <c r="BB127"/>
      <c r="BC127"/>
      <c r="BD127"/>
      <c r="BE127"/>
      <c r="BF127"/>
    </row>
    <row r="128" spans="15:58">
      <c r="O128" s="307"/>
      <c r="P128" s="357"/>
      <c r="Q128" s="307"/>
      <c r="T128" s="357"/>
      <c r="U128" s="307"/>
      <c r="X128" s="357"/>
      <c r="Y128" s="307"/>
      <c r="AB128" s="357"/>
      <c r="AC128" s="307"/>
      <c r="AH128" s="307"/>
      <c r="AJ128" s="357"/>
      <c r="AL128" s="307"/>
      <c r="AN128" s="357"/>
      <c r="AO128" s="307"/>
      <c r="AP128"/>
      <c r="AQ128"/>
      <c r="AR128"/>
      <c r="AS128"/>
      <c r="AU128" s="357"/>
      <c r="AV128" s="357"/>
      <c r="AW128" s="307"/>
      <c r="AX128" s="357"/>
      <c r="AY128" s="357"/>
      <c r="AZ128" s="307"/>
      <c r="BA128"/>
      <c r="BB128"/>
      <c r="BC128"/>
      <c r="BD128"/>
      <c r="BE128"/>
      <c r="BF128"/>
    </row>
    <row r="129" spans="15:58">
      <c r="O129" s="307"/>
      <c r="P129" s="357"/>
      <c r="Q129" s="307"/>
      <c r="T129" s="357"/>
      <c r="U129" s="307"/>
      <c r="X129" s="357"/>
      <c r="Y129" s="307"/>
      <c r="AB129" s="357"/>
      <c r="AC129" s="307"/>
      <c r="AH129" s="307"/>
      <c r="AJ129" s="357"/>
      <c r="AL129" s="307"/>
      <c r="AN129" s="357"/>
      <c r="AO129" s="307"/>
      <c r="AP129"/>
      <c r="AQ129"/>
      <c r="AR129"/>
      <c r="AS129"/>
      <c r="AU129" s="357"/>
      <c r="AV129" s="357"/>
      <c r="AW129" s="307"/>
      <c r="AX129" s="357"/>
      <c r="AY129" s="357"/>
      <c r="AZ129" s="307"/>
      <c r="BA129"/>
      <c r="BB129"/>
      <c r="BC129"/>
      <c r="BD129"/>
      <c r="BE129"/>
      <c r="BF129"/>
    </row>
    <row r="130" spans="15:58">
      <c r="O130" s="307"/>
      <c r="P130" s="357"/>
      <c r="Q130" s="307"/>
      <c r="T130" s="357"/>
      <c r="U130" s="307"/>
      <c r="X130" s="357"/>
      <c r="Y130" s="307"/>
      <c r="AB130" s="357"/>
      <c r="AC130" s="307"/>
      <c r="AH130" s="307"/>
      <c r="AJ130" s="357"/>
      <c r="AL130" s="307"/>
      <c r="AN130" s="357"/>
      <c r="AO130" s="307"/>
      <c r="AP130"/>
      <c r="AQ130"/>
      <c r="AR130"/>
      <c r="AS130"/>
      <c r="AU130" s="357"/>
      <c r="AV130" s="357"/>
      <c r="AW130" s="307"/>
      <c r="AX130" s="357"/>
      <c r="AY130" s="357"/>
      <c r="AZ130" s="307"/>
      <c r="BA130"/>
      <c r="BB130"/>
      <c r="BC130"/>
      <c r="BD130"/>
      <c r="BE130"/>
      <c r="BF130"/>
    </row>
    <row r="131" spans="15:58">
      <c r="O131" s="307"/>
      <c r="P131" s="357"/>
      <c r="Q131" s="307"/>
      <c r="T131" s="357"/>
      <c r="U131" s="307"/>
      <c r="X131" s="357"/>
      <c r="Y131" s="307"/>
      <c r="AB131" s="357"/>
      <c r="AC131" s="307"/>
      <c r="AF131" s="357"/>
      <c r="AG131" s="307"/>
      <c r="AJ131" s="357"/>
      <c r="AK131" s="307"/>
      <c r="AN131" s="357"/>
      <c r="AO131" s="307"/>
      <c r="AS131"/>
      <c r="AT131"/>
      <c r="AU131"/>
      <c r="AW131" s="357"/>
      <c r="AX131" s="357"/>
      <c r="AY131" s="357"/>
      <c r="AZ131" s="307"/>
      <c r="BD131"/>
      <c r="BE131"/>
      <c r="BF131"/>
    </row>
    <row r="132" spans="15:58">
      <c r="O132" s="307"/>
      <c r="P132" s="357"/>
      <c r="Q132" s="307"/>
      <c r="T132" s="357"/>
      <c r="U132" s="307"/>
      <c r="X132" s="357"/>
      <c r="Y132" s="307"/>
      <c r="AB132" s="357"/>
      <c r="AC132" s="307"/>
      <c r="AF132" s="357"/>
      <c r="AG132" s="307"/>
      <c r="AJ132" s="357"/>
      <c r="AK132" s="307"/>
      <c r="AN132" s="357"/>
      <c r="AO132" s="307"/>
      <c r="AS132"/>
      <c r="AT132"/>
      <c r="AU132"/>
      <c r="AW132" s="357"/>
      <c r="AX132" s="357"/>
      <c r="AY132" s="357"/>
      <c r="AZ132" s="307"/>
      <c r="BD132"/>
      <c r="BE132"/>
      <c r="BF132"/>
    </row>
    <row r="133" spans="15:58">
      <c r="O133" s="307"/>
      <c r="P133" s="357"/>
      <c r="Q133" s="307"/>
      <c r="T133" s="357"/>
      <c r="U133" s="307"/>
      <c r="X133" s="357"/>
      <c r="Y133" s="307"/>
      <c r="AB133" s="357"/>
      <c r="AC133" s="307"/>
      <c r="AF133" s="357"/>
      <c r="AG133" s="307"/>
      <c r="AJ133" s="357"/>
      <c r="AK133" s="307"/>
      <c r="AN133" s="357"/>
      <c r="AO133" s="307"/>
      <c r="AS133"/>
      <c r="AT133"/>
      <c r="AU133"/>
      <c r="AW133" s="357"/>
      <c r="AX133" s="357"/>
      <c r="AY133" s="357"/>
      <c r="AZ133" s="307"/>
      <c r="BD133"/>
      <c r="BE133"/>
      <c r="BF133"/>
    </row>
    <row r="134" spans="15:58">
      <c r="O134" s="307"/>
      <c r="P134" s="357"/>
      <c r="Q134" s="307"/>
      <c r="T134" s="357"/>
      <c r="U134" s="307"/>
      <c r="X134" s="357"/>
      <c r="Y134" s="307"/>
      <c r="AB134" s="357"/>
      <c r="AC134" s="307"/>
      <c r="AF134" s="357"/>
      <c r="AG134" s="307"/>
      <c r="AJ134" s="357"/>
      <c r="AK134" s="307"/>
      <c r="AN134" s="357"/>
      <c r="AO134" s="307"/>
      <c r="AS134"/>
      <c r="AT134"/>
      <c r="AU134"/>
      <c r="AW134" s="357"/>
      <c r="AX134" s="357"/>
      <c r="AY134" s="357"/>
      <c r="AZ134" s="307"/>
      <c r="BD134"/>
      <c r="BE134"/>
      <c r="BF134"/>
    </row>
    <row r="135" spans="15:58">
      <c r="O135" s="307"/>
      <c r="P135" s="357"/>
      <c r="Q135" s="307"/>
      <c r="T135" s="357"/>
      <c r="U135" s="307"/>
      <c r="X135" s="357"/>
      <c r="Y135" s="307"/>
      <c r="AB135" s="357"/>
      <c r="AC135" s="307"/>
      <c r="AF135" s="357"/>
      <c r="AG135" s="307"/>
      <c r="AJ135" s="357"/>
      <c r="AK135" s="307"/>
      <c r="AN135" s="357"/>
      <c r="AO135" s="307"/>
      <c r="AS135"/>
      <c r="AT135"/>
      <c r="AU135"/>
      <c r="AW135" s="357"/>
      <c r="AX135" s="357"/>
      <c r="AY135" s="357"/>
      <c r="AZ135" s="307"/>
      <c r="BD135"/>
      <c r="BE135"/>
      <c r="BF135"/>
    </row>
    <row r="136" spans="15:58">
      <c r="O136" s="307"/>
      <c r="P136" s="357"/>
      <c r="Q136" s="307"/>
      <c r="T136" s="357"/>
      <c r="U136" s="307"/>
      <c r="X136" s="357"/>
      <c r="Y136" s="307"/>
      <c r="AB136" s="357"/>
      <c r="AC136" s="307"/>
      <c r="AF136" s="357"/>
      <c r="AG136" s="307"/>
      <c r="AJ136" s="357"/>
      <c r="AK136" s="307"/>
      <c r="AN136" s="357"/>
      <c r="AO136" s="307"/>
      <c r="AS136"/>
      <c r="AT136"/>
      <c r="AU136"/>
      <c r="AW136" s="357"/>
      <c r="AX136" s="357"/>
      <c r="AY136" s="357"/>
      <c r="AZ136" s="307"/>
      <c r="BD136"/>
      <c r="BE136"/>
      <c r="BF136"/>
    </row>
    <row r="137" spans="15:58">
      <c r="O137" s="307"/>
      <c r="P137" s="357"/>
      <c r="Q137" s="307"/>
      <c r="T137" s="357"/>
      <c r="U137" s="307"/>
      <c r="X137" s="357"/>
      <c r="Y137" s="307"/>
      <c r="AB137" s="357"/>
      <c r="AC137" s="307"/>
      <c r="AF137" s="357"/>
      <c r="AG137" s="307"/>
      <c r="AJ137" s="357"/>
      <c r="AK137" s="307"/>
      <c r="AN137" s="357"/>
      <c r="AO137" s="307"/>
      <c r="AS137"/>
      <c r="AT137"/>
      <c r="AU137"/>
      <c r="AW137" s="357"/>
      <c r="AX137" s="357"/>
      <c r="AY137" s="357"/>
      <c r="AZ137" s="307"/>
      <c r="BD137"/>
      <c r="BE137"/>
      <c r="BF137"/>
    </row>
  </sheetData>
  <mergeCells count="15">
    <mergeCell ref="AO2:AR2"/>
    <mergeCell ref="AV2:AY2"/>
    <mergeCell ref="AZ2:BC2"/>
    <mergeCell ref="AS2:AU2"/>
    <mergeCell ref="BD2:BF2"/>
    <mergeCell ref="B2:D2"/>
    <mergeCell ref="Q2:T2"/>
    <mergeCell ref="U2:X2"/>
    <mergeCell ref="Y2:AB2"/>
    <mergeCell ref="AC2:AF2"/>
    <mergeCell ref="AG2:AJ2"/>
    <mergeCell ref="AK2:AN2"/>
    <mergeCell ref="E2:H2"/>
    <mergeCell ref="I2:L2"/>
    <mergeCell ref="M2:P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3084D-990C-4090-A212-CAB7F6363A32}">
  <dimension ref="A1:X48"/>
  <sheetViews>
    <sheetView zoomScaleNormal="100" workbookViewId="0">
      <selection activeCell="A48" sqref="A48:Q48"/>
    </sheetView>
  </sheetViews>
  <sheetFormatPr defaultColWidth="8.7890625" defaultRowHeight="14.4"/>
  <cols>
    <col min="2" max="2" width="21.47265625" style="122" customWidth="1"/>
    <col min="3" max="3" width="9.15625" style="122" customWidth="1"/>
    <col min="4" max="4" width="11.15625" style="122" customWidth="1"/>
    <col min="5" max="5" width="10.47265625" style="122" customWidth="1"/>
    <col min="6" max="6" width="7.7890625" customWidth="1"/>
    <col min="7" max="7" width="23.7890625" customWidth="1"/>
    <col min="8" max="8" width="55.47265625" customWidth="1"/>
    <col min="9" max="11" width="8.7890625" style="125"/>
    <col min="14" max="14" width="33" customWidth="1"/>
  </cols>
  <sheetData>
    <row r="1" spans="1:24">
      <c r="A1" s="223" t="s">
        <v>1456</v>
      </c>
      <c r="B1" s="140"/>
      <c r="C1" s="140"/>
      <c r="D1" s="140"/>
      <c r="E1" s="140"/>
      <c r="F1" s="113"/>
      <c r="G1" s="113"/>
      <c r="H1" s="113"/>
      <c r="I1" s="123"/>
      <c r="J1" s="123"/>
      <c r="K1" s="123"/>
      <c r="L1" s="113"/>
      <c r="M1" s="113"/>
      <c r="N1" s="113"/>
      <c r="O1" s="113"/>
      <c r="P1" s="113"/>
      <c r="Q1" s="113"/>
    </row>
    <row r="2" spans="1:24">
      <c r="A2" s="569" t="s">
        <v>0</v>
      </c>
      <c r="B2" s="569"/>
      <c r="C2" s="573" t="s">
        <v>1457</v>
      </c>
      <c r="D2" s="573" t="s">
        <v>1458</v>
      </c>
      <c r="E2" s="573" t="s">
        <v>1459</v>
      </c>
      <c r="F2" s="571"/>
      <c r="G2" s="571" t="s">
        <v>596</v>
      </c>
      <c r="H2" s="571"/>
      <c r="I2" s="571"/>
      <c r="J2" s="571"/>
      <c r="K2" s="571"/>
      <c r="L2" s="571"/>
      <c r="M2" s="572" t="s">
        <v>595</v>
      </c>
      <c r="N2" s="572"/>
      <c r="O2" s="572"/>
      <c r="P2" s="572"/>
      <c r="Q2" s="572"/>
    </row>
    <row r="3" spans="1:24" s="1" customFormat="1" ht="58.45" customHeight="1">
      <c r="A3" s="570"/>
      <c r="B3" s="570"/>
      <c r="C3" s="574"/>
      <c r="D3" s="574"/>
      <c r="E3" s="574"/>
      <c r="F3" s="572"/>
      <c r="G3" s="114" t="s">
        <v>590</v>
      </c>
      <c r="H3" s="115" t="s">
        <v>591</v>
      </c>
      <c r="I3" s="129" t="s">
        <v>592</v>
      </c>
      <c r="J3" s="130" t="s">
        <v>593</v>
      </c>
      <c r="K3" s="130" t="s">
        <v>594</v>
      </c>
      <c r="L3" s="572"/>
      <c r="M3" s="114" t="s">
        <v>590</v>
      </c>
      <c r="N3" s="115" t="s">
        <v>591</v>
      </c>
      <c r="O3" s="116" t="s">
        <v>592</v>
      </c>
      <c r="P3" s="117" t="s">
        <v>593</v>
      </c>
      <c r="Q3" s="117" t="s">
        <v>594</v>
      </c>
    </row>
    <row r="4" spans="1:24" s="1" customFormat="1">
      <c r="A4" s="51" t="s">
        <v>564</v>
      </c>
      <c r="B4" s="141"/>
      <c r="C4" s="142"/>
      <c r="D4" s="160"/>
      <c r="E4" s="142"/>
      <c r="F4" s="84"/>
      <c r="G4" s="85"/>
      <c r="H4" s="53"/>
      <c r="I4" s="131"/>
      <c r="J4" s="131"/>
      <c r="K4" s="131"/>
      <c r="L4" s="112"/>
      <c r="M4" s="103"/>
      <c r="N4" s="111"/>
      <c r="O4" s="118"/>
      <c r="P4" s="118"/>
      <c r="Q4" s="118"/>
      <c r="R4" s="14"/>
      <c r="S4" s="14"/>
      <c r="T4" s="14"/>
      <c r="U4" s="14"/>
      <c r="V4" s="14"/>
      <c r="W4" s="14"/>
      <c r="X4" s="14"/>
    </row>
    <row r="5" spans="1:24" ht="188.2" customHeight="1">
      <c r="B5" s="122" t="s">
        <v>234</v>
      </c>
      <c r="C5" s="122" t="s">
        <v>601</v>
      </c>
      <c r="F5" s="119"/>
      <c r="G5" s="121" t="s">
        <v>645</v>
      </c>
      <c r="H5" s="121" t="s">
        <v>632</v>
      </c>
      <c r="I5" s="133">
        <v>129761</v>
      </c>
      <c r="J5" s="133">
        <v>129398</v>
      </c>
      <c r="K5" s="133">
        <v>129452</v>
      </c>
      <c r="L5" s="119"/>
      <c r="M5" s="575" t="s">
        <v>9</v>
      </c>
      <c r="N5" s="575"/>
      <c r="O5" s="575"/>
      <c r="P5" s="575"/>
      <c r="Q5" s="575"/>
    </row>
    <row r="6" spans="1:24" ht="197.5" customHeight="1">
      <c r="B6" s="122" t="s">
        <v>245</v>
      </c>
      <c r="C6" s="122" t="s">
        <v>601</v>
      </c>
      <c r="F6" s="119"/>
      <c r="G6" s="121" t="s">
        <v>646</v>
      </c>
      <c r="H6" s="121" t="s">
        <v>633</v>
      </c>
      <c r="I6" s="133">
        <v>141191</v>
      </c>
      <c r="J6" s="133">
        <v>140895</v>
      </c>
      <c r="K6" s="133">
        <v>140841</v>
      </c>
      <c r="L6" s="119"/>
      <c r="M6" s="567" t="s">
        <v>9</v>
      </c>
      <c r="N6" s="567"/>
      <c r="O6" s="567"/>
      <c r="P6" s="567"/>
      <c r="Q6" s="567"/>
    </row>
    <row r="7" spans="1:24" ht="82.5" customHeight="1">
      <c r="B7" s="122" t="s">
        <v>598</v>
      </c>
      <c r="C7" s="122" t="s">
        <v>601</v>
      </c>
      <c r="F7" s="119"/>
      <c r="G7" s="121" t="s">
        <v>647</v>
      </c>
      <c r="H7" s="121" t="s">
        <v>636</v>
      </c>
      <c r="I7" s="133">
        <v>129735</v>
      </c>
      <c r="J7" s="133">
        <v>129376</v>
      </c>
      <c r="K7" s="133">
        <v>129430</v>
      </c>
      <c r="L7" s="119"/>
      <c r="M7" s="567" t="s">
        <v>9</v>
      </c>
      <c r="N7" s="567"/>
      <c r="O7" s="567"/>
      <c r="P7" s="567"/>
      <c r="Q7" s="567"/>
    </row>
    <row r="8" spans="1:24" ht="93.25" customHeight="1">
      <c r="B8" s="122" t="s">
        <v>258</v>
      </c>
      <c r="C8" s="122" t="s">
        <v>601</v>
      </c>
      <c r="F8" s="119"/>
      <c r="G8" s="121" t="s">
        <v>648</v>
      </c>
      <c r="H8" s="121" t="s">
        <v>634</v>
      </c>
      <c r="I8" s="133">
        <v>141429</v>
      </c>
      <c r="J8" s="133">
        <v>141148</v>
      </c>
      <c r="K8" s="133">
        <v>141090</v>
      </c>
      <c r="L8" s="119"/>
      <c r="M8" s="567" t="s">
        <v>9</v>
      </c>
      <c r="N8" s="567"/>
      <c r="O8" s="567"/>
      <c r="P8" s="567"/>
      <c r="Q8" s="567"/>
    </row>
    <row r="9" spans="1:24" ht="90.25" customHeight="1">
      <c r="B9" s="122" t="s">
        <v>264</v>
      </c>
      <c r="C9" s="122" t="s">
        <v>601</v>
      </c>
      <c r="F9" s="119"/>
      <c r="G9" s="121" t="s">
        <v>649</v>
      </c>
      <c r="H9" s="121" t="s">
        <v>635</v>
      </c>
      <c r="I9" s="133">
        <v>141331</v>
      </c>
      <c r="J9" s="133">
        <v>141035</v>
      </c>
      <c r="K9" s="133">
        <v>140964</v>
      </c>
      <c r="L9" s="119"/>
      <c r="M9" s="567" t="s">
        <v>9</v>
      </c>
      <c r="N9" s="567"/>
      <c r="O9" s="567"/>
      <c r="P9" s="567"/>
      <c r="Q9" s="567"/>
    </row>
    <row r="10" spans="1:24" ht="69.25" customHeight="1">
      <c r="B10" s="122" t="s">
        <v>269</v>
      </c>
      <c r="C10" s="122" t="s">
        <v>601</v>
      </c>
      <c r="F10" s="119"/>
      <c r="G10" s="121" t="s">
        <v>650</v>
      </c>
      <c r="H10" s="121" t="s">
        <v>616</v>
      </c>
      <c r="I10" s="133">
        <v>147811</v>
      </c>
      <c r="J10" s="133">
        <v>147629</v>
      </c>
      <c r="K10" s="133">
        <v>147585</v>
      </c>
      <c r="L10" s="119"/>
      <c r="M10" s="567" t="s">
        <v>9</v>
      </c>
      <c r="N10" s="567"/>
      <c r="O10" s="567"/>
      <c r="P10" s="567"/>
      <c r="Q10" s="567"/>
    </row>
    <row r="11" spans="1:24" ht="65.95" customHeight="1">
      <c r="B11" s="122" t="s">
        <v>279</v>
      </c>
      <c r="C11" s="122" t="s">
        <v>601</v>
      </c>
      <c r="F11" s="119"/>
      <c r="G11" s="121" t="s">
        <v>651</v>
      </c>
      <c r="H11" s="121" t="s">
        <v>618</v>
      </c>
      <c r="I11" s="133">
        <v>147810</v>
      </c>
      <c r="J11" s="133">
        <v>147628</v>
      </c>
      <c r="K11" s="133">
        <v>147585</v>
      </c>
      <c r="L11" s="119"/>
      <c r="M11" s="567" t="s">
        <v>9</v>
      </c>
      <c r="N11" s="567"/>
      <c r="O11" s="567"/>
      <c r="P11" s="567"/>
      <c r="Q11" s="567"/>
    </row>
    <row r="12" spans="1:24" ht="61.2">
      <c r="B12" s="122" t="s">
        <v>285</v>
      </c>
      <c r="C12" s="122" t="s">
        <v>601</v>
      </c>
      <c r="F12" s="119"/>
      <c r="G12" s="121" t="s">
        <v>652</v>
      </c>
      <c r="H12" s="121" t="s">
        <v>617</v>
      </c>
      <c r="I12" s="133">
        <v>147810</v>
      </c>
      <c r="J12" s="133">
        <v>147628</v>
      </c>
      <c r="K12" s="133">
        <v>147585</v>
      </c>
      <c r="L12" s="119"/>
      <c r="M12" s="567" t="s">
        <v>9</v>
      </c>
      <c r="N12" s="567"/>
      <c r="O12" s="567"/>
      <c r="P12" s="567"/>
      <c r="Q12" s="567"/>
    </row>
    <row r="13" spans="1:24">
      <c r="G13" s="119"/>
      <c r="I13" s="124"/>
      <c r="J13" s="124"/>
      <c r="K13" s="124"/>
      <c r="M13" s="1"/>
      <c r="N13" s="1"/>
      <c r="O13" s="1"/>
      <c r="P13" s="1"/>
      <c r="Q13" s="1"/>
    </row>
    <row r="14" spans="1:24" s="1" customFormat="1">
      <c r="A14" s="51" t="s">
        <v>32</v>
      </c>
      <c r="B14" s="142"/>
      <c r="C14" s="142"/>
      <c r="D14" s="142"/>
      <c r="E14" s="138"/>
      <c r="F14" s="53"/>
      <c r="G14" s="138"/>
      <c r="H14" s="53"/>
      <c r="I14" s="134"/>
      <c r="J14" s="134"/>
      <c r="K14" s="134"/>
      <c r="L14" s="112"/>
      <c r="M14" s="103"/>
      <c r="N14" s="111"/>
      <c r="O14" s="118"/>
      <c r="P14" s="118"/>
      <c r="Q14" s="118"/>
      <c r="R14" s="14"/>
      <c r="S14" s="14"/>
      <c r="T14" s="14"/>
      <c r="U14" s="14"/>
      <c r="V14" s="14"/>
      <c r="W14" s="14"/>
    </row>
    <row r="15" spans="1:24" ht="122.4">
      <c r="B15" s="122" t="s">
        <v>597</v>
      </c>
      <c r="E15" s="122" t="s">
        <v>601</v>
      </c>
      <c r="G15" s="122" t="s">
        <v>631</v>
      </c>
      <c r="H15" s="10" t="s">
        <v>637</v>
      </c>
      <c r="I15" s="133">
        <v>147220</v>
      </c>
      <c r="J15" s="133">
        <v>146982</v>
      </c>
      <c r="K15" s="133">
        <v>146983</v>
      </c>
      <c r="M15" s="136">
        <v>6138</v>
      </c>
      <c r="N15" s="135" t="s">
        <v>602</v>
      </c>
      <c r="O15" s="133">
        <v>147466</v>
      </c>
      <c r="P15" s="133">
        <v>147314</v>
      </c>
      <c r="Q15" s="133">
        <v>147311</v>
      </c>
    </row>
    <row r="16" spans="1:24" ht="29.5" customHeight="1">
      <c r="G16" s="119"/>
      <c r="I16" s="124"/>
      <c r="J16" s="124"/>
      <c r="K16" s="124"/>
    </row>
    <row r="17" spans="1:23" s="1" customFormat="1">
      <c r="A17" s="61" t="s">
        <v>111</v>
      </c>
      <c r="B17" s="143"/>
      <c r="C17" s="142"/>
      <c r="D17" s="142"/>
      <c r="E17" s="138"/>
      <c r="F17" s="53"/>
      <c r="G17" s="138"/>
      <c r="H17" s="53"/>
      <c r="I17" s="134"/>
      <c r="J17" s="134"/>
      <c r="K17" s="134"/>
      <c r="L17" s="112"/>
      <c r="M17" s="103"/>
      <c r="N17" s="111"/>
      <c r="O17" s="118"/>
      <c r="P17" s="118"/>
      <c r="Q17" s="118"/>
    </row>
    <row r="18" spans="1:23" ht="21.6">
      <c r="B18" s="122" t="s">
        <v>137</v>
      </c>
      <c r="C18" s="122" t="s">
        <v>601</v>
      </c>
      <c r="G18" s="136">
        <v>2139</v>
      </c>
      <c r="H18" s="120" t="s">
        <v>638</v>
      </c>
      <c r="I18" s="133">
        <v>132308</v>
      </c>
      <c r="J18" s="133">
        <v>129868</v>
      </c>
      <c r="K18" s="133">
        <v>130255</v>
      </c>
      <c r="M18" s="567" t="s">
        <v>9</v>
      </c>
      <c r="N18" s="567"/>
      <c r="O18" s="567"/>
      <c r="P18" s="567"/>
      <c r="Q18" s="567"/>
    </row>
    <row r="19" spans="1:23">
      <c r="B19" s="122" t="s">
        <v>145</v>
      </c>
      <c r="C19" s="122" t="s">
        <v>601</v>
      </c>
      <c r="G19" s="136" t="s">
        <v>643</v>
      </c>
      <c r="H19" s="82" t="s">
        <v>641</v>
      </c>
      <c r="I19" s="133">
        <v>48062</v>
      </c>
      <c r="J19" s="133">
        <v>44425</v>
      </c>
      <c r="K19" s="133">
        <v>44448</v>
      </c>
      <c r="M19" s="567" t="s">
        <v>9</v>
      </c>
      <c r="N19" s="567"/>
      <c r="O19" s="567"/>
      <c r="P19" s="567"/>
      <c r="Q19" s="567"/>
    </row>
    <row r="20" spans="1:23">
      <c r="B20" s="122" t="s">
        <v>146</v>
      </c>
      <c r="C20" s="122" t="s">
        <v>601</v>
      </c>
      <c r="G20" s="136" t="s">
        <v>644</v>
      </c>
      <c r="H20" s="82" t="s">
        <v>642</v>
      </c>
      <c r="I20" s="133">
        <v>76188</v>
      </c>
      <c r="J20" s="133">
        <v>72953</v>
      </c>
      <c r="K20" s="133">
        <v>72782</v>
      </c>
      <c r="M20" s="567" t="s">
        <v>9</v>
      </c>
      <c r="N20" s="567"/>
      <c r="O20" s="567"/>
      <c r="P20" s="567"/>
      <c r="Q20" s="567"/>
    </row>
    <row r="21" spans="1:23" ht="31.8">
      <c r="B21" s="122" t="s">
        <v>149</v>
      </c>
      <c r="E21" s="122" t="s">
        <v>601</v>
      </c>
      <c r="G21" s="136" t="s">
        <v>643</v>
      </c>
      <c r="H21" s="120" t="s">
        <v>639</v>
      </c>
      <c r="I21" s="133">
        <v>48062</v>
      </c>
      <c r="J21" s="133">
        <v>44425</v>
      </c>
      <c r="K21" s="133">
        <v>44448</v>
      </c>
      <c r="M21" s="135">
        <v>2405</v>
      </c>
      <c r="N21" s="136" t="s">
        <v>603</v>
      </c>
      <c r="O21" s="137">
        <v>66333</v>
      </c>
      <c r="P21" s="137">
        <v>68075</v>
      </c>
      <c r="Q21" s="137">
        <v>68106</v>
      </c>
    </row>
    <row r="22" spans="1:23" ht="31.8">
      <c r="B22" s="122" t="s">
        <v>151</v>
      </c>
      <c r="E22" s="122" t="s">
        <v>601</v>
      </c>
      <c r="G22" s="136" t="s">
        <v>644</v>
      </c>
      <c r="H22" s="120" t="s">
        <v>640</v>
      </c>
      <c r="I22" s="133">
        <v>76188</v>
      </c>
      <c r="J22" s="133">
        <v>72953</v>
      </c>
      <c r="K22" s="133">
        <v>72782</v>
      </c>
      <c r="M22" s="135">
        <v>2734</v>
      </c>
      <c r="N22" s="136" t="s">
        <v>604</v>
      </c>
      <c r="O22" s="137">
        <v>81881</v>
      </c>
      <c r="P22" s="137">
        <v>79971</v>
      </c>
      <c r="Q22" s="137">
        <v>79992</v>
      </c>
    </row>
    <row r="23" spans="1:23">
      <c r="G23" s="119"/>
      <c r="I23" s="124"/>
      <c r="J23" s="124"/>
      <c r="K23" s="124"/>
    </row>
    <row r="24" spans="1:23" s="1" customFormat="1">
      <c r="A24" s="61" t="s">
        <v>574</v>
      </c>
      <c r="B24" s="143"/>
      <c r="C24" s="142"/>
      <c r="D24" s="142"/>
      <c r="E24" s="138"/>
      <c r="F24" s="53"/>
      <c r="G24" s="138"/>
      <c r="H24" s="53"/>
      <c r="I24" s="134"/>
      <c r="J24" s="134"/>
      <c r="K24" s="134"/>
      <c r="L24" s="103"/>
      <c r="M24" s="111"/>
      <c r="N24" s="111"/>
      <c r="O24" s="118"/>
      <c r="P24" s="118"/>
      <c r="Q24" s="118"/>
      <c r="R24" s="14"/>
      <c r="S24" s="14"/>
      <c r="T24" s="14"/>
      <c r="U24" s="14"/>
      <c r="V24" s="14"/>
      <c r="W24" s="14"/>
    </row>
    <row r="25" spans="1:23" ht="184" customHeight="1">
      <c r="B25" s="122" t="s">
        <v>188</v>
      </c>
      <c r="D25" s="122" t="s">
        <v>601</v>
      </c>
      <c r="G25" s="128" t="s">
        <v>624</v>
      </c>
      <c r="H25" s="121" t="s">
        <v>653</v>
      </c>
      <c r="I25" s="133">
        <v>148063</v>
      </c>
      <c r="J25" s="133">
        <v>148045</v>
      </c>
      <c r="K25" s="133">
        <v>148047</v>
      </c>
      <c r="M25" s="567" t="s">
        <v>9</v>
      </c>
      <c r="N25" s="567"/>
      <c r="O25" s="567"/>
      <c r="P25" s="567"/>
      <c r="Q25" s="567"/>
    </row>
    <row r="26" spans="1:23" ht="203.5" customHeight="1">
      <c r="B26" s="122" t="s">
        <v>198</v>
      </c>
      <c r="E26" s="122" t="s">
        <v>601</v>
      </c>
      <c r="G26" s="121" t="s">
        <v>615</v>
      </c>
      <c r="H26" s="121" t="s">
        <v>654</v>
      </c>
      <c r="I26" s="133">
        <v>148641</v>
      </c>
      <c r="J26" s="133">
        <v>148630</v>
      </c>
      <c r="K26" s="133">
        <v>148638</v>
      </c>
      <c r="M26" s="135" t="s">
        <v>605</v>
      </c>
      <c r="N26" s="135" t="s">
        <v>606</v>
      </c>
      <c r="O26" s="137">
        <v>148654</v>
      </c>
      <c r="P26" s="137">
        <v>148652</v>
      </c>
      <c r="Q26" s="137">
        <v>148659</v>
      </c>
    </row>
    <row r="27" spans="1:23" ht="40.799999999999997">
      <c r="B27" s="122" t="s">
        <v>210</v>
      </c>
      <c r="E27" s="122" t="s">
        <v>601</v>
      </c>
      <c r="G27" s="121" t="s">
        <v>615</v>
      </c>
      <c r="H27" s="10" t="s">
        <v>655</v>
      </c>
      <c r="I27" s="133">
        <v>142239</v>
      </c>
      <c r="J27" s="133">
        <v>142562</v>
      </c>
      <c r="K27" s="133">
        <v>142597</v>
      </c>
      <c r="M27" s="135" t="s">
        <v>605</v>
      </c>
      <c r="N27" s="135" t="s">
        <v>607</v>
      </c>
      <c r="O27" s="137">
        <v>148653</v>
      </c>
      <c r="P27" s="133">
        <v>148652</v>
      </c>
      <c r="Q27" s="133">
        <v>148658</v>
      </c>
    </row>
    <row r="28" spans="1:23" ht="92.5" customHeight="1">
      <c r="B28" s="122" t="s">
        <v>291</v>
      </c>
      <c r="C28" s="122" t="s">
        <v>601</v>
      </c>
      <c r="G28" s="121" t="s">
        <v>619</v>
      </c>
      <c r="H28" s="120" t="s">
        <v>656</v>
      </c>
      <c r="I28" s="133">
        <v>81905</v>
      </c>
      <c r="J28" s="133">
        <v>80031</v>
      </c>
      <c r="K28" s="133">
        <v>80007</v>
      </c>
      <c r="M28" s="567" t="s">
        <v>9</v>
      </c>
      <c r="N28" s="567"/>
      <c r="O28" s="567"/>
      <c r="P28" s="567"/>
      <c r="Q28" s="567"/>
    </row>
    <row r="29" spans="1:23" ht="137.5" customHeight="1">
      <c r="B29" s="122" t="s">
        <v>600</v>
      </c>
      <c r="E29" s="122" t="s">
        <v>601</v>
      </c>
      <c r="G29" s="121" t="s">
        <v>620</v>
      </c>
      <c r="H29" s="121" t="s">
        <v>657</v>
      </c>
      <c r="I29" s="133">
        <v>148411</v>
      </c>
      <c r="J29" s="133">
        <v>148397</v>
      </c>
      <c r="K29" s="133">
        <v>148381</v>
      </c>
      <c r="M29" s="135" t="s">
        <v>605</v>
      </c>
      <c r="N29" s="135" t="s">
        <v>608</v>
      </c>
      <c r="O29" s="137">
        <v>148654</v>
      </c>
      <c r="P29" s="137">
        <v>148652</v>
      </c>
      <c r="Q29" s="137">
        <v>148659</v>
      </c>
    </row>
    <row r="30" spans="1:23" ht="225" customHeight="1">
      <c r="B30" s="122" t="s">
        <v>584</v>
      </c>
      <c r="C30" s="122" t="s">
        <v>601</v>
      </c>
      <c r="G30" s="121" t="s">
        <v>621</v>
      </c>
      <c r="H30" s="121" t="s">
        <v>658</v>
      </c>
      <c r="I30" s="133">
        <v>148461</v>
      </c>
      <c r="J30" s="133">
        <v>148438</v>
      </c>
      <c r="K30" s="133">
        <v>148469</v>
      </c>
      <c r="M30" s="567" t="s">
        <v>9</v>
      </c>
      <c r="N30" s="567"/>
      <c r="O30" s="567"/>
      <c r="P30" s="567"/>
      <c r="Q30" s="567"/>
    </row>
    <row r="31" spans="1:23" ht="143.5" customHeight="1">
      <c r="B31" s="122" t="s">
        <v>371</v>
      </c>
      <c r="E31" s="122" t="s">
        <v>601</v>
      </c>
      <c r="G31" s="121" t="s">
        <v>622</v>
      </c>
      <c r="H31" s="121" t="s">
        <v>659</v>
      </c>
      <c r="I31" s="133">
        <v>106333</v>
      </c>
      <c r="J31" s="133">
        <v>108183</v>
      </c>
      <c r="K31" s="133">
        <v>107763</v>
      </c>
      <c r="M31" s="135" t="s">
        <v>605</v>
      </c>
      <c r="N31" s="135" t="s">
        <v>609</v>
      </c>
      <c r="O31" s="137">
        <v>146934</v>
      </c>
      <c r="P31" s="133">
        <v>146635</v>
      </c>
      <c r="Q31" s="133">
        <v>146608</v>
      </c>
    </row>
    <row r="32" spans="1:23" ht="203.2" customHeight="1">
      <c r="B32" s="122" t="s">
        <v>379</v>
      </c>
      <c r="E32" s="122" t="s">
        <v>601</v>
      </c>
      <c r="G32" s="121" t="s">
        <v>623</v>
      </c>
      <c r="H32" s="121" t="s">
        <v>660</v>
      </c>
      <c r="I32" s="133">
        <v>129696</v>
      </c>
      <c r="J32" s="133">
        <v>128878</v>
      </c>
      <c r="K32" s="133">
        <v>128749</v>
      </c>
      <c r="M32" s="135" t="s">
        <v>605</v>
      </c>
      <c r="N32" s="135" t="s">
        <v>610</v>
      </c>
      <c r="O32" s="137">
        <v>148653</v>
      </c>
      <c r="P32" s="133">
        <v>148652</v>
      </c>
      <c r="Q32" s="133">
        <v>148658</v>
      </c>
    </row>
    <row r="33" spans="1:17" ht="266.5" customHeight="1">
      <c r="B33" s="122" t="s">
        <v>384</v>
      </c>
      <c r="C33" s="122" t="s">
        <v>601</v>
      </c>
      <c r="G33" s="121" t="s">
        <v>624</v>
      </c>
      <c r="H33" s="121" t="s">
        <v>661</v>
      </c>
      <c r="I33" s="133">
        <v>140201</v>
      </c>
      <c r="J33" s="133">
        <v>140286</v>
      </c>
      <c r="K33" s="133">
        <v>140239</v>
      </c>
      <c r="M33" s="567" t="s">
        <v>9</v>
      </c>
      <c r="N33" s="567"/>
      <c r="O33" s="567"/>
      <c r="P33" s="567"/>
      <c r="Q33" s="567"/>
    </row>
    <row r="34" spans="1:17" ht="206.95" customHeight="1">
      <c r="B34" s="122" t="s">
        <v>397</v>
      </c>
      <c r="E34" s="122" t="s">
        <v>601</v>
      </c>
      <c r="G34" s="121" t="s">
        <v>625</v>
      </c>
      <c r="H34" s="121" t="s">
        <v>662</v>
      </c>
      <c r="I34" s="133">
        <v>141942</v>
      </c>
      <c r="J34" s="133">
        <v>141873</v>
      </c>
      <c r="K34" s="133">
        <v>141839</v>
      </c>
      <c r="M34" s="135" t="s">
        <v>611</v>
      </c>
      <c r="N34" s="135" t="s">
        <v>612</v>
      </c>
      <c r="O34" s="137">
        <v>137322</v>
      </c>
      <c r="P34" s="137">
        <v>136376</v>
      </c>
      <c r="Q34" s="137">
        <v>136310</v>
      </c>
    </row>
    <row r="35" spans="1:17" ht="162.69999999999999" customHeight="1">
      <c r="B35" s="122" t="s">
        <v>407</v>
      </c>
      <c r="E35" s="122" t="s">
        <v>601</v>
      </c>
      <c r="G35" s="121" t="s">
        <v>626</v>
      </c>
      <c r="H35" s="121" t="s">
        <v>1183</v>
      </c>
      <c r="I35" s="133">
        <v>73639</v>
      </c>
      <c r="J35" s="133">
        <v>54128</v>
      </c>
      <c r="K35" s="133">
        <v>54646</v>
      </c>
      <c r="M35" s="135" t="s">
        <v>613</v>
      </c>
      <c r="N35" s="135" t="s">
        <v>614</v>
      </c>
      <c r="O35" s="137">
        <v>71789</v>
      </c>
      <c r="P35" s="137">
        <v>51874</v>
      </c>
      <c r="Q35" s="137">
        <v>52400</v>
      </c>
    </row>
    <row r="36" spans="1:17" ht="103.2">
      <c r="B36" s="122" t="s">
        <v>422</v>
      </c>
      <c r="C36" s="122" t="s">
        <v>601</v>
      </c>
      <c r="G36" s="121" t="s">
        <v>619</v>
      </c>
      <c r="H36" s="120" t="s">
        <v>663</v>
      </c>
      <c r="I36" s="133">
        <v>66736</v>
      </c>
      <c r="J36" s="133">
        <v>68599</v>
      </c>
      <c r="K36" s="133">
        <v>68631</v>
      </c>
      <c r="M36" s="567" t="s">
        <v>9</v>
      </c>
      <c r="N36" s="567"/>
      <c r="O36" s="567"/>
      <c r="P36" s="567"/>
      <c r="Q36" s="567"/>
    </row>
    <row r="37" spans="1:17" ht="244.8">
      <c r="B37" s="122" t="s">
        <v>599</v>
      </c>
      <c r="C37" s="122" t="s">
        <v>601</v>
      </c>
      <c r="G37" s="121" t="s">
        <v>624</v>
      </c>
      <c r="H37" s="121" t="s">
        <v>664</v>
      </c>
      <c r="I37" s="133">
        <v>148354</v>
      </c>
      <c r="J37" s="133">
        <v>148280</v>
      </c>
      <c r="K37" s="133">
        <v>148312</v>
      </c>
      <c r="M37" s="567" t="s">
        <v>9</v>
      </c>
      <c r="N37" s="567"/>
      <c r="O37" s="567"/>
      <c r="P37" s="567"/>
      <c r="Q37" s="567"/>
    </row>
    <row r="38" spans="1:17">
      <c r="G38" s="119"/>
      <c r="I38" s="124"/>
      <c r="J38" s="124"/>
      <c r="K38" s="124"/>
    </row>
    <row r="39" spans="1:17" s="1" customFormat="1">
      <c r="A39" s="51" t="s">
        <v>565</v>
      </c>
      <c r="B39" s="144"/>
      <c r="C39" s="144"/>
      <c r="D39" s="144"/>
      <c r="E39" s="161"/>
      <c r="F39" s="88"/>
      <c r="G39" s="139"/>
      <c r="H39" s="89"/>
      <c r="I39" s="134"/>
      <c r="J39" s="134"/>
      <c r="K39" s="134"/>
      <c r="L39" s="112"/>
      <c r="M39" s="103"/>
      <c r="N39" s="111"/>
      <c r="O39" s="118"/>
      <c r="P39" s="118"/>
      <c r="Q39" s="118"/>
    </row>
    <row r="40" spans="1:17" s="1" customFormat="1" ht="409.5">
      <c r="A40" s="392"/>
      <c r="B40" s="136" t="s">
        <v>193</v>
      </c>
      <c r="C40" s="136" t="s">
        <v>601</v>
      </c>
      <c r="D40" s="136"/>
      <c r="E40" s="133"/>
      <c r="F40" s="19"/>
      <c r="G40" s="121" t="s">
        <v>1503</v>
      </c>
      <c r="H40" s="121" t="s">
        <v>1504</v>
      </c>
      <c r="I40" s="422"/>
      <c r="J40" s="422"/>
      <c r="K40" s="422"/>
      <c r="L40" s="423"/>
      <c r="M40" s="90"/>
      <c r="N40" s="424"/>
      <c r="O40" s="425"/>
      <c r="P40" s="425"/>
      <c r="Q40" s="425"/>
    </row>
    <row r="41" spans="1:17" ht="265.75" customHeight="1">
      <c r="B41" s="122" t="s">
        <v>224</v>
      </c>
      <c r="C41" s="122" t="s">
        <v>601</v>
      </c>
      <c r="G41" s="121" t="s">
        <v>627</v>
      </c>
      <c r="H41" s="121" t="s">
        <v>665</v>
      </c>
      <c r="I41" s="133">
        <v>30116</v>
      </c>
      <c r="J41" s="133">
        <v>23840</v>
      </c>
      <c r="K41" s="133">
        <v>24146</v>
      </c>
      <c r="M41" s="567" t="s">
        <v>9</v>
      </c>
      <c r="N41" s="567"/>
      <c r="O41" s="567"/>
      <c r="P41" s="567"/>
      <c r="Q41" s="567"/>
    </row>
    <row r="42" spans="1:17" ht="30.6">
      <c r="B42" s="122" t="s">
        <v>391</v>
      </c>
      <c r="C42" s="122" t="s">
        <v>601</v>
      </c>
      <c r="G42" s="136">
        <v>1200</v>
      </c>
      <c r="H42" s="121" t="s">
        <v>1460</v>
      </c>
      <c r="I42" s="133">
        <v>148573</v>
      </c>
      <c r="J42" s="133">
        <v>148527</v>
      </c>
      <c r="K42" s="133">
        <v>148531</v>
      </c>
      <c r="M42" s="567" t="s">
        <v>9</v>
      </c>
      <c r="N42" s="567"/>
      <c r="O42" s="567"/>
      <c r="P42" s="567"/>
      <c r="Q42" s="567"/>
    </row>
    <row r="43" spans="1:17" ht="205.75" customHeight="1">
      <c r="B43" s="122" t="s">
        <v>439</v>
      </c>
      <c r="C43" s="122" t="s">
        <v>601</v>
      </c>
      <c r="G43" s="121" t="s">
        <v>627</v>
      </c>
      <c r="H43" s="121" t="s">
        <v>666</v>
      </c>
      <c r="I43" s="133">
        <v>29386</v>
      </c>
      <c r="J43" s="133">
        <v>23047</v>
      </c>
      <c r="K43" s="133">
        <v>23366</v>
      </c>
      <c r="M43" s="567" t="s">
        <v>9</v>
      </c>
      <c r="N43" s="567"/>
      <c r="O43" s="567"/>
      <c r="P43" s="567"/>
      <c r="Q43" s="567"/>
    </row>
    <row r="44" spans="1:17">
      <c r="G44" s="119"/>
      <c r="I44" s="124"/>
      <c r="J44" s="124"/>
      <c r="K44" s="124"/>
    </row>
    <row r="45" spans="1:17" s="1" customFormat="1">
      <c r="A45" s="51" t="s">
        <v>566</v>
      </c>
      <c r="B45" s="144"/>
      <c r="C45" s="144"/>
      <c r="D45" s="144"/>
      <c r="E45" s="161"/>
      <c r="F45" s="88"/>
      <c r="G45" s="139"/>
      <c r="H45" s="89"/>
      <c r="I45" s="134"/>
      <c r="J45" s="134"/>
      <c r="K45" s="134"/>
      <c r="L45" s="112"/>
      <c r="M45" s="103"/>
      <c r="N45" s="111"/>
      <c r="O45" s="118"/>
      <c r="P45" s="118"/>
      <c r="Q45" s="118"/>
    </row>
    <row r="46" spans="1:17" ht="20.399999999999999">
      <c r="B46" s="122" t="s">
        <v>171</v>
      </c>
      <c r="C46" s="122" t="s">
        <v>601</v>
      </c>
      <c r="G46" s="122" t="s">
        <v>628</v>
      </c>
      <c r="H46" s="121" t="s">
        <v>629</v>
      </c>
      <c r="I46" s="133">
        <v>48319</v>
      </c>
      <c r="J46" s="133">
        <v>48912</v>
      </c>
      <c r="K46" s="133">
        <v>48487</v>
      </c>
      <c r="M46" s="567" t="s">
        <v>9</v>
      </c>
      <c r="N46" s="567"/>
      <c r="O46" s="567"/>
      <c r="P46" s="567"/>
      <c r="Q46" s="567"/>
    </row>
    <row r="47" spans="1:17" ht="20.399999999999999">
      <c r="A47" s="113"/>
      <c r="B47" s="140" t="s">
        <v>431</v>
      </c>
      <c r="C47" s="140" t="s">
        <v>601</v>
      </c>
      <c r="D47" s="140"/>
      <c r="E47" s="140"/>
      <c r="F47" s="113"/>
      <c r="G47" s="373">
        <v>20116</v>
      </c>
      <c r="H47" s="374" t="s">
        <v>630</v>
      </c>
      <c r="I47" s="375">
        <v>67331</v>
      </c>
      <c r="J47" s="375">
        <v>68869</v>
      </c>
      <c r="K47" s="375">
        <v>68808</v>
      </c>
      <c r="L47" s="113"/>
      <c r="M47" s="568" t="s">
        <v>9</v>
      </c>
      <c r="N47" s="568"/>
      <c r="O47" s="568"/>
      <c r="P47" s="568"/>
      <c r="Q47" s="568"/>
    </row>
    <row r="48" spans="1:17" ht="40" customHeight="1">
      <c r="A48" s="566" t="s">
        <v>1525</v>
      </c>
      <c r="B48" s="566"/>
      <c r="C48" s="566"/>
      <c r="D48" s="566"/>
      <c r="E48" s="566"/>
      <c r="F48" s="566"/>
      <c r="G48" s="566"/>
      <c r="H48" s="566"/>
      <c r="I48" s="566"/>
      <c r="J48" s="566"/>
      <c r="K48" s="566"/>
      <c r="L48" s="566"/>
      <c r="M48" s="566"/>
      <c r="N48" s="566"/>
      <c r="O48" s="566"/>
      <c r="P48" s="566"/>
      <c r="Q48" s="566"/>
    </row>
  </sheetData>
  <mergeCells count="31">
    <mergeCell ref="M37:Q37"/>
    <mergeCell ref="M11:Q11"/>
    <mergeCell ref="M12:Q12"/>
    <mergeCell ref="M28:Q28"/>
    <mergeCell ref="M5:Q5"/>
    <mergeCell ref="M6:Q6"/>
    <mergeCell ref="M7:Q7"/>
    <mergeCell ref="A2:B3"/>
    <mergeCell ref="F2:F3"/>
    <mergeCell ref="M2:Q2"/>
    <mergeCell ref="C2:C3"/>
    <mergeCell ref="D2:D3"/>
    <mergeCell ref="E2:E3"/>
    <mergeCell ref="L2:L3"/>
    <mergeCell ref="G2:K2"/>
    <mergeCell ref="A48:Q48"/>
    <mergeCell ref="M19:Q19"/>
    <mergeCell ref="M20:Q20"/>
    <mergeCell ref="M25:Q25"/>
    <mergeCell ref="M8:Q8"/>
    <mergeCell ref="M9:Q9"/>
    <mergeCell ref="M10:Q10"/>
    <mergeCell ref="M18:Q18"/>
    <mergeCell ref="M47:Q47"/>
    <mergeCell ref="M41:Q41"/>
    <mergeCell ref="M42:Q42"/>
    <mergeCell ref="M43:Q43"/>
    <mergeCell ref="M46:Q46"/>
    <mergeCell ref="M30:Q30"/>
    <mergeCell ref="M33:Q33"/>
    <mergeCell ref="M36:Q36"/>
  </mergeCells>
  <pageMargins left="0.7" right="0.7" top="0.75" bottom="0.75" header="0.3" footer="0.3"/>
  <pageSetup paperSize="9"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4C1C6-DF13-4C9F-BD17-C09280497B56}">
  <dimension ref="A1:R81"/>
  <sheetViews>
    <sheetView workbookViewId="0">
      <selection activeCell="G83" sqref="G83"/>
    </sheetView>
  </sheetViews>
  <sheetFormatPr defaultColWidth="8.7890625" defaultRowHeight="20.2" customHeight="1"/>
  <cols>
    <col min="1" max="1" width="8.7890625" style="82"/>
    <col min="2" max="2" width="24.47265625" style="82" customWidth="1"/>
    <col min="3" max="3" width="3" style="82" customWidth="1"/>
    <col min="4" max="4" width="8.7890625" style="11"/>
    <col min="5" max="5" width="20.47265625" style="9" customWidth="1"/>
    <col min="6" max="6" width="17.47265625" style="9" customWidth="1"/>
    <col min="7" max="7" width="5.47265625" style="82" customWidth="1"/>
    <col min="8" max="8" width="8.47265625" style="11" customWidth="1"/>
    <col min="9" max="9" width="17.47265625" style="125" customWidth="1"/>
    <col min="10" max="10" width="16.47265625" style="9" customWidth="1"/>
    <col min="11" max="11" width="7.47265625" style="82" customWidth="1"/>
    <col min="12" max="12" width="8.7890625" style="90"/>
    <col min="13" max="13" width="20.15625" style="125" customWidth="1"/>
    <col min="14" max="14" width="18.7890625" style="9" customWidth="1"/>
    <col min="15" max="16384" width="8.7890625" style="82"/>
  </cols>
  <sheetData>
    <row r="1" spans="1:18" ht="22" customHeight="1">
      <c r="A1" s="382" t="s">
        <v>1541</v>
      </c>
      <c r="B1" s="382"/>
      <c r="C1" s="209"/>
      <c r="D1" s="25"/>
      <c r="E1" s="28"/>
      <c r="F1" s="28"/>
      <c r="G1" s="209"/>
      <c r="H1" s="25"/>
      <c r="I1" s="123"/>
      <c r="J1" s="28"/>
      <c r="K1" s="209"/>
      <c r="L1" s="395"/>
      <c r="M1" s="123"/>
      <c r="N1" s="28"/>
    </row>
    <row r="2" spans="1:18" ht="22" customHeight="1">
      <c r="A2" s="127"/>
      <c r="B2" s="127"/>
      <c r="C2" s="127"/>
      <c r="D2" s="576" t="s">
        <v>875</v>
      </c>
      <c r="E2" s="576"/>
      <c r="F2" s="576"/>
      <c r="G2" s="127"/>
      <c r="H2" s="576" t="s">
        <v>876</v>
      </c>
      <c r="I2" s="576"/>
      <c r="J2" s="576"/>
      <c r="K2" s="127"/>
      <c r="L2" s="576" t="s">
        <v>1011</v>
      </c>
      <c r="M2" s="576"/>
      <c r="N2" s="576"/>
    </row>
    <row r="3" spans="1:18" ht="22" customHeight="1">
      <c r="A3" s="294"/>
      <c r="B3" s="294"/>
      <c r="C3" s="294"/>
      <c r="D3" s="394" t="s">
        <v>669</v>
      </c>
      <c r="E3" s="295" t="s">
        <v>1052</v>
      </c>
      <c r="F3" s="295" t="s">
        <v>1012</v>
      </c>
      <c r="G3" s="296"/>
      <c r="H3" s="394" t="s">
        <v>669</v>
      </c>
      <c r="I3" s="295" t="s">
        <v>1052</v>
      </c>
      <c r="J3" s="295" t="s">
        <v>1012</v>
      </c>
      <c r="K3" s="296"/>
      <c r="L3" s="394" t="s">
        <v>669</v>
      </c>
      <c r="M3" s="295" t="s">
        <v>1052</v>
      </c>
      <c r="N3" s="295" t="s">
        <v>1012</v>
      </c>
      <c r="O3" s="120"/>
      <c r="P3" s="120"/>
      <c r="Q3" s="120"/>
      <c r="R3" s="120"/>
    </row>
    <row r="4" spans="1:18" ht="22" customHeight="1">
      <c r="A4" s="564" t="s">
        <v>0</v>
      </c>
      <c r="B4" s="564"/>
      <c r="C4" s="299"/>
    </row>
    <row r="5" spans="1:18" ht="22" customHeight="1">
      <c r="A5" s="56" t="s">
        <v>6</v>
      </c>
      <c r="B5" s="57"/>
      <c r="C5" s="57"/>
      <c r="D5" s="84"/>
      <c r="E5" s="55"/>
      <c r="F5" s="55"/>
      <c r="G5" s="174"/>
      <c r="H5" s="84"/>
      <c r="I5" s="300"/>
      <c r="J5" s="55"/>
      <c r="K5" s="174"/>
      <c r="L5" s="103"/>
      <c r="M5" s="300"/>
      <c r="N5" s="55"/>
    </row>
    <row r="6" spans="1:18" ht="22" customHeight="1">
      <c r="A6"/>
      <c r="B6" s="10" t="s">
        <v>7</v>
      </c>
      <c r="C6" s="10"/>
      <c r="D6" s="11">
        <v>12666</v>
      </c>
      <c r="E6" s="301" t="s">
        <v>1188</v>
      </c>
      <c r="F6" s="301" t="s">
        <v>1053</v>
      </c>
      <c r="H6" s="11">
        <v>8183</v>
      </c>
      <c r="I6" s="301" t="s">
        <v>1191</v>
      </c>
      <c r="J6" s="301" t="s">
        <v>1076</v>
      </c>
      <c r="L6" s="90">
        <v>145971</v>
      </c>
      <c r="M6" s="301" t="s">
        <v>1179</v>
      </c>
      <c r="N6" s="301" t="s">
        <v>1149</v>
      </c>
    </row>
    <row r="7" spans="1:18" ht="22" customHeight="1">
      <c r="A7"/>
      <c r="B7" s="147" t="s">
        <v>19</v>
      </c>
      <c r="C7" s="147"/>
      <c r="D7" s="11">
        <v>12670</v>
      </c>
      <c r="E7" s="301" t="s">
        <v>1014</v>
      </c>
      <c r="F7" s="301" t="s">
        <v>1054</v>
      </c>
      <c r="H7" s="11">
        <v>8103</v>
      </c>
      <c r="I7" s="301" t="s">
        <v>1042</v>
      </c>
      <c r="J7" s="301" t="s">
        <v>1077</v>
      </c>
      <c r="L7" s="90">
        <v>148286</v>
      </c>
      <c r="M7" s="301" t="s">
        <v>1102</v>
      </c>
      <c r="N7" s="301" t="s">
        <v>1150</v>
      </c>
    </row>
    <row r="8" spans="1:18" ht="22" customHeight="1">
      <c r="A8" s="568" t="s">
        <v>1015</v>
      </c>
      <c r="B8" s="568"/>
      <c r="C8" s="568"/>
      <c r="D8" s="568"/>
      <c r="E8" s="568"/>
      <c r="F8" s="568"/>
      <c r="G8" s="568"/>
      <c r="H8" s="568"/>
      <c r="I8" s="568"/>
      <c r="J8" s="568"/>
      <c r="K8" s="568"/>
      <c r="L8" s="568"/>
      <c r="M8" s="568"/>
      <c r="N8" s="568"/>
    </row>
    <row r="9" spans="1:18" ht="22" customHeight="1">
      <c r="A9" s="51" t="s">
        <v>564</v>
      </c>
      <c r="B9" s="52"/>
      <c r="C9" s="52"/>
      <c r="D9" s="84"/>
      <c r="E9" s="300" t="s">
        <v>1015</v>
      </c>
      <c r="F9" s="55"/>
      <c r="G9" s="174"/>
      <c r="H9" s="84"/>
      <c r="I9" s="300"/>
      <c r="J9" s="55"/>
      <c r="K9" s="174"/>
      <c r="L9" s="103"/>
      <c r="M9" s="300"/>
      <c r="N9" s="55"/>
    </row>
    <row r="10" spans="1:18" ht="22" customHeight="1">
      <c r="A10"/>
      <c r="B10" s="82" t="s">
        <v>234</v>
      </c>
      <c r="D10" s="567" t="s">
        <v>1075</v>
      </c>
      <c r="E10" s="567"/>
      <c r="F10" s="567"/>
      <c r="H10" s="567" t="s">
        <v>1075</v>
      </c>
      <c r="I10" s="567"/>
      <c r="J10" s="567"/>
      <c r="L10" s="90">
        <v>129452</v>
      </c>
      <c r="M10" s="301" t="s">
        <v>1103</v>
      </c>
      <c r="N10" s="125" t="s">
        <v>9</v>
      </c>
    </row>
    <row r="11" spans="1:18" ht="22" customHeight="1">
      <c r="A11"/>
      <c r="B11" s="82" t="s">
        <v>245</v>
      </c>
      <c r="D11" s="567" t="s">
        <v>1075</v>
      </c>
      <c r="E11" s="567"/>
      <c r="F11" s="567"/>
      <c r="H11" s="567" t="s">
        <v>1075</v>
      </c>
      <c r="I11" s="567"/>
      <c r="J11" s="567"/>
      <c r="L11" s="90">
        <v>140841</v>
      </c>
      <c r="M11" s="301" t="s">
        <v>1104</v>
      </c>
      <c r="N11" s="125" t="s">
        <v>9</v>
      </c>
    </row>
    <row r="12" spans="1:18" ht="22" customHeight="1">
      <c r="A12"/>
      <c r="B12" s="82" t="s">
        <v>251</v>
      </c>
      <c r="D12" s="11">
        <v>4885</v>
      </c>
      <c r="E12" s="302" t="s">
        <v>1189</v>
      </c>
      <c r="F12" s="125" t="s">
        <v>9</v>
      </c>
      <c r="H12" s="11">
        <v>7961</v>
      </c>
      <c r="I12" s="302" t="s">
        <v>1216</v>
      </c>
      <c r="J12" s="125" t="s">
        <v>9</v>
      </c>
      <c r="L12" s="90">
        <v>129430</v>
      </c>
      <c r="M12" s="301" t="s">
        <v>1105</v>
      </c>
      <c r="N12" s="125" t="s">
        <v>9</v>
      </c>
    </row>
    <row r="13" spans="1:18" ht="22" customHeight="1">
      <c r="A13"/>
      <c r="B13" s="82" t="s">
        <v>258</v>
      </c>
      <c r="D13" s="567" t="s">
        <v>1075</v>
      </c>
      <c r="E13" s="567"/>
      <c r="F13" s="567"/>
      <c r="H13" s="567" t="s">
        <v>1075</v>
      </c>
      <c r="I13" s="567"/>
      <c r="J13" s="567"/>
      <c r="L13" s="90">
        <v>141090</v>
      </c>
      <c r="M13" s="301" t="s">
        <v>1106</v>
      </c>
      <c r="N13" s="125" t="s">
        <v>9</v>
      </c>
    </row>
    <row r="14" spans="1:18" ht="22" customHeight="1">
      <c r="A14"/>
      <c r="B14" s="82" t="s">
        <v>264</v>
      </c>
      <c r="D14" s="567" t="s">
        <v>1075</v>
      </c>
      <c r="E14" s="567"/>
      <c r="F14" s="567"/>
      <c r="H14" s="567" t="s">
        <v>1075</v>
      </c>
      <c r="I14" s="567"/>
      <c r="J14" s="567"/>
      <c r="L14" s="90">
        <v>140964</v>
      </c>
      <c r="M14" s="301" t="s">
        <v>1107</v>
      </c>
      <c r="N14" s="125" t="s">
        <v>9</v>
      </c>
    </row>
    <row r="15" spans="1:18" ht="22" customHeight="1">
      <c r="A15"/>
      <c r="B15" s="82" t="s">
        <v>269</v>
      </c>
      <c r="D15" s="11">
        <v>12528</v>
      </c>
      <c r="E15" s="301" t="s">
        <v>1536</v>
      </c>
      <c r="F15" s="125" t="s">
        <v>9</v>
      </c>
      <c r="H15" s="11">
        <v>8315</v>
      </c>
      <c r="I15" s="301" t="s">
        <v>1192</v>
      </c>
      <c r="J15" s="125" t="s">
        <v>9</v>
      </c>
      <c r="L15" s="90">
        <v>147585</v>
      </c>
      <c r="M15" s="301" t="s">
        <v>1108</v>
      </c>
      <c r="N15" s="125" t="s">
        <v>9</v>
      </c>
    </row>
    <row r="16" spans="1:18" ht="22" customHeight="1">
      <c r="A16"/>
      <c r="B16" s="82" t="s">
        <v>279</v>
      </c>
      <c r="D16" s="11">
        <v>12528</v>
      </c>
      <c r="E16" s="301" t="s">
        <v>1537</v>
      </c>
      <c r="F16" s="125" t="s">
        <v>9</v>
      </c>
      <c r="H16" s="567" t="s">
        <v>1075</v>
      </c>
      <c r="I16" s="567"/>
      <c r="J16" s="567"/>
      <c r="L16" s="90">
        <v>147585</v>
      </c>
      <c r="M16" s="301" t="s">
        <v>1109</v>
      </c>
      <c r="N16" s="125" t="s">
        <v>9</v>
      </c>
    </row>
    <row r="17" spans="1:14" ht="22" customHeight="1">
      <c r="A17"/>
      <c r="B17" s="82" t="s">
        <v>285</v>
      </c>
      <c r="D17" s="11">
        <v>12528</v>
      </c>
      <c r="E17" s="301" t="s">
        <v>1538</v>
      </c>
      <c r="F17" s="125" t="s">
        <v>9</v>
      </c>
      <c r="H17" s="11">
        <v>8315</v>
      </c>
      <c r="I17" s="301" t="s">
        <v>1193</v>
      </c>
      <c r="J17" s="125" t="s">
        <v>9</v>
      </c>
      <c r="L17" s="90">
        <v>147585</v>
      </c>
      <c r="M17" s="301" t="s">
        <v>1110</v>
      </c>
      <c r="N17" s="125" t="s">
        <v>9</v>
      </c>
    </row>
    <row r="18" spans="1:14" ht="22" customHeight="1">
      <c r="A18" s="568" t="s">
        <v>1015</v>
      </c>
      <c r="B18" s="568"/>
      <c r="C18" s="568"/>
      <c r="D18" s="568"/>
      <c r="E18" s="568"/>
      <c r="F18" s="568"/>
      <c r="G18" s="568"/>
      <c r="H18" s="568"/>
      <c r="I18" s="568"/>
      <c r="J18" s="568"/>
      <c r="K18" s="568"/>
      <c r="L18" s="568"/>
      <c r="M18" s="568"/>
      <c r="N18" s="568"/>
    </row>
    <row r="19" spans="1:14" ht="22" customHeight="1">
      <c r="A19" s="51" t="s">
        <v>32</v>
      </c>
      <c r="B19" s="52"/>
      <c r="C19" s="52"/>
      <c r="D19" s="84"/>
      <c r="E19" s="300" t="s">
        <v>1015</v>
      </c>
      <c r="F19" s="55"/>
      <c r="G19" s="174"/>
      <c r="H19" s="84"/>
      <c r="I19" s="300"/>
      <c r="J19" s="55"/>
      <c r="K19" s="174"/>
      <c r="L19" s="103"/>
      <c r="M19" s="300"/>
      <c r="N19" s="55"/>
    </row>
    <row r="20" spans="1:14" ht="22" customHeight="1">
      <c r="A20"/>
      <c r="B20" s="82" t="s">
        <v>33</v>
      </c>
      <c r="D20" s="11">
        <v>11367</v>
      </c>
      <c r="E20" s="301" t="s">
        <v>1190</v>
      </c>
      <c r="F20" s="125" t="s">
        <v>9</v>
      </c>
      <c r="H20" s="11">
        <v>8477</v>
      </c>
      <c r="I20" s="301" t="s">
        <v>1194</v>
      </c>
      <c r="J20" s="125" t="s">
        <v>9</v>
      </c>
      <c r="L20" s="90">
        <v>131310</v>
      </c>
      <c r="M20" s="301" t="s">
        <v>1111</v>
      </c>
      <c r="N20" s="125" t="s">
        <v>9</v>
      </c>
    </row>
    <row r="21" spans="1:14" ht="22" customHeight="1">
      <c r="A21"/>
      <c r="B21" s="82" t="s">
        <v>46</v>
      </c>
      <c r="D21" s="567" t="s">
        <v>1075</v>
      </c>
      <c r="E21" s="567"/>
      <c r="F21" s="567"/>
      <c r="H21" s="567" t="s">
        <v>1075</v>
      </c>
      <c r="I21" s="567"/>
      <c r="J21" s="567"/>
      <c r="L21" s="577" t="s">
        <v>1075</v>
      </c>
      <c r="M21" s="577"/>
      <c r="N21" s="577"/>
    </row>
    <row r="22" spans="1:14" ht="22" customHeight="1">
      <c r="A22"/>
      <c r="B22" s="82" t="s">
        <v>50</v>
      </c>
      <c r="D22" s="567" t="s">
        <v>1075</v>
      </c>
      <c r="E22" s="567"/>
      <c r="F22" s="567"/>
      <c r="H22" s="11">
        <v>7983</v>
      </c>
      <c r="I22" s="301" t="s">
        <v>1195</v>
      </c>
      <c r="J22" s="301" t="s">
        <v>1078</v>
      </c>
      <c r="L22" s="90">
        <v>74231</v>
      </c>
      <c r="M22" s="301" t="s">
        <v>1112</v>
      </c>
      <c r="N22" s="301" t="s">
        <v>1151</v>
      </c>
    </row>
    <row r="23" spans="1:14" ht="22" customHeight="1">
      <c r="A23"/>
      <c r="B23" s="82" t="s">
        <v>65</v>
      </c>
      <c r="D23" s="11">
        <v>12630</v>
      </c>
      <c r="E23" s="301" t="s">
        <v>1016</v>
      </c>
      <c r="F23" s="301" t="s">
        <v>1055</v>
      </c>
      <c r="H23" s="11">
        <v>8243</v>
      </c>
      <c r="I23" s="301" t="s">
        <v>1043</v>
      </c>
      <c r="J23" s="301" t="s">
        <v>1079</v>
      </c>
      <c r="L23" s="90">
        <v>146983</v>
      </c>
      <c r="M23" s="301" t="s">
        <v>1113</v>
      </c>
      <c r="N23" s="301" t="s">
        <v>1152</v>
      </c>
    </row>
    <row r="24" spans="1:14" ht="22" customHeight="1">
      <c r="A24"/>
      <c r="B24" s="82" t="s">
        <v>107</v>
      </c>
      <c r="D24" s="567" t="s">
        <v>1075</v>
      </c>
      <c r="E24" s="567"/>
      <c r="F24" s="567"/>
      <c r="H24" s="567" t="s">
        <v>1075</v>
      </c>
      <c r="I24" s="567"/>
      <c r="J24" s="567"/>
      <c r="L24" s="577" t="s">
        <v>1075</v>
      </c>
      <c r="M24" s="577"/>
      <c r="N24" s="577"/>
    </row>
    <row r="25" spans="1:14" ht="22" customHeight="1">
      <c r="A25"/>
      <c r="B25" s="82" t="s">
        <v>109</v>
      </c>
      <c r="D25" s="567" t="s">
        <v>1075</v>
      </c>
      <c r="E25" s="567"/>
      <c r="F25" s="567"/>
      <c r="H25" s="567" t="s">
        <v>1075</v>
      </c>
      <c r="I25" s="567"/>
      <c r="J25" s="567"/>
      <c r="L25" s="577" t="s">
        <v>1075</v>
      </c>
      <c r="M25" s="577"/>
      <c r="N25" s="577"/>
    </row>
    <row r="26" spans="1:14" ht="22" customHeight="1">
      <c r="A26" s="568" t="s">
        <v>1015</v>
      </c>
      <c r="B26" s="568"/>
      <c r="C26" s="568"/>
      <c r="D26" s="568"/>
      <c r="E26" s="568"/>
      <c r="F26" s="568"/>
      <c r="G26" s="568"/>
      <c r="H26" s="568"/>
      <c r="I26" s="568"/>
      <c r="J26" s="568"/>
      <c r="K26" s="568"/>
      <c r="L26" s="568"/>
      <c r="M26" s="568"/>
      <c r="N26" s="568"/>
    </row>
    <row r="27" spans="1:14" ht="22" customHeight="1">
      <c r="A27" s="61" t="s">
        <v>111</v>
      </c>
      <c r="B27" s="62"/>
      <c r="C27" s="62"/>
      <c r="D27" s="84"/>
      <c r="E27" s="300" t="s">
        <v>1015</v>
      </c>
      <c r="F27" s="55"/>
      <c r="G27" s="174"/>
      <c r="H27" s="84"/>
      <c r="I27" s="300"/>
      <c r="J27" s="55"/>
      <c r="K27" s="174"/>
      <c r="L27" s="103"/>
      <c r="M27" s="300"/>
      <c r="N27" s="55"/>
    </row>
    <row r="28" spans="1:14" ht="22" customHeight="1">
      <c r="A28"/>
      <c r="B28" s="82" t="s">
        <v>112</v>
      </c>
      <c r="D28" s="567" t="s">
        <v>1075</v>
      </c>
      <c r="E28" s="567"/>
      <c r="F28" s="567"/>
      <c r="H28" s="11">
        <v>7638</v>
      </c>
      <c r="I28" s="301" t="s">
        <v>1044</v>
      </c>
      <c r="J28" s="301" t="s">
        <v>1080</v>
      </c>
      <c r="L28" s="90">
        <v>64650</v>
      </c>
      <c r="M28" s="301" t="s">
        <v>1114</v>
      </c>
      <c r="N28" s="302" t="s">
        <v>1153</v>
      </c>
    </row>
    <row r="29" spans="1:14" ht="22" customHeight="1">
      <c r="A29"/>
      <c r="B29" s="82" t="s">
        <v>575</v>
      </c>
      <c r="D29" s="567" t="s">
        <v>1075</v>
      </c>
      <c r="E29" s="567"/>
      <c r="F29" s="567"/>
      <c r="H29" s="11">
        <v>3865</v>
      </c>
      <c r="I29" s="301" t="s">
        <v>1196</v>
      </c>
      <c r="J29" s="301" t="s">
        <v>1081</v>
      </c>
      <c r="L29" s="90">
        <v>77759</v>
      </c>
      <c r="M29" s="301" t="s">
        <v>1115</v>
      </c>
      <c r="N29" s="301" t="s">
        <v>1154</v>
      </c>
    </row>
    <row r="30" spans="1:14" ht="22" customHeight="1">
      <c r="A30"/>
      <c r="B30" s="82" t="s">
        <v>137</v>
      </c>
      <c r="D30" s="567" t="s">
        <v>1075</v>
      </c>
      <c r="E30" s="567"/>
      <c r="F30" s="567"/>
      <c r="H30" s="567" t="s">
        <v>1075</v>
      </c>
      <c r="I30" s="567"/>
      <c r="J30" s="567"/>
      <c r="L30" s="90">
        <v>130255</v>
      </c>
      <c r="M30" s="301" t="s">
        <v>1116</v>
      </c>
      <c r="N30" s="125" t="s">
        <v>9</v>
      </c>
    </row>
    <row r="31" spans="1:14" ht="22" customHeight="1">
      <c r="A31"/>
      <c r="B31" s="82" t="s">
        <v>582</v>
      </c>
      <c r="D31" s="11">
        <v>6786</v>
      </c>
      <c r="E31" s="301" t="s">
        <v>1186</v>
      </c>
      <c r="F31" s="301" t="s">
        <v>1056</v>
      </c>
      <c r="H31" s="11">
        <v>4083</v>
      </c>
      <c r="I31" s="301" t="s">
        <v>1197</v>
      </c>
      <c r="J31" s="301" t="s">
        <v>1082</v>
      </c>
      <c r="L31" s="90">
        <v>72782</v>
      </c>
      <c r="M31" s="301" t="s">
        <v>1117</v>
      </c>
      <c r="N31" s="301" t="s">
        <v>1155</v>
      </c>
    </row>
    <row r="32" spans="1:14" ht="22" customHeight="1">
      <c r="A32" s="568" t="s">
        <v>1015</v>
      </c>
      <c r="B32" s="568"/>
      <c r="C32" s="568"/>
      <c r="D32" s="568"/>
      <c r="E32" s="568"/>
      <c r="F32" s="568"/>
      <c r="G32" s="568"/>
      <c r="H32" s="568"/>
      <c r="I32" s="568"/>
      <c r="J32" s="568"/>
      <c r="K32" s="568"/>
      <c r="L32" s="568"/>
      <c r="M32" s="568"/>
      <c r="N32" s="568"/>
    </row>
    <row r="33" spans="1:14" ht="22" customHeight="1">
      <c r="A33" s="61" t="s">
        <v>574</v>
      </c>
      <c r="B33" s="62"/>
      <c r="C33" s="62"/>
      <c r="D33" s="84"/>
      <c r="E33" s="300" t="s">
        <v>1015</v>
      </c>
      <c r="F33" s="55"/>
      <c r="G33" s="174"/>
      <c r="H33" s="84"/>
      <c r="I33" s="300"/>
      <c r="J33" s="55"/>
      <c r="K33" s="174"/>
      <c r="L33" s="103"/>
      <c r="M33" s="300"/>
      <c r="N33" s="55"/>
    </row>
    <row r="34" spans="1:14" ht="22" customHeight="1">
      <c r="A34"/>
      <c r="B34" s="82" t="s">
        <v>188</v>
      </c>
      <c r="D34" s="567" t="s">
        <v>1075</v>
      </c>
      <c r="E34" s="567"/>
      <c r="F34" s="567"/>
      <c r="H34" s="11">
        <v>3232</v>
      </c>
      <c r="I34" s="301" t="s">
        <v>1198</v>
      </c>
      <c r="J34" s="125" t="s">
        <v>9</v>
      </c>
      <c r="L34" s="90">
        <v>148047</v>
      </c>
      <c r="M34" s="301" t="s">
        <v>1118</v>
      </c>
      <c r="N34" s="125" t="s">
        <v>9</v>
      </c>
    </row>
    <row r="35" spans="1:14" ht="22" customHeight="1">
      <c r="A35"/>
      <c r="B35" s="82" t="s">
        <v>198</v>
      </c>
      <c r="D35" s="11">
        <v>9193</v>
      </c>
      <c r="E35" s="301" t="s">
        <v>1017</v>
      </c>
      <c r="F35" s="301" t="s">
        <v>1058</v>
      </c>
      <c r="H35" s="11">
        <v>7853</v>
      </c>
      <c r="I35" s="301" t="s">
        <v>1199</v>
      </c>
      <c r="J35" s="301" t="s">
        <v>1084</v>
      </c>
      <c r="L35" s="90">
        <v>148638</v>
      </c>
      <c r="M35" s="301" t="s">
        <v>1119</v>
      </c>
      <c r="N35" s="301" t="s">
        <v>1157</v>
      </c>
    </row>
    <row r="36" spans="1:14" ht="22" customHeight="1">
      <c r="A36"/>
      <c r="B36" s="82" t="s">
        <v>210</v>
      </c>
      <c r="D36" s="567" t="s">
        <v>1075</v>
      </c>
      <c r="E36" s="567"/>
      <c r="F36" s="567"/>
      <c r="H36" s="11">
        <v>1687</v>
      </c>
      <c r="I36" s="301" t="s">
        <v>1200</v>
      </c>
      <c r="J36" s="301" t="s">
        <v>1085</v>
      </c>
      <c r="L36" s="90">
        <v>142597</v>
      </c>
      <c r="M36" s="301" t="s">
        <v>1120</v>
      </c>
      <c r="N36" s="301" t="s">
        <v>1158</v>
      </c>
    </row>
    <row r="37" spans="1:14" ht="22" customHeight="1">
      <c r="A37"/>
      <c r="B37" s="82" t="s">
        <v>583</v>
      </c>
      <c r="D37" s="11">
        <v>2866</v>
      </c>
      <c r="E37" s="301" t="s">
        <v>1187</v>
      </c>
      <c r="F37" s="125" t="s">
        <v>9</v>
      </c>
      <c r="H37" s="11">
        <v>4400</v>
      </c>
      <c r="I37" s="301" t="s">
        <v>1045</v>
      </c>
      <c r="J37" s="125" t="s">
        <v>9</v>
      </c>
      <c r="L37" s="90">
        <v>80007</v>
      </c>
      <c r="M37" s="301" t="s">
        <v>1121</v>
      </c>
      <c r="N37" s="125" t="s">
        <v>9</v>
      </c>
    </row>
    <row r="38" spans="1:14" ht="22" customHeight="1">
      <c r="A38"/>
      <c r="B38" s="82" t="s">
        <v>332</v>
      </c>
      <c r="D38" s="11">
        <v>12669</v>
      </c>
      <c r="E38" s="301" t="s">
        <v>1018</v>
      </c>
      <c r="F38" s="125" t="s">
        <v>9</v>
      </c>
      <c r="H38" s="11">
        <v>8176</v>
      </c>
      <c r="I38" s="301" t="s">
        <v>1201</v>
      </c>
      <c r="J38" s="125" t="s">
        <v>9</v>
      </c>
      <c r="L38" s="90">
        <v>148381</v>
      </c>
      <c r="M38" s="301" t="s">
        <v>1122</v>
      </c>
      <c r="N38" s="125" t="s">
        <v>9</v>
      </c>
    </row>
    <row r="39" spans="1:14" ht="22" customHeight="1">
      <c r="A39"/>
      <c r="B39" s="82" t="s">
        <v>584</v>
      </c>
      <c r="D39" s="11">
        <v>12669</v>
      </c>
      <c r="E39" s="301" t="s">
        <v>1019</v>
      </c>
      <c r="F39" s="125" t="s">
        <v>9</v>
      </c>
      <c r="H39" s="11">
        <v>2094</v>
      </c>
      <c r="I39" s="301" t="s">
        <v>1217</v>
      </c>
      <c r="J39" s="125" t="s">
        <v>9</v>
      </c>
      <c r="L39" s="90">
        <v>148469</v>
      </c>
      <c r="M39" s="301" t="s">
        <v>1123</v>
      </c>
      <c r="N39" s="125" t="s">
        <v>9</v>
      </c>
    </row>
    <row r="40" spans="1:14" ht="22" customHeight="1">
      <c r="A40"/>
      <c r="B40" s="82" t="s">
        <v>379</v>
      </c>
      <c r="D40" s="567" t="s">
        <v>1075</v>
      </c>
      <c r="E40" s="567"/>
      <c r="F40" s="567"/>
      <c r="H40" s="11">
        <v>3232</v>
      </c>
      <c r="I40" s="301" t="s">
        <v>1202</v>
      </c>
      <c r="J40" s="301" t="s">
        <v>1090</v>
      </c>
      <c r="L40" s="90">
        <v>128749</v>
      </c>
      <c r="M40" s="301" t="s">
        <v>1124</v>
      </c>
      <c r="N40" s="301" t="s">
        <v>1164</v>
      </c>
    </row>
    <row r="41" spans="1:14" ht="22" customHeight="1">
      <c r="A41"/>
      <c r="B41" s="82" t="s">
        <v>384</v>
      </c>
      <c r="D41" s="567" t="s">
        <v>1075</v>
      </c>
      <c r="E41" s="567"/>
      <c r="F41" s="567"/>
      <c r="H41" s="567" t="s">
        <v>1075</v>
      </c>
      <c r="I41" s="567"/>
      <c r="J41" s="567"/>
      <c r="L41" s="90">
        <v>140239</v>
      </c>
      <c r="M41" s="301" t="s">
        <v>1125</v>
      </c>
      <c r="N41" s="125" t="s">
        <v>9</v>
      </c>
    </row>
    <row r="42" spans="1:14" ht="22" customHeight="1">
      <c r="A42"/>
      <c r="B42" s="82" t="s">
        <v>397</v>
      </c>
      <c r="D42" s="11">
        <v>12666</v>
      </c>
      <c r="E42" s="301" t="s">
        <v>1020</v>
      </c>
      <c r="F42" s="125" t="s">
        <v>9</v>
      </c>
      <c r="H42" s="567" t="s">
        <v>1075</v>
      </c>
      <c r="I42" s="567"/>
      <c r="J42" s="567"/>
      <c r="L42" s="90">
        <v>141839</v>
      </c>
      <c r="M42" s="301" t="s">
        <v>1126</v>
      </c>
      <c r="N42" s="301" t="s">
        <v>1165</v>
      </c>
    </row>
    <row r="43" spans="1:14" ht="22" customHeight="1">
      <c r="A43"/>
      <c r="B43" s="82" t="s">
        <v>407</v>
      </c>
      <c r="D43" s="11">
        <v>565</v>
      </c>
      <c r="E43" s="301" t="s">
        <v>1021</v>
      </c>
      <c r="F43" s="125" t="s">
        <v>9</v>
      </c>
      <c r="H43" s="567" t="s">
        <v>1075</v>
      </c>
      <c r="I43" s="567"/>
      <c r="J43" s="567"/>
      <c r="L43" s="90">
        <v>54646</v>
      </c>
      <c r="M43" s="301" t="s">
        <v>1180</v>
      </c>
      <c r="N43" s="301" t="s">
        <v>1166</v>
      </c>
    </row>
    <row r="44" spans="1:14" ht="22" customHeight="1">
      <c r="A44"/>
      <c r="B44" s="82" t="s">
        <v>422</v>
      </c>
      <c r="D44" s="11">
        <v>2090</v>
      </c>
      <c r="E44" s="301" t="s">
        <v>1185</v>
      </c>
      <c r="F44" s="125" t="s">
        <v>9</v>
      </c>
      <c r="H44" s="11">
        <v>4077</v>
      </c>
      <c r="I44" s="301" t="s">
        <v>1203</v>
      </c>
      <c r="J44" s="125" t="s">
        <v>9</v>
      </c>
      <c r="L44" s="90">
        <v>68631</v>
      </c>
      <c r="M44" s="301" t="s">
        <v>1127</v>
      </c>
      <c r="N44" s="125" t="s">
        <v>9</v>
      </c>
    </row>
    <row r="45" spans="1:14" ht="22" customHeight="1">
      <c r="A45"/>
      <c r="B45" s="82" t="s">
        <v>449</v>
      </c>
      <c r="D45" s="11">
        <v>10973</v>
      </c>
      <c r="E45" s="301" t="s">
        <v>1022</v>
      </c>
      <c r="F45" s="301" t="s">
        <v>1065</v>
      </c>
      <c r="H45" s="11">
        <v>8129</v>
      </c>
      <c r="I45" s="301" t="s">
        <v>1204</v>
      </c>
      <c r="J45" s="301" t="s">
        <v>1092</v>
      </c>
      <c r="L45" s="90">
        <v>148062</v>
      </c>
      <c r="M45" s="301" t="s">
        <v>1128</v>
      </c>
      <c r="N45" s="301" t="s">
        <v>1167</v>
      </c>
    </row>
    <row r="46" spans="1:14" ht="22" customHeight="1">
      <c r="A46"/>
      <c r="B46" s="82" t="s">
        <v>454</v>
      </c>
      <c r="D46" s="11">
        <v>12669</v>
      </c>
      <c r="E46" s="301" t="s">
        <v>1023</v>
      </c>
      <c r="F46" s="125" t="s">
        <v>9</v>
      </c>
      <c r="H46" s="11">
        <v>7541</v>
      </c>
      <c r="I46" s="301" t="s">
        <v>1205</v>
      </c>
      <c r="J46" s="125" t="s">
        <v>9</v>
      </c>
      <c r="L46" s="90">
        <v>148312</v>
      </c>
      <c r="M46" s="301" t="s">
        <v>1129</v>
      </c>
      <c r="N46" s="125" t="s">
        <v>9</v>
      </c>
    </row>
    <row r="47" spans="1:14" ht="22" customHeight="1">
      <c r="A47" s="568" t="s">
        <v>1015</v>
      </c>
      <c r="B47" s="568"/>
      <c r="C47" s="568"/>
      <c r="D47" s="568"/>
      <c r="E47" s="568"/>
      <c r="F47" s="568"/>
      <c r="G47" s="568"/>
      <c r="H47" s="568"/>
      <c r="I47" s="568"/>
      <c r="J47" s="568"/>
      <c r="K47" s="568"/>
      <c r="L47" s="568"/>
      <c r="M47" s="568"/>
      <c r="N47" s="568"/>
    </row>
    <row r="48" spans="1:14" ht="22" customHeight="1">
      <c r="A48" s="61" t="s">
        <v>585</v>
      </c>
      <c r="B48" s="62"/>
      <c r="C48" s="62"/>
      <c r="D48" s="84"/>
      <c r="E48" s="300" t="s">
        <v>1015</v>
      </c>
      <c r="F48" s="55"/>
      <c r="G48" s="174"/>
      <c r="H48" s="84"/>
      <c r="I48" s="300"/>
      <c r="J48" s="55"/>
      <c r="K48" s="174"/>
      <c r="L48" s="103"/>
      <c r="M48" s="300"/>
      <c r="N48" s="55"/>
    </row>
    <row r="49" spans="1:14" ht="22" customHeight="1">
      <c r="A49"/>
      <c r="B49" s="82" t="s">
        <v>467</v>
      </c>
      <c r="D49" s="11">
        <v>11824</v>
      </c>
      <c r="E49" s="301" t="s">
        <v>1024</v>
      </c>
      <c r="F49" s="301" t="s">
        <v>1066</v>
      </c>
      <c r="H49" s="567" t="s">
        <v>1075</v>
      </c>
      <c r="I49" s="567"/>
      <c r="J49" s="567"/>
      <c r="L49" s="567" t="s">
        <v>1075</v>
      </c>
      <c r="M49" s="567"/>
      <c r="N49" s="567"/>
    </row>
    <row r="50" spans="1:14" ht="22" customHeight="1">
      <c r="A50"/>
      <c r="B50" s="82" t="s">
        <v>473</v>
      </c>
      <c r="D50" s="11">
        <v>11884</v>
      </c>
      <c r="E50" s="301" t="s">
        <v>1025</v>
      </c>
      <c r="F50" s="301" t="s">
        <v>1067</v>
      </c>
      <c r="H50" s="11">
        <v>8173</v>
      </c>
      <c r="I50" s="301" t="s">
        <v>1206</v>
      </c>
      <c r="J50" s="301" t="s">
        <v>1093</v>
      </c>
      <c r="L50" s="567" t="s">
        <v>1075</v>
      </c>
      <c r="M50" s="567"/>
      <c r="N50" s="567"/>
    </row>
    <row r="51" spans="1:14" ht="22" customHeight="1">
      <c r="A51"/>
      <c r="B51" s="82" t="s">
        <v>478</v>
      </c>
      <c r="D51" s="567" t="s">
        <v>1075</v>
      </c>
      <c r="E51" s="567"/>
      <c r="F51" s="567"/>
      <c r="H51" s="567" t="s">
        <v>1075</v>
      </c>
      <c r="I51" s="567"/>
      <c r="J51" s="567"/>
      <c r="L51" s="567" t="s">
        <v>1075</v>
      </c>
      <c r="M51" s="567"/>
      <c r="N51" s="567"/>
    </row>
    <row r="52" spans="1:14" ht="22" customHeight="1">
      <c r="A52"/>
      <c r="B52" s="82" t="s">
        <v>480</v>
      </c>
      <c r="D52" s="11">
        <v>11399</v>
      </c>
      <c r="E52" s="301" t="s">
        <v>1026</v>
      </c>
      <c r="F52" s="301" t="s">
        <v>1068</v>
      </c>
      <c r="H52" s="11">
        <v>7719</v>
      </c>
      <c r="I52" s="301" t="s">
        <v>1207</v>
      </c>
      <c r="J52" s="301" t="s">
        <v>1094</v>
      </c>
      <c r="L52" s="90">
        <v>56141</v>
      </c>
      <c r="M52" s="301" t="s">
        <v>1130</v>
      </c>
      <c r="N52" s="301" t="s">
        <v>1168</v>
      </c>
    </row>
    <row r="53" spans="1:14" ht="22" customHeight="1">
      <c r="A53"/>
      <c r="B53" s="82" t="s">
        <v>486</v>
      </c>
      <c r="D53" s="11">
        <v>4738</v>
      </c>
      <c r="E53" s="301" t="s">
        <v>1027</v>
      </c>
      <c r="F53" s="301" t="s">
        <v>1069</v>
      </c>
      <c r="H53" s="567" t="s">
        <v>1075</v>
      </c>
      <c r="I53" s="567"/>
      <c r="J53" s="567"/>
      <c r="L53" s="90">
        <v>56084</v>
      </c>
      <c r="M53" s="301" t="s">
        <v>1131</v>
      </c>
      <c r="N53" s="301" t="s">
        <v>1169</v>
      </c>
    </row>
    <row r="54" spans="1:14" ht="22" customHeight="1">
      <c r="A54"/>
      <c r="B54" s="82" t="s">
        <v>493</v>
      </c>
      <c r="D54" s="567" t="s">
        <v>1075</v>
      </c>
      <c r="E54" s="567"/>
      <c r="F54" s="567"/>
      <c r="H54" s="567" t="s">
        <v>1075</v>
      </c>
      <c r="I54" s="567"/>
      <c r="J54" s="567"/>
      <c r="L54" s="90">
        <v>133572</v>
      </c>
      <c r="M54" s="301" t="s">
        <v>1132</v>
      </c>
      <c r="N54" s="301" t="s">
        <v>1170</v>
      </c>
    </row>
    <row r="55" spans="1:14" ht="22" customHeight="1">
      <c r="A55"/>
      <c r="B55" s="82" t="s">
        <v>588</v>
      </c>
      <c r="D55" s="567" t="s">
        <v>1075</v>
      </c>
      <c r="E55" s="567"/>
      <c r="F55" s="567"/>
      <c r="H55" s="567" t="s">
        <v>1075</v>
      </c>
      <c r="I55" s="567"/>
      <c r="J55" s="567"/>
      <c r="L55" s="567" t="s">
        <v>1075</v>
      </c>
      <c r="M55" s="567"/>
      <c r="N55" s="567"/>
    </row>
    <row r="56" spans="1:14" ht="22" customHeight="1">
      <c r="A56"/>
      <c r="B56" s="82" t="s">
        <v>500</v>
      </c>
      <c r="D56" s="567" t="s">
        <v>1075</v>
      </c>
      <c r="E56" s="567"/>
      <c r="F56" s="567"/>
      <c r="H56" s="567" t="s">
        <v>1075</v>
      </c>
      <c r="I56" s="567"/>
      <c r="J56" s="567"/>
      <c r="L56" s="567" t="s">
        <v>1075</v>
      </c>
      <c r="M56" s="567"/>
      <c r="N56" s="567"/>
    </row>
    <row r="57" spans="1:14" ht="22" customHeight="1">
      <c r="A57"/>
      <c r="B57" s="82" t="s">
        <v>502</v>
      </c>
      <c r="D57" s="11">
        <v>11914</v>
      </c>
      <c r="E57" s="301" t="s">
        <v>1013</v>
      </c>
      <c r="F57" s="301" t="s">
        <v>1070</v>
      </c>
      <c r="H57" s="11">
        <v>8169</v>
      </c>
      <c r="I57" s="301" t="s">
        <v>1208</v>
      </c>
      <c r="J57" s="301" t="s">
        <v>1095</v>
      </c>
      <c r="L57" s="90">
        <v>120043</v>
      </c>
      <c r="M57" s="301" t="s">
        <v>1133</v>
      </c>
      <c r="N57" s="301" t="s">
        <v>1171</v>
      </c>
    </row>
    <row r="58" spans="1:14" ht="22" customHeight="1">
      <c r="A58"/>
      <c r="B58" s="82" t="s">
        <v>516</v>
      </c>
      <c r="D58" s="11">
        <v>11892</v>
      </c>
      <c r="E58" s="301" t="s">
        <v>1028</v>
      </c>
      <c r="F58" s="301" t="s">
        <v>1071</v>
      </c>
      <c r="H58" s="11">
        <v>8164</v>
      </c>
      <c r="I58" s="301" t="s">
        <v>1209</v>
      </c>
      <c r="J58" s="301" t="s">
        <v>1096</v>
      </c>
      <c r="L58" s="567" t="s">
        <v>1075</v>
      </c>
      <c r="M58" s="567"/>
      <c r="N58" s="567"/>
    </row>
    <row r="59" spans="1:14" ht="22" customHeight="1">
      <c r="A59"/>
      <c r="B59" s="82" t="s">
        <v>418</v>
      </c>
      <c r="D59" s="11">
        <v>12669</v>
      </c>
      <c r="E59" s="301" t="s">
        <v>1029</v>
      </c>
      <c r="F59" s="301" t="s">
        <v>1064</v>
      </c>
      <c r="H59" s="11">
        <v>8027</v>
      </c>
      <c r="I59" s="301" t="s">
        <v>1046</v>
      </c>
      <c r="J59" s="301" t="s">
        <v>1091</v>
      </c>
      <c r="L59" s="567" t="s">
        <v>1075</v>
      </c>
      <c r="M59" s="567"/>
      <c r="N59" s="567"/>
    </row>
    <row r="60" spans="1:14" ht="22" customHeight="1">
      <c r="A60"/>
      <c r="B60" s="82" t="s">
        <v>587</v>
      </c>
      <c r="D60" s="11">
        <v>12669</v>
      </c>
      <c r="E60" s="301" t="s">
        <v>1030</v>
      </c>
      <c r="F60" s="301" t="s">
        <v>1072</v>
      </c>
      <c r="H60" s="11">
        <v>8444</v>
      </c>
      <c r="I60" s="301" t="s">
        <v>1210</v>
      </c>
      <c r="J60" s="301" t="s">
        <v>1097</v>
      </c>
      <c r="L60" s="90">
        <v>148238</v>
      </c>
      <c r="M60" s="301" t="s">
        <v>1134</v>
      </c>
      <c r="N60" s="301" t="s">
        <v>1172</v>
      </c>
    </row>
    <row r="61" spans="1:14" ht="22" customHeight="1">
      <c r="A61"/>
      <c r="B61" s="82" t="s">
        <v>527</v>
      </c>
      <c r="D61" s="11">
        <v>8893</v>
      </c>
      <c r="E61" s="301" t="s">
        <v>1031</v>
      </c>
      <c r="F61" s="301" t="s">
        <v>1073</v>
      </c>
      <c r="H61" s="11">
        <v>6045</v>
      </c>
      <c r="I61" s="301" t="s">
        <v>1211</v>
      </c>
      <c r="J61" s="301" t="s">
        <v>1098</v>
      </c>
      <c r="L61" s="90">
        <v>143597</v>
      </c>
      <c r="M61" s="301" t="s">
        <v>1135</v>
      </c>
      <c r="N61" s="301" t="s">
        <v>1173</v>
      </c>
    </row>
    <row r="62" spans="1:14" ht="22" customHeight="1">
      <c r="A62"/>
      <c r="B62" s="82" t="s">
        <v>535</v>
      </c>
      <c r="D62" s="11">
        <v>11849</v>
      </c>
      <c r="E62" s="301" t="s">
        <v>1032</v>
      </c>
      <c r="F62" s="301" t="s">
        <v>1074</v>
      </c>
      <c r="H62" s="11">
        <v>8153</v>
      </c>
      <c r="I62" s="301" t="s">
        <v>1212</v>
      </c>
      <c r="J62" s="301" t="s">
        <v>1099</v>
      </c>
      <c r="L62" s="90">
        <v>30390</v>
      </c>
      <c r="M62" s="301" t="s">
        <v>1136</v>
      </c>
      <c r="N62" s="301" t="s">
        <v>1174</v>
      </c>
    </row>
    <row r="63" spans="1:14" ht="22" customHeight="1">
      <c r="A63" s="568" t="s">
        <v>1015</v>
      </c>
      <c r="B63" s="568"/>
      <c r="C63" s="568"/>
      <c r="D63" s="568"/>
      <c r="E63" s="568"/>
      <c r="F63" s="568"/>
      <c r="G63" s="568"/>
      <c r="H63" s="568"/>
      <c r="I63" s="568"/>
      <c r="J63" s="568"/>
      <c r="K63" s="568"/>
      <c r="L63" s="568"/>
      <c r="M63" s="568"/>
      <c r="N63" s="568"/>
    </row>
    <row r="64" spans="1:14" ht="22" customHeight="1">
      <c r="A64" s="51" t="s">
        <v>565</v>
      </c>
      <c r="B64" s="86"/>
      <c r="C64" s="86"/>
      <c r="D64" s="84"/>
      <c r="E64" s="300" t="s">
        <v>1015</v>
      </c>
      <c r="F64" s="55"/>
      <c r="G64" s="174"/>
      <c r="H64" s="84"/>
      <c r="I64" s="300"/>
      <c r="J64" s="55"/>
      <c r="K64" s="174"/>
      <c r="L64" s="103"/>
      <c r="M64" s="300"/>
      <c r="N64" s="55"/>
    </row>
    <row r="65" spans="1:14" ht="22" customHeight="1">
      <c r="A65"/>
      <c r="B65" s="82" t="s">
        <v>193</v>
      </c>
      <c r="D65" s="567" t="s">
        <v>1075</v>
      </c>
      <c r="E65" s="567"/>
      <c r="F65" s="567"/>
      <c r="H65" s="567" t="s">
        <v>1075</v>
      </c>
      <c r="I65" s="567"/>
      <c r="J65" s="567"/>
      <c r="L65" s="90">
        <v>12520</v>
      </c>
      <c r="M65" s="301" t="s">
        <v>1137</v>
      </c>
      <c r="N65" s="125" t="s">
        <v>9</v>
      </c>
    </row>
    <row r="66" spans="1:14" ht="22" customHeight="1">
      <c r="A66"/>
      <c r="B66" s="82" t="s">
        <v>218</v>
      </c>
      <c r="D66" s="11">
        <v>755</v>
      </c>
      <c r="E66" s="301" t="s">
        <v>1033</v>
      </c>
      <c r="F66" s="301" t="s">
        <v>1059</v>
      </c>
      <c r="H66" s="567" t="s">
        <v>1075</v>
      </c>
      <c r="I66" s="567"/>
      <c r="J66" s="567"/>
      <c r="L66" s="90">
        <v>22960</v>
      </c>
      <c r="M66" s="301" t="s">
        <v>1138</v>
      </c>
      <c r="N66" s="125" t="s">
        <v>9</v>
      </c>
    </row>
    <row r="67" spans="1:14" ht="22" customHeight="1">
      <c r="A67"/>
      <c r="B67" s="82" t="s">
        <v>221</v>
      </c>
      <c r="D67" s="567" t="s">
        <v>1075</v>
      </c>
      <c r="E67" s="567"/>
      <c r="F67" s="567"/>
      <c r="H67" s="567" t="s">
        <v>1075</v>
      </c>
      <c r="I67" s="567"/>
      <c r="J67" s="567"/>
      <c r="L67" s="90">
        <v>12407</v>
      </c>
      <c r="M67" s="301" t="s">
        <v>1139</v>
      </c>
      <c r="N67" s="125" t="s">
        <v>9</v>
      </c>
    </row>
    <row r="68" spans="1:14" ht="22" customHeight="1">
      <c r="A68"/>
      <c r="B68" s="82" t="s">
        <v>224</v>
      </c>
      <c r="D68" s="11">
        <v>804</v>
      </c>
      <c r="E68" s="301" t="s">
        <v>1034</v>
      </c>
      <c r="F68" s="125" t="s">
        <v>9</v>
      </c>
      <c r="H68" s="567" t="s">
        <v>1075</v>
      </c>
      <c r="I68" s="567"/>
      <c r="J68" s="567"/>
      <c r="L68" s="90">
        <v>24146</v>
      </c>
      <c r="M68" s="301" t="s">
        <v>1140</v>
      </c>
      <c r="N68" s="125" t="s">
        <v>9</v>
      </c>
    </row>
    <row r="69" spans="1:14" ht="22" customHeight="1">
      <c r="A69"/>
      <c r="B69" s="82" t="s">
        <v>348</v>
      </c>
      <c r="D69" s="11">
        <v>10967</v>
      </c>
      <c r="E69" s="301" t="s">
        <v>1035</v>
      </c>
      <c r="F69" s="301" t="s">
        <v>1061</v>
      </c>
      <c r="H69" s="11">
        <v>8154</v>
      </c>
      <c r="I69" s="301" t="s">
        <v>1047</v>
      </c>
      <c r="J69" s="301" t="s">
        <v>1087</v>
      </c>
      <c r="L69" s="90">
        <v>134767</v>
      </c>
      <c r="M69" s="301" t="s">
        <v>1141</v>
      </c>
      <c r="N69" s="301" t="s">
        <v>1161</v>
      </c>
    </row>
    <row r="70" spans="1:14" ht="22" customHeight="1">
      <c r="A70"/>
      <c r="B70" s="82" t="s">
        <v>391</v>
      </c>
      <c r="D70" s="11">
        <v>12667</v>
      </c>
      <c r="E70" s="301" t="s">
        <v>1036</v>
      </c>
      <c r="F70" s="125" t="s">
        <v>9</v>
      </c>
      <c r="H70" s="11">
        <v>2081</v>
      </c>
      <c r="I70" s="301" t="s">
        <v>1048</v>
      </c>
      <c r="J70" s="125" t="s">
        <v>9</v>
      </c>
      <c r="L70" s="90">
        <v>148531</v>
      </c>
      <c r="M70" s="301" t="s">
        <v>1142</v>
      </c>
      <c r="N70" s="125" t="s">
        <v>9</v>
      </c>
    </row>
    <row r="71" spans="1:14" ht="22" customHeight="1">
      <c r="A71"/>
      <c r="B71" s="82" t="s">
        <v>439</v>
      </c>
      <c r="D71" s="11">
        <v>805</v>
      </c>
      <c r="E71" s="301" t="s">
        <v>1037</v>
      </c>
      <c r="F71" s="125" t="s">
        <v>9</v>
      </c>
      <c r="H71" s="567" t="s">
        <v>1075</v>
      </c>
      <c r="I71" s="567"/>
      <c r="J71" s="567"/>
      <c r="L71" s="90">
        <v>23366</v>
      </c>
      <c r="M71" s="301" t="s">
        <v>1143</v>
      </c>
      <c r="N71" s="125" t="s">
        <v>9</v>
      </c>
    </row>
    <row r="72" spans="1:14" ht="22" customHeight="1">
      <c r="A72" s="568" t="s">
        <v>1015</v>
      </c>
      <c r="B72" s="568"/>
      <c r="C72" s="568"/>
      <c r="D72" s="568"/>
      <c r="E72" s="568"/>
      <c r="F72" s="568"/>
      <c r="G72" s="568"/>
      <c r="H72" s="568"/>
      <c r="I72" s="568"/>
      <c r="J72" s="568"/>
      <c r="K72" s="568"/>
      <c r="L72" s="568"/>
      <c r="M72" s="568"/>
      <c r="N72" s="568"/>
    </row>
    <row r="73" spans="1:14" ht="22" customHeight="1">
      <c r="A73" s="297" t="s">
        <v>566</v>
      </c>
      <c r="B73" s="298"/>
      <c r="C73" s="298"/>
      <c r="D73" s="84"/>
      <c r="E73" s="300" t="s">
        <v>1015</v>
      </c>
      <c r="F73" s="55"/>
      <c r="G73" s="174"/>
      <c r="H73" s="84"/>
      <c r="I73" s="300"/>
      <c r="J73" s="55"/>
      <c r="K73" s="174"/>
      <c r="L73" s="103"/>
      <c r="M73" s="300"/>
      <c r="N73" s="55"/>
    </row>
    <row r="74" spans="1:14" ht="22" customHeight="1">
      <c r="A74"/>
      <c r="B74" s="82" t="s">
        <v>159</v>
      </c>
      <c r="D74" s="11">
        <v>9580</v>
      </c>
      <c r="E74" s="301" t="s">
        <v>1038</v>
      </c>
      <c r="F74" s="301" t="s">
        <v>1057</v>
      </c>
      <c r="H74" s="11">
        <v>6654</v>
      </c>
      <c r="I74" s="301" t="s">
        <v>1049</v>
      </c>
      <c r="J74" s="301" t="s">
        <v>1083</v>
      </c>
      <c r="L74" s="90">
        <v>40698</v>
      </c>
      <c r="M74" s="301" t="s">
        <v>1144</v>
      </c>
      <c r="N74" s="301" t="s">
        <v>1156</v>
      </c>
    </row>
    <row r="75" spans="1:14" ht="22" customHeight="1">
      <c r="A75"/>
      <c r="B75" s="82" t="s">
        <v>171</v>
      </c>
      <c r="D75" s="11">
        <v>1325</v>
      </c>
      <c r="E75" s="301" t="s">
        <v>1039</v>
      </c>
      <c r="F75" s="125" t="s">
        <v>9</v>
      </c>
      <c r="H75" s="11">
        <v>4475</v>
      </c>
      <c r="I75" s="301" t="s">
        <v>1050</v>
      </c>
      <c r="J75" s="125" t="s">
        <v>9</v>
      </c>
      <c r="L75" s="90">
        <v>48487</v>
      </c>
      <c r="M75" s="301" t="s">
        <v>1145</v>
      </c>
      <c r="N75" s="125" t="s">
        <v>9</v>
      </c>
    </row>
    <row r="76" spans="1:14" ht="22" customHeight="1">
      <c r="A76"/>
      <c r="B76" s="82" t="s">
        <v>303</v>
      </c>
      <c r="D76" s="567" t="s">
        <v>1075</v>
      </c>
      <c r="E76" s="567"/>
      <c r="F76" s="567"/>
      <c r="H76" s="567" t="s">
        <v>1075</v>
      </c>
      <c r="I76" s="567"/>
      <c r="J76" s="567"/>
      <c r="L76" s="90">
        <v>44599</v>
      </c>
      <c r="M76" s="301" t="s">
        <v>1146</v>
      </c>
      <c r="N76" s="302" t="s">
        <v>1159</v>
      </c>
    </row>
    <row r="77" spans="1:14" ht="22" customHeight="1">
      <c r="A77"/>
      <c r="B77" s="82" t="s">
        <v>589</v>
      </c>
      <c r="D77" s="11">
        <v>6348</v>
      </c>
      <c r="E77" s="301" t="s">
        <v>1040</v>
      </c>
      <c r="F77" s="301" t="s">
        <v>1060</v>
      </c>
      <c r="H77" s="11">
        <v>2828</v>
      </c>
      <c r="I77" s="301" t="s">
        <v>1213</v>
      </c>
      <c r="J77" s="301" t="s">
        <v>1086</v>
      </c>
      <c r="L77" s="90">
        <v>46309</v>
      </c>
      <c r="M77" s="301" t="s">
        <v>1182</v>
      </c>
      <c r="N77" s="302" t="s">
        <v>1160</v>
      </c>
    </row>
    <row r="78" spans="1:14" ht="22" customHeight="1">
      <c r="A78"/>
      <c r="B78" s="82" t="s">
        <v>364</v>
      </c>
      <c r="D78" s="11">
        <v>12669</v>
      </c>
      <c r="E78" s="301" t="s">
        <v>1041</v>
      </c>
      <c r="F78" s="301" t="s">
        <v>1062</v>
      </c>
      <c r="H78" s="11">
        <v>6822</v>
      </c>
      <c r="I78" s="301" t="s">
        <v>1051</v>
      </c>
      <c r="J78" s="301" t="s">
        <v>1088</v>
      </c>
      <c r="L78" s="90">
        <v>128516</v>
      </c>
      <c r="M78" s="301" t="s">
        <v>1147</v>
      </c>
      <c r="N78" s="301" t="s">
        <v>1162</v>
      </c>
    </row>
    <row r="79" spans="1:14" ht="22" customHeight="1">
      <c r="A79"/>
      <c r="B79" s="82" t="s">
        <v>372</v>
      </c>
      <c r="D79" s="11">
        <v>12670</v>
      </c>
      <c r="E79" s="301" t="s">
        <v>1218</v>
      </c>
      <c r="F79" s="301" t="s">
        <v>1063</v>
      </c>
      <c r="H79" s="11">
        <v>8184</v>
      </c>
      <c r="I79" s="301" t="s">
        <v>1214</v>
      </c>
      <c r="J79" s="301" t="s">
        <v>1089</v>
      </c>
      <c r="L79" s="90">
        <v>148596</v>
      </c>
      <c r="M79" s="301" t="s">
        <v>1181</v>
      </c>
      <c r="N79" s="301" t="s">
        <v>1163</v>
      </c>
    </row>
    <row r="80" spans="1:14" ht="22" customHeight="1">
      <c r="A80"/>
      <c r="B80" s="82" t="s">
        <v>431</v>
      </c>
      <c r="D80" s="11">
        <v>7258</v>
      </c>
      <c r="E80" s="301" t="s">
        <v>1184</v>
      </c>
      <c r="F80" s="125" t="s">
        <v>9</v>
      </c>
      <c r="H80" s="11">
        <v>2883</v>
      </c>
      <c r="I80" s="301" t="s">
        <v>1215</v>
      </c>
      <c r="J80" s="125" t="s">
        <v>9</v>
      </c>
      <c r="L80" s="90">
        <v>68808</v>
      </c>
      <c r="M80" s="301" t="s">
        <v>1148</v>
      </c>
      <c r="N80" s="125" t="s">
        <v>9</v>
      </c>
    </row>
    <row r="81" spans="1:16" ht="62.5" customHeight="1">
      <c r="A81" s="566" t="s">
        <v>1725</v>
      </c>
      <c r="B81" s="566"/>
      <c r="C81" s="566"/>
      <c r="D81" s="566"/>
      <c r="E81" s="566"/>
      <c r="F81" s="566"/>
      <c r="G81" s="566"/>
      <c r="H81" s="566"/>
      <c r="I81" s="566"/>
      <c r="J81" s="566"/>
      <c r="K81" s="566"/>
      <c r="L81" s="566"/>
      <c r="M81" s="566"/>
      <c r="N81" s="566"/>
      <c r="O81" s="121"/>
      <c r="P81" s="121"/>
    </row>
  </sheetData>
  <mergeCells count="68">
    <mergeCell ref="L55:N55"/>
    <mergeCell ref="L56:N56"/>
    <mergeCell ref="L58:N58"/>
    <mergeCell ref="L59:N59"/>
    <mergeCell ref="H66:J66"/>
    <mergeCell ref="A63:N63"/>
    <mergeCell ref="D55:F55"/>
    <mergeCell ref="D56:F56"/>
    <mergeCell ref="D65:F65"/>
    <mergeCell ref="L25:N25"/>
    <mergeCell ref="L49:N49"/>
    <mergeCell ref="L50:N50"/>
    <mergeCell ref="L51:N51"/>
    <mergeCell ref="A26:N26"/>
    <mergeCell ref="A32:N32"/>
    <mergeCell ref="A47:N47"/>
    <mergeCell ref="H25:J25"/>
    <mergeCell ref="H30:J30"/>
    <mergeCell ref="H41:J41"/>
    <mergeCell ref="H42:J42"/>
    <mergeCell ref="H43:J43"/>
    <mergeCell ref="H49:J49"/>
    <mergeCell ref="H51:J51"/>
    <mergeCell ref="D36:F36"/>
    <mergeCell ref="D40:F40"/>
    <mergeCell ref="H68:J68"/>
    <mergeCell ref="H71:J71"/>
    <mergeCell ref="H76:J76"/>
    <mergeCell ref="D67:F67"/>
    <mergeCell ref="D76:F76"/>
    <mergeCell ref="A72:N72"/>
    <mergeCell ref="H67:J67"/>
    <mergeCell ref="H53:J53"/>
    <mergeCell ref="H54:J54"/>
    <mergeCell ref="H55:J55"/>
    <mergeCell ref="H56:J56"/>
    <mergeCell ref="H65:J65"/>
    <mergeCell ref="D41:F41"/>
    <mergeCell ref="D51:F51"/>
    <mergeCell ref="D54:F54"/>
    <mergeCell ref="D25:F25"/>
    <mergeCell ref="D28:F28"/>
    <mergeCell ref="D29:F29"/>
    <mergeCell ref="D30:F30"/>
    <mergeCell ref="D34:F34"/>
    <mergeCell ref="H14:J14"/>
    <mergeCell ref="A18:N18"/>
    <mergeCell ref="H16:J16"/>
    <mergeCell ref="D22:F22"/>
    <mergeCell ref="D24:F24"/>
    <mergeCell ref="L24:N24"/>
    <mergeCell ref="H24:J24"/>
    <mergeCell ref="A81:N81"/>
    <mergeCell ref="D2:F2"/>
    <mergeCell ref="H2:J2"/>
    <mergeCell ref="L2:N2"/>
    <mergeCell ref="A4:B4"/>
    <mergeCell ref="A8:N8"/>
    <mergeCell ref="D21:F21"/>
    <mergeCell ref="H21:J21"/>
    <mergeCell ref="L21:N21"/>
    <mergeCell ref="D10:F10"/>
    <mergeCell ref="D11:F11"/>
    <mergeCell ref="D13:F13"/>
    <mergeCell ref="D14:F14"/>
    <mergeCell ref="H10:J10"/>
    <mergeCell ref="H11:J11"/>
    <mergeCell ref="H13:J1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5183E-EA90-4031-A210-F4539DCF9AF5}">
  <dimension ref="A1:AY87"/>
  <sheetViews>
    <sheetView zoomScale="85" zoomScaleNormal="85" zoomScaleSheetLayoutView="110" workbookViewId="0">
      <pane xSplit="2" topLeftCell="C1" activePane="topRight" state="frozen"/>
      <selection pane="topRight" activeCell="L70" sqref="L70"/>
    </sheetView>
  </sheetViews>
  <sheetFormatPr defaultColWidth="10.83984375" defaultRowHeight="15.6"/>
  <cols>
    <col min="1" max="1" width="10.83984375" style="353" customWidth="1"/>
    <col min="2" max="2" width="30.83984375" style="353" bestFit="1" customWidth="1"/>
    <col min="3" max="3" width="10.1015625" style="353" customWidth="1"/>
    <col min="4" max="4" width="3.3125" style="353" customWidth="1"/>
    <col min="5" max="5" width="9.68359375" style="353" bestFit="1" customWidth="1"/>
    <col min="6" max="6" width="7.41796875" style="479" customWidth="1"/>
    <col min="7" max="7" width="7.41796875" style="353" hidden="1" customWidth="1"/>
    <col min="8" max="8" width="10.83984375" style="353" customWidth="1"/>
    <col min="9" max="9" width="8.41796875" style="353" customWidth="1"/>
    <col min="10" max="10" width="7.41796875" style="479" customWidth="1"/>
    <col min="11" max="11" width="7.41796875" style="353" hidden="1" customWidth="1"/>
    <col min="12" max="12" width="10.83984375" style="353" customWidth="1"/>
    <col min="13" max="13" width="10.05078125" style="479" customWidth="1"/>
    <col min="14" max="14" width="5.83984375" style="479" customWidth="1"/>
    <col min="15" max="15" width="10.83984375" style="353" hidden="1" customWidth="1"/>
    <col min="16" max="16" width="8.1015625" style="353" customWidth="1"/>
    <col min="17" max="17" width="7.47265625" style="353" customWidth="1"/>
    <col min="18" max="18" width="6.5234375" style="481" customWidth="1"/>
    <col min="19" max="19" width="7.578125" style="353" bestFit="1" customWidth="1"/>
    <col min="20" max="20" width="6.41796875" style="479" customWidth="1"/>
    <col min="21" max="21" width="6.41796875" style="353" hidden="1" customWidth="1"/>
    <col min="22" max="22" width="10.41796875" style="353" customWidth="1"/>
    <col min="23" max="23" width="6.41796875" style="353" customWidth="1"/>
    <col min="24" max="24" width="6.41796875" style="479" customWidth="1"/>
    <col min="25" max="25" width="6.41796875" style="353" hidden="1" customWidth="1"/>
    <col min="26" max="26" width="11.7890625" style="353" customWidth="1"/>
    <col min="27" max="27" width="6.15625" style="479" customWidth="1"/>
    <col min="28" max="28" width="6.15625" style="532" customWidth="1"/>
    <col min="29" max="29" width="11.83984375" style="353" hidden="1" customWidth="1"/>
    <col min="30" max="30" width="8.05078125" style="353" customWidth="1"/>
    <col min="31" max="31" width="7.89453125" style="353" customWidth="1"/>
    <col min="32" max="32" width="6.1015625" style="481" customWidth="1"/>
    <col min="33" max="33" width="8.3125" style="487" customWidth="1"/>
    <col min="34" max="34" width="9.26171875" style="479" customWidth="1"/>
    <col min="35" max="35" width="8.41796875" style="479" hidden="1" customWidth="1"/>
    <col min="36" max="36" width="11.83984375" style="353" customWidth="1"/>
    <col min="37" max="37" width="8.47265625" style="487" customWidth="1"/>
    <col min="38" max="38" width="8.3671875" style="353" customWidth="1"/>
    <col min="39" max="39" width="8.05078125" style="479" hidden="1" customWidth="1"/>
    <col min="40" max="40" width="12.15625" style="479" customWidth="1"/>
    <col min="41" max="41" width="9.734375" style="479" customWidth="1"/>
    <col min="42" max="42" width="9.734375" style="532" customWidth="1"/>
    <col min="43" max="43" width="9.15625" style="479" customWidth="1"/>
    <col min="44" max="44" width="9.7890625" style="479" customWidth="1"/>
    <col min="45" max="45" width="10.83984375" style="472"/>
    <col min="46" max="46" width="10.83984375" style="549"/>
    <col min="47" max="16384" width="10.83984375" style="353"/>
  </cols>
  <sheetData>
    <row r="1" spans="1:51">
      <c r="A1" s="449" t="s">
        <v>1542</v>
      </c>
      <c r="B1" s="449"/>
      <c r="C1" s="449"/>
    </row>
    <row r="2" spans="1:51">
      <c r="A2" s="603" t="s">
        <v>0</v>
      </c>
      <c r="B2" s="603"/>
      <c r="C2" s="609" t="s">
        <v>1731</v>
      </c>
      <c r="E2" s="588" t="s">
        <v>863</v>
      </c>
      <c r="F2" s="596"/>
      <c r="G2" s="596"/>
      <c r="H2" s="596"/>
      <c r="I2" s="596"/>
      <c r="J2" s="596"/>
      <c r="K2" s="596"/>
      <c r="L2" s="596"/>
      <c r="M2" s="596"/>
      <c r="N2" s="596"/>
      <c r="O2" s="596"/>
      <c r="P2" s="596"/>
      <c r="Q2" s="589"/>
      <c r="R2" s="485"/>
      <c r="S2" s="588" t="s">
        <v>93</v>
      </c>
      <c r="T2" s="596"/>
      <c r="U2" s="596"/>
      <c r="V2" s="596"/>
      <c r="W2" s="596"/>
      <c r="X2" s="596"/>
      <c r="Y2" s="596"/>
      <c r="Z2" s="596"/>
      <c r="AA2" s="596"/>
      <c r="AB2" s="596"/>
      <c r="AC2" s="596"/>
      <c r="AD2" s="596"/>
      <c r="AE2" s="589"/>
      <c r="AF2" s="506"/>
      <c r="AG2" s="378"/>
      <c r="AH2" s="611" t="s">
        <v>1693</v>
      </c>
      <c r="AI2" s="611"/>
      <c r="AJ2" s="611"/>
      <c r="AK2" s="611"/>
      <c r="AL2" s="611"/>
      <c r="AM2" s="611"/>
      <c r="AN2" s="611"/>
      <c r="AO2" s="611"/>
      <c r="AP2" s="611"/>
      <c r="AQ2" s="611"/>
      <c r="AR2" s="611"/>
      <c r="AS2" s="611"/>
      <c r="AT2" s="611"/>
    </row>
    <row r="3" spans="1:51">
      <c r="A3" s="608"/>
      <c r="B3" s="608"/>
      <c r="C3" s="610"/>
      <c r="E3" s="588" t="s">
        <v>1375</v>
      </c>
      <c r="F3" s="596"/>
      <c r="G3" s="596"/>
      <c r="H3" s="589"/>
      <c r="I3" s="588" t="s">
        <v>1535</v>
      </c>
      <c r="J3" s="596"/>
      <c r="K3" s="596"/>
      <c r="L3" s="589"/>
      <c r="M3" s="588" t="s">
        <v>1376</v>
      </c>
      <c r="N3" s="603"/>
      <c r="O3" s="604"/>
      <c r="P3" s="588" t="s">
        <v>1728</v>
      </c>
      <c r="Q3" s="596"/>
      <c r="R3" s="559"/>
      <c r="S3" s="588" t="s">
        <v>1375</v>
      </c>
      <c r="T3" s="596"/>
      <c r="U3" s="596"/>
      <c r="V3" s="589"/>
      <c r="W3" s="588" t="s">
        <v>1535</v>
      </c>
      <c r="X3" s="596"/>
      <c r="Y3" s="596"/>
      <c r="Z3" s="596"/>
      <c r="AA3" s="588" t="s">
        <v>1376</v>
      </c>
      <c r="AB3" s="603"/>
      <c r="AC3" s="604"/>
      <c r="AD3" s="588" t="s">
        <v>1728</v>
      </c>
      <c r="AE3" s="589"/>
      <c r="AF3" s="482"/>
      <c r="AG3" s="588" t="s">
        <v>1375</v>
      </c>
      <c r="AH3" s="596"/>
      <c r="AI3" s="596"/>
      <c r="AJ3" s="589"/>
      <c r="AK3" s="588" t="s">
        <v>1535</v>
      </c>
      <c r="AL3" s="596"/>
      <c r="AM3" s="596"/>
      <c r="AN3" s="589"/>
      <c r="AO3" s="588" t="s">
        <v>1376</v>
      </c>
      <c r="AP3" s="589"/>
      <c r="AQ3" s="597" t="s">
        <v>1728</v>
      </c>
      <c r="AR3" s="598"/>
      <c r="AS3" s="598"/>
      <c r="AT3" s="599"/>
    </row>
    <row r="4" spans="1:51">
      <c r="A4" s="450" t="s">
        <v>6</v>
      </c>
      <c r="B4" s="451"/>
      <c r="C4" s="507"/>
      <c r="E4" s="497" t="s">
        <v>669</v>
      </c>
      <c r="F4" s="519" t="s">
        <v>1281</v>
      </c>
      <c r="G4" s="431" t="s">
        <v>571</v>
      </c>
      <c r="H4" s="432" t="s">
        <v>1374</v>
      </c>
      <c r="I4" s="433" t="s">
        <v>669</v>
      </c>
      <c r="J4" s="523" t="s">
        <v>1282</v>
      </c>
      <c r="K4" s="431" t="s">
        <v>571</v>
      </c>
      <c r="L4" s="432" t="s">
        <v>1374</v>
      </c>
      <c r="M4" s="524" t="s">
        <v>1280</v>
      </c>
      <c r="N4" s="525" t="s">
        <v>571</v>
      </c>
      <c r="O4" s="432" t="s">
        <v>1374</v>
      </c>
      <c r="P4" s="486" t="s">
        <v>1727</v>
      </c>
      <c r="Q4" s="471" t="s">
        <v>571</v>
      </c>
      <c r="R4" s="560"/>
      <c r="S4" s="433" t="s">
        <v>669</v>
      </c>
      <c r="T4" s="523" t="s">
        <v>1281</v>
      </c>
      <c r="U4" s="431" t="s">
        <v>571</v>
      </c>
      <c r="V4" s="432" t="s">
        <v>1374</v>
      </c>
      <c r="W4" s="433" t="s">
        <v>669</v>
      </c>
      <c r="X4" s="523" t="s">
        <v>1282</v>
      </c>
      <c r="Y4" s="431" t="s">
        <v>571</v>
      </c>
      <c r="Z4" s="434" t="s">
        <v>1374</v>
      </c>
      <c r="AA4" s="524" t="s">
        <v>1280</v>
      </c>
      <c r="AB4" s="525" t="s">
        <v>571</v>
      </c>
      <c r="AC4" s="432" t="s">
        <v>1374</v>
      </c>
      <c r="AD4" s="498" t="s">
        <v>1727</v>
      </c>
      <c r="AE4" s="499" t="s">
        <v>571</v>
      </c>
      <c r="AF4" s="483"/>
      <c r="AG4" s="517" t="s">
        <v>669</v>
      </c>
      <c r="AH4" s="480" t="s">
        <v>1281</v>
      </c>
      <c r="AI4" s="480" t="s">
        <v>571</v>
      </c>
      <c r="AJ4" s="432" t="s">
        <v>1374</v>
      </c>
      <c r="AK4" s="518" t="s">
        <v>669</v>
      </c>
      <c r="AL4" s="447" t="s">
        <v>1282</v>
      </c>
      <c r="AM4" s="480" t="s">
        <v>571</v>
      </c>
      <c r="AN4" s="516" t="s">
        <v>1374</v>
      </c>
      <c r="AO4" s="538" t="s">
        <v>1280</v>
      </c>
      <c r="AP4" s="539" t="s">
        <v>571</v>
      </c>
      <c r="AQ4" s="545" t="s">
        <v>1727</v>
      </c>
      <c r="AR4" s="544" t="s">
        <v>571</v>
      </c>
      <c r="AS4" s="473" t="s">
        <v>1683</v>
      </c>
      <c r="AT4" s="546" t="s">
        <v>1694</v>
      </c>
    </row>
    <row r="5" spans="1:51">
      <c r="A5" s="452"/>
      <c r="B5" s="164" t="s">
        <v>7</v>
      </c>
      <c r="C5" s="556" t="s">
        <v>1729</v>
      </c>
      <c r="E5" s="355">
        <v>147585</v>
      </c>
      <c r="F5" s="462">
        <v>0.24157690292356299</v>
      </c>
      <c r="G5" s="462">
        <v>2.53844180692317E-3</v>
      </c>
      <c r="H5" s="435" t="str">
        <f>"(" &amp; TEXT(
    IF(C5="Continuous", F5 - _xlfn.NORM.S.INV(0.975)*G5,
        IF(C5="Binary", EXP(LN(F5) - _xlfn.NORM.S.INV(0.975)*G5), "NA")
    ), "0.000"
) &amp; ", " &amp; TEXT(
    IF(C5="Continuous", F5 + _xlfn.NORM.S.INV(0.975)*G5,
        IF(C5="Binary", EXP(LN(F5) + _xlfn.NORM.S.INV(0.975)*G5), "NA")
    ), "0.000"
) &amp; ")"</f>
        <v>(0.237, 0.247)</v>
      </c>
      <c r="I5" s="355">
        <v>39044</v>
      </c>
      <c r="J5" s="462">
        <v>0.25364378633449502</v>
      </c>
      <c r="K5" s="462">
        <v>7.4593806062781898E-3</v>
      </c>
      <c r="L5" s="435" t="str">
        <f>"(" &amp; TEXT(
    IF(C5="Continuous", J5 - _xlfn.NORM.S.INV(0.975)*K5,
        IF(C5="Binary", EXP(LN(J5) - _xlfn.NORM.S.INV(0.975)*K5), "NA")
    ), "0.000"
) &amp; ", " &amp; TEXT(
    IF(C5="Continuous", J5 + _xlfn.NORM.S.INV(0.975)*K5,
        IF(C5="Binary", EXP(LN(J5) + _xlfn.NORM.S.INV(0.975)*K5), "NA")
    ), "0.000"
) &amp; ")"</f>
        <v>(0.239, 0.268)</v>
      </c>
      <c r="M5" s="526">
        <f>IF(C5="Continuous",J5/F5,IF(C5="Binary",LN(J5)/LN(F5),""))</f>
        <v>1.0499504847727521</v>
      </c>
      <c r="N5" s="527">
        <v>3.27896746252982E-2</v>
      </c>
      <c r="O5" s="435" t="s">
        <v>1377</v>
      </c>
      <c r="P5" s="448">
        <f>IF(C5="Continuous",F5-J5,IF(C5="Binary",LN(F5)-LN(J5)))</f>
        <v>-1.2066883410932039E-2</v>
      </c>
      <c r="Q5" s="448">
        <f>SQRT(G5^2 + K5^2)</f>
        <v>7.8794698956499952E-3</v>
      </c>
      <c r="R5" s="561"/>
      <c r="S5" s="355">
        <v>4285</v>
      </c>
      <c r="T5" s="462">
        <v>0.35372811253293701</v>
      </c>
      <c r="U5" s="462">
        <v>1.43950796663388E-2</v>
      </c>
      <c r="V5" s="435" t="str">
        <f>"(" &amp; TEXT(
    IF(C5="Continuous", T5 - _xlfn.NORM.S.INV(0.975)*U5,
        IF(C5="Binary", EXP(LN(T5) - _xlfn.NORM.S.INV(0.975)*U5), "NA")
    ), "0.000"
) &amp; ", " &amp; TEXT(
    IF(C5="Continuous", T5 + _xlfn.NORM.S.INV(0.975)*U5,
        IF(C5="Binary", EXP(LN(T5) + _xlfn.NORM.S.INV(0.975)*U5), "NA")
    ), "0.000"
) &amp; ")"</f>
        <v>(0.326, 0.382)</v>
      </c>
      <c r="W5" s="355">
        <v>3792</v>
      </c>
      <c r="X5" s="462">
        <v>0.31205442451667798</v>
      </c>
      <c r="Y5" s="462">
        <v>2.5171637753577201E-2</v>
      </c>
      <c r="Z5" s="436" t="str">
        <f>"(" &amp; TEXT(
    IF(C5="Continuous", X5 - _xlfn.NORM.S.INV(0.975)*Y5,
        IF(C5="Binary", EXP(LN(X5) - _xlfn.NORM.S.INV(0.975)*Y5), "NA")
    ), "0.000"
) &amp; ", " &amp; TEXT(
    IF(C5="Continuous", X5 + _xlfn.NORM.S.INV(0.975)*Y5,
        IF(C5="Binary", EXP(LN(X5) + _xlfn.NORM.S.INV(0.975)*Y5), "NA")
    ), "0.000"
) &amp; ")"</f>
        <v>(0.263, 0.361)</v>
      </c>
      <c r="AA5" s="526">
        <f>IF(C5="Continuous",X5/T5,IF(C5="Binary",LN(X5)/LN(T5),""))</f>
        <v>0.88218723211495198</v>
      </c>
      <c r="AB5" s="462">
        <v>7.9704195052876306E-2</v>
      </c>
      <c r="AC5" s="435" t="s">
        <v>1556</v>
      </c>
      <c r="AD5" s="500">
        <f>IF(C5="Continuous",T5-X5,IF(C5="Binary",LN(T5)-LN(X5),"NA"))</f>
        <v>4.1673688016259036E-2</v>
      </c>
      <c r="AE5" s="501">
        <f>SQRT(U5^2 + Y5^2)</f>
        <v>2.8997063054688035E-2</v>
      </c>
      <c r="AF5" s="484"/>
      <c r="AG5" s="510">
        <f>IF(AND(E5="NA", S5="NA"), "NA", IF(E5="NA", S5, IF(S5="NA", E5, E5 + S5)))</f>
        <v>151870</v>
      </c>
      <c r="AH5" s="477">
        <f>IF(AND(F5=0,T5=0),"",
IF(F5=0,T5,
IF(T5=0,F5,
IF(C5="Continuous",(F5/G5^2+T5/U5^2)/(1/G5^2+1/U5^2),IF(C5="Binary",EXP((LN(F5)/G5^2+LN(T5)/U5^2)/(1/G5^2+1/U5^2)),"NA")))))</f>
        <v>0.24495919482139636</v>
      </c>
      <c r="AI5" s="477">
        <f>IF(AND(F5=0,T5=0),"",
 IF(F5=0,U5,
  IF(T5=0,G5,
   SQRT(1/(1/G5^2 + 1/U5^2)))))</f>
        <v>2.4998712063205824E-3</v>
      </c>
      <c r="AJ5" s="511" t="str">
        <f>"(" &amp; TEXT(
    IF(C5="Continuous", AH5 - _xlfn.NORM.S.INV(0.975)*AI5,
        IF(C5="Binary", EXP(LN(AH5) - _xlfn.NORM.S.INV(0.975)*AI5), "NA")
    ), "0.000"
) &amp; ", " &amp; TEXT(
    IF(C5="Continuous", AH5 + _xlfn.NORM.S.INV(0.975)*AI5,
        IF(C5="Binary", EXP(LN(AH5) + _xlfn.NORM.S.INV(0.975)*AI5), "NA")
    ), "0.000"
) &amp; ")"</f>
        <v>(0.240, 0.250)</v>
      </c>
      <c r="AK5" s="510">
        <f>IF(AND(I5="NA", W5="NA"), "NA", IF(I5="NA", W5, IF(W5="NA", I5, I5 + W5)))</f>
        <v>42836</v>
      </c>
      <c r="AL5" s="477">
        <f>IF(AND(J5=0,X5=0),"",
IF(J5=0,X5,
IF(X5=0,J5,
IF(C5="Continuous",(J5/K5^2+X5/Y5^2)/(1/K5^2+1/Y5^2),IF(C5="Binary",EXP((LN(J5)/K5^2+LN(X5)/Y5^2)/(1/K5^2+1/Y5^2)),"NA")))))</f>
        <v>0.25835918455651929</v>
      </c>
      <c r="AM5" s="477">
        <f>IF(AND(J5=0,X5=0),"",
 IF(J5=0,Y5,
  IF(X5=0,K5,
   SQRT(1/(1/K5^2 + 1/Y5^2)))))</f>
        <v>7.1519535509363356E-3</v>
      </c>
      <c r="AN5" s="511" t="str">
        <f>"(" &amp; TEXT(
    IF(C5="Continuous", AL5 - _xlfn.NORM.S.INV(0.975)*AM5,
        IF(C5="Binary", EXP(LN(AL5) - _xlfn.NORM.S.INV(0.975)*AM5), "NA")
    ), "0.000"
) &amp; ", " &amp; TEXT(
    IF(C5="Continuous", AL5 + _xlfn.NORM.S.INV(0.975)*AM5,
        IF(C5="Binary", EXP(LN(AL5) + _xlfn.NORM.S.INV(0.975)*AM5), "NA")
    ), "0.000"
) &amp; ")"</f>
        <v>(0.244, 0.272)</v>
      </c>
      <c r="AO5" s="540">
        <f>IF(AND(M5="NA",AA5="NA"),"",
 IF(M5="NA",AA5,
  IF(AA5="NA",M5,
   (M5/N5^2 + AA5/AB5^2)/(1/N5^2 + 1/AB5^2))))</f>
        <v>1.0256674060140518</v>
      </c>
      <c r="AP5" s="528">
        <f>IF(AND(M5="NA",AA5="NA"),"",
 IF(M5="NA",AB5,
  IF(AA5="NA",N5,
   SQRT(1/(1/N5^2 + 1/AB5^2)))))</f>
        <v>3.0323870649698586E-2</v>
      </c>
      <c r="AQ5" s="540">
        <f>IF(AND(P5="NA",AD5="NA"),"NA",
 IF(P5="NA",AD5,
  IF(AD5="NA",P5,
   (P5/Q5^2 + AD5/AE5^2)/(1/Q5^2 + 1/AE5^2))))</f>
        <v>-8.3715887805310418E-3</v>
      </c>
      <c r="AR5" s="308">
        <f>IF(AND(P5="NA",AD5="NA"),"",
 IF(P5="NA",AE5,
  IF(AD5="NA",Q5,
   SQRT(1/(1/Q5^2 + 1/AE5^2)))))</f>
        <v>7.6037426280082645E-3</v>
      </c>
      <c r="AS5" s="474" t="str">
        <f>IF(OR(AR5&lt;=0,AR5="",AQ5=""),"",
  IFERROR(TEXT(2*(1-_xlfn.NORM.S.DIST(ABS(AQ5/AR5),TRUE)),"0.0E+00"),
  "&lt;1E-308"))</f>
        <v>2.7E-01</v>
      </c>
      <c r="AT5" s="550">
        <v>0.50275860000000006</v>
      </c>
      <c r="AU5" s="475"/>
      <c r="AV5"/>
      <c r="AW5"/>
      <c r="AX5"/>
      <c r="AY5"/>
    </row>
    <row r="6" spans="1:51">
      <c r="A6" s="452"/>
      <c r="B6" s="453" t="s">
        <v>19</v>
      </c>
      <c r="C6" s="553" t="s">
        <v>1729</v>
      </c>
      <c r="E6" s="355">
        <v>148286</v>
      </c>
      <c r="F6" s="462">
        <v>0.59648172892229201</v>
      </c>
      <c r="G6" s="462">
        <v>2.08150028395575E-3</v>
      </c>
      <c r="H6" s="435" t="str">
        <f>"(" &amp; TEXT(
    IF(C6="Continuous", F6 - _xlfn.NORM.S.INV(0.975)*G6,
        IF(C6="Binary", EXP(LN(F6) - _xlfn.NORM.S.INV(0.975)*G6), "NA")
    ), "0.000"
) &amp; ", " &amp; TEXT(
    IF(C6="Continuous", F6 + _xlfn.NORM.S.INV(0.975)*G6,
        IF(C6="Binary", EXP(LN(F6) + _xlfn.NORM.S.INV(0.975)*G6), "NA")
    ), "0.000"
) &amp; ")"</f>
        <v>(0.592, 0.601)</v>
      </c>
      <c r="I6" s="355">
        <v>39530</v>
      </c>
      <c r="J6" s="462">
        <v>0.54661939767533596</v>
      </c>
      <c r="K6" s="462">
        <v>5.7830470429730899E-3</v>
      </c>
      <c r="L6" s="435" t="str">
        <f>"(" &amp; TEXT(
    IF(C6="Continuous", J6 - _xlfn.NORM.S.INV(0.975)*K6,
        IF(C6="Binary", EXP(LN(J6) - _xlfn.NORM.S.INV(0.975)*K6), "NA")
    ), "0.000"
) &amp; ", " &amp; TEXT(
    IF(C6="Continuous", J6 + _xlfn.NORM.S.INV(0.975)*K6,
        IF(C6="Binary", EXP(LN(J6) + _xlfn.NORM.S.INV(0.975)*K6), "NA")
    ), "0.000"
) &amp; ")"</f>
        <v>(0.535, 0.558)</v>
      </c>
      <c r="M6" s="526">
        <f>IF(C6="Continuous",J6/F6,IF(C6="Binary",LN(J6)/LN(F6),""))</f>
        <v>0.91640593696466444</v>
      </c>
      <c r="N6" s="528">
        <v>1.0209054469739401E-2</v>
      </c>
      <c r="O6" s="435" t="s">
        <v>1378</v>
      </c>
      <c r="P6" s="448">
        <f>IF(C6="Continuous",F6-J6,IF(C6="Binary",LN(F6)-LN(J6)))</f>
        <v>4.9862331246956049E-2</v>
      </c>
      <c r="Q6" s="448">
        <f>SQRT(G6^2 + K6^2)</f>
        <v>6.1462408456997245E-3</v>
      </c>
      <c r="R6" s="561"/>
      <c r="S6" s="355">
        <v>4302</v>
      </c>
      <c r="T6" s="462">
        <v>0.56514745476742001</v>
      </c>
      <c r="U6" s="462">
        <v>1.3101270328099201E-2</v>
      </c>
      <c r="V6" s="435" t="str">
        <f>"(" &amp; TEXT(
    IF(C6="Continuous", T6 - _xlfn.NORM.S.INV(0.975)*U6,
        IF(C6="Binary", EXP(LN(T6) - _xlfn.NORM.S.INV(0.975)*U6), "NA")
    ), "0.000"
) &amp; ", " &amp; TEXT(
    IF(C6="Continuous", T6 + _xlfn.NORM.S.INV(0.975)*U6,
        IF(C6="Binary", EXP(LN(T6) + _xlfn.NORM.S.INV(0.975)*U6), "NA")
    ), "0.000"
) &amp; ")"</f>
        <v>(0.539, 0.591)</v>
      </c>
      <c r="W6" s="355">
        <v>3801</v>
      </c>
      <c r="X6" s="462">
        <v>0.57273588115735297</v>
      </c>
      <c r="Y6" s="462">
        <v>2.38543462491899E-2</v>
      </c>
      <c r="Z6" s="435" t="str">
        <f>"(" &amp; TEXT(
    IF(C6="Continuous", X6 - _xlfn.NORM.S.INV(0.975)*Y6,
        IF(C6="Binary", EXP(LN(X6) - _xlfn.NORM.S.INV(0.975)*Y6), "NA")
    ), "0.000"
) &amp; ", " &amp; TEXT(
    IF(C6="Continuous", X6 + _xlfn.NORM.S.INV(0.975)*Y6,
        IF(C6="Binary", EXP(LN(X6) + _xlfn.NORM.S.INV(0.975)*Y6), "NA")
    ), "0.000"
) &amp; ")"</f>
        <v>(0.526, 0.619)</v>
      </c>
      <c r="AA6" s="526">
        <f>IF(C6="Continuous",X6/T6,IF(C6="Binary",LN(X6)/LN(T6),""))</f>
        <v>1.0134273388757558</v>
      </c>
      <c r="AB6" s="462">
        <v>4.8306738345777797E-2</v>
      </c>
      <c r="AC6" s="435" t="s">
        <v>1557</v>
      </c>
      <c r="AD6" s="500">
        <f>IF(C6="Continuous",T6-X6,IF(C6="Binary",LN(T6)-LN(X6),"NA"))</f>
        <v>-7.5884263899329563E-3</v>
      </c>
      <c r="AE6" s="501">
        <f>SQRT(U6^2 + Y6^2)</f>
        <v>2.721531038195546E-2</v>
      </c>
      <c r="AF6" s="484"/>
      <c r="AG6" s="512">
        <f>IF(AND(E6="NA", S6="NA"), "NA", IF(E6="NA", S6, IF(S6="NA", E6, E6 + S6)))</f>
        <v>152588</v>
      </c>
      <c r="AH6" s="308">
        <f>IF(AND(F6=0,T6=0),"",
IF(F6=0,T6,
IF(T6=0,F6,
IF(C6="Continuous",(F6/G6^2+T6/U6^2)/(1/G6^2+1/U6^2),IF(C6="Binary",EXP((LN(F6)/G6^2+LN(T6)/U6^2)/(1/G6^2+1/U6^2)),"NA")))))</f>
        <v>0.59571025842097924</v>
      </c>
      <c r="AI6" s="308">
        <f>IF(AND(F6=0,T6=0),"",
 IF(F6=0,U6,
  IF(T6=0,G6,
   SQRT(1/(1/G6^2 + 1/U6^2)))))</f>
        <v>2.0557166372117816E-3</v>
      </c>
      <c r="AJ6" s="513" t="str">
        <f>"(" &amp; TEXT(
    IF(C6="Continuous", AH6 - _xlfn.NORM.S.INV(0.975)*AI6,
        IF(C6="Binary", EXP(LN(AH6) - _xlfn.NORM.S.INV(0.975)*AI6), "NA")
    ), "0.000"
) &amp; ", " &amp; TEXT(
    IF(C6="Continuous", AH6 + _xlfn.NORM.S.INV(0.975)*AI6,
        IF(C6="Binary", EXP(LN(AH6) + _xlfn.NORM.S.INV(0.975)*AI6), "NA")
    ), "0.000"
) &amp; ")"</f>
        <v>(0.592, 0.600)</v>
      </c>
      <c r="AK6" s="512">
        <f>IF(AND(I6="NA", W6="NA"), "NA", IF(I6="NA", W6, IF(W6="NA", I6, I6 + W6)))</f>
        <v>43331</v>
      </c>
      <c r="AL6" s="308">
        <f>IF(AND(J6=0,X6=0),"",
IF(J6=0,X6,
IF(X6=0,J6,
IF(C6="Continuous",(J6/K6^2+X6/Y6^2)/(1/K6^2+1/Y6^2),IF(C6="Binary",EXP((LN(J6)/K6^2+LN(X6)/Y6^2)/(1/K6^2+1/Y6^2)),"NA")))))</f>
        <v>0.54806913801702151</v>
      </c>
      <c r="AM6" s="308">
        <f>IF(AND(J6=0,X6=0),"",
 IF(J6=0,Y6,
  IF(X6=0,K6,
   SQRT(1/(1/K6^2 + 1/Y6^2)))))</f>
        <v>5.620245427025496E-3</v>
      </c>
      <c r="AN6" s="513" t="str">
        <f>"(" &amp; TEXT(
    IF(C6="Continuous", AL6 - _xlfn.NORM.S.INV(0.975)*AM6,
        IF(C6="Binary", EXP(LN(AL6) - _xlfn.NORM.S.INV(0.975)*AM6), "NA")
    ), "0.000"
) &amp; ", " &amp; TEXT(
    IF(C6="Continuous", AL6 + _xlfn.NORM.S.INV(0.975)*AM6,
        IF(C6="Binary", EXP(LN(AL6) + _xlfn.NORM.S.INV(0.975)*AM6), "NA")
    ), "0.000"
) &amp; ")"</f>
        <v>(0.537, 0.559)</v>
      </c>
      <c r="AO6" s="540">
        <f>IF(AND(M6="NA",AA6="NA"),"",
 IF(M6="NA",AA6,
  IF(AA6="NA",M6,
   (M6/N6^2 + AA6/AB6^2)/(1/N6^2 + 1/AB6^2))))</f>
        <v>0.92055401210021981</v>
      </c>
      <c r="AP6" s="528">
        <f>IF(AND(M6="NA",AA6="NA"),"",
 IF(M6="NA",AB6,
  IF(AA6="NA",N6,
   SQRT(1/(1/N6^2 + 1/AB6^2)))))</f>
        <v>9.9884304371936176E-3</v>
      </c>
      <c r="AQ6" s="540">
        <f>IF(AND(P6="NA",AD6="NA"),"NA",
 IF(P6="NA",AD6,
  IF(AD6="NA",P6,
   (P6/Q6^2 + AD6/AE6^2)/(1/Q6^2 + 1/AE6^2))))</f>
        <v>4.7074384182605816E-2</v>
      </c>
      <c r="AR6" s="308">
        <f>IF(AND(P6="NA",AD6="NA"),"",
 IF(P6="NA",AE6,
  IF(AD6="NA",Q6,
   SQRT(1/(1/Q6^2 + 1/AE6^2)))))</f>
        <v>5.995255182887827E-3</v>
      </c>
      <c r="AS6" s="474" t="str">
        <f t="shared" ref="AS6:AS69" si="0">IF(OR(AR6&lt;=0,AR6="",AQ6=""),"",
  IFERROR(TEXT(2*(1-_xlfn.NORM.S.DIST(ABS(AQ6/AR6),TRUE)),"0.0E+00"),
  "&lt;1E-308"))</f>
        <v>4.0E-15</v>
      </c>
      <c r="AT6" s="550">
        <v>7.1999999999999996E-14</v>
      </c>
      <c r="AU6" s="475"/>
      <c r="AV6"/>
      <c r="AW6"/>
      <c r="AX6"/>
      <c r="AY6"/>
    </row>
    <row r="7" spans="1:51">
      <c r="A7" s="452"/>
      <c r="B7" s="452"/>
      <c r="C7" s="557"/>
      <c r="E7" s="441"/>
      <c r="F7" s="520"/>
      <c r="G7" s="439"/>
      <c r="H7" s="440"/>
      <c r="I7" s="438"/>
      <c r="L7" s="437"/>
      <c r="M7" s="529"/>
      <c r="N7" s="530"/>
      <c r="O7" s="440"/>
      <c r="P7" s="492"/>
      <c r="Q7" s="493"/>
      <c r="R7" s="562"/>
      <c r="S7" s="421"/>
      <c r="T7" s="520"/>
      <c r="U7" s="439"/>
      <c r="V7" s="440"/>
      <c r="W7" s="441"/>
      <c r="X7" s="520"/>
      <c r="Z7" s="437"/>
      <c r="AA7" s="529"/>
      <c r="AB7" s="533"/>
      <c r="AC7" s="440"/>
      <c r="AD7" s="502"/>
      <c r="AE7" s="503"/>
      <c r="AF7" s="484"/>
      <c r="AG7" s="514"/>
      <c r="AH7" s="478"/>
      <c r="AI7" s="478"/>
      <c r="AJ7" s="515"/>
      <c r="AK7" s="514"/>
      <c r="AL7" s="478"/>
      <c r="AM7" s="478"/>
      <c r="AN7" s="503"/>
      <c r="AO7" s="529"/>
      <c r="AP7" s="541"/>
      <c r="AQ7" s="543" t="str">
        <f>IF(AND(P7=0,AD7=0),"",
 IF(P7=0,AD7,
  IF(AD7=0,P7,
   (P7/Q7^2 + AD7/AE7^2)/(1/Q7^2 + 1/AE7^2))))</f>
        <v/>
      </c>
      <c r="AR7" s="478" t="str">
        <f>IF(AND(P7=0,AD7=0),"",
 IF(P7=0,AE7,
  IF(AD7=0,Q7,
   SQRT(1/(1/Q7^2 + 1/AE7^2)))))</f>
        <v/>
      </c>
      <c r="AS7" s="547" t="str">
        <f t="shared" si="0"/>
        <v/>
      </c>
      <c r="AT7" s="551"/>
      <c r="AU7" s="475"/>
    </row>
    <row r="8" spans="1:51">
      <c r="A8" s="454" t="s">
        <v>564</v>
      </c>
      <c r="B8" s="455"/>
      <c r="C8" s="164"/>
      <c r="E8" s="442"/>
      <c r="F8" s="521"/>
      <c r="G8" s="442"/>
      <c r="H8" s="442"/>
      <c r="I8" s="442"/>
      <c r="J8" s="521"/>
      <c r="K8" s="442"/>
      <c r="L8" s="442"/>
      <c r="M8" s="521"/>
      <c r="N8" s="521"/>
      <c r="O8" s="442"/>
      <c r="P8" s="448"/>
      <c r="Q8" s="448"/>
      <c r="R8" s="562"/>
      <c r="S8" s="442"/>
      <c r="T8" s="521"/>
      <c r="W8" s="442"/>
      <c r="X8" s="521"/>
      <c r="Y8" s="442"/>
      <c r="Z8" s="442"/>
      <c r="AA8" s="534"/>
      <c r="AB8" s="535"/>
      <c r="AC8" s="442"/>
      <c r="AD8" s="446"/>
      <c r="AE8" s="308"/>
      <c r="AF8" s="484"/>
      <c r="AG8" s="11"/>
      <c r="AH8" s="308"/>
      <c r="AI8" s="308"/>
      <c r="AJ8" s="308"/>
      <c r="AK8" s="11"/>
      <c r="AL8" s="308"/>
      <c r="AM8" s="308"/>
      <c r="AN8" s="308"/>
      <c r="AO8" s="534"/>
      <c r="AP8" s="535"/>
      <c r="AQ8" s="308" t="str">
        <f>IF(AND(P8=0,AD8=0),"",
 IF(P8=0,AD8,
  IF(AD8=0,P8,
   (P8/Q8^2 + AD8/AE8^2)/(1/Q8^2 + 1/AE8^2))))</f>
        <v/>
      </c>
      <c r="AR8" s="308" t="str">
        <f>IF(AND(P8=0,AD8=0),"",
 IF(P8=0,AE8,
  IF(AD8=0,Q8,
   SQRT(1/(1/Q8^2 + 1/AE8^2)))))</f>
        <v/>
      </c>
      <c r="AS8" s="474" t="str">
        <f t="shared" si="0"/>
        <v/>
      </c>
    </row>
    <row r="9" spans="1:51">
      <c r="A9" s="452"/>
      <c r="B9" s="456" t="s">
        <v>234</v>
      </c>
      <c r="C9" s="556" t="s">
        <v>1729</v>
      </c>
      <c r="E9" s="368">
        <v>129452</v>
      </c>
      <c r="F9" s="464">
        <v>0.44081560583153501</v>
      </c>
      <c r="G9" s="464">
        <v>2.4973276718982598E-3</v>
      </c>
      <c r="H9" s="435" t="str">
        <f>"(" &amp; TEXT(
    IF(C9="Continuous", F9 - _xlfn.NORM.S.INV(0.975)*G9,
        IF(C9="Binary", EXP(LN(F9) - _xlfn.NORM.S.INV(0.975)*G9), "NA")
    ), "0.000"
) &amp; ", " &amp; TEXT(
    IF(C9="Continuous", F9 + _xlfn.NORM.S.INV(0.975)*G9,
        IF(C9="Binary", EXP(LN(F9) + _xlfn.NORM.S.INV(0.975)*G9), "NA")
    ), "0.000"
) &amp; ")"</f>
        <v>(0.436, 0.446)</v>
      </c>
      <c r="I9" s="355">
        <v>37632</v>
      </c>
      <c r="J9" s="462">
        <v>0.42328922691735399</v>
      </c>
      <c r="K9" s="462">
        <v>7.7716041969364503E-3</v>
      </c>
      <c r="L9" s="435" t="str">
        <f>"(" &amp; TEXT(
    IF(C9="Continuous", J9 - _xlfn.NORM.S.INV(0.975)*K9,
        IF(C9="Binary", EXP(LN(J9) - _xlfn.NORM.S.INV(0.975)*K9), "NA")
    ), "0.000"
) &amp; ", " &amp; TEXT(
    IF(C9="Continuous", J9 + _xlfn.NORM.S.INV(0.975)*K9,
        IF(C9="Binary", EXP(LN(J9) + _xlfn.NORM.S.INV(0.975)*K9), "NA")
    ), "0.000"
) &amp; ")"</f>
        <v>(0.408, 0.439)</v>
      </c>
      <c r="M9" s="526">
        <f>IF(C9="Continuous",J9/F9,IF(C9="Binary",LN(J9)/LN(F9),""))</f>
        <v>0.96024101986788779</v>
      </c>
      <c r="N9" s="527">
        <v>1.8450270851735701E-2</v>
      </c>
      <c r="O9" s="488" t="s">
        <v>1379</v>
      </c>
      <c r="P9" s="495">
        <f>IF(C9="Continuous",F9-J9,IF(C9="Binary",LN(F9)-LN(J9)))</f>
        <v>1.7526378914181018E-2</v>
      </c>
      <c r="Q9" s="496">
        <f t="shared" ref="Q9:Q16" si="1">SQRT(G9^2 + K9^2)</f>
        <v>8.1629943828639886E-3</v>
      </c>
      <c r="R9" s="561"/>
      <c r="S9" s="606" t="s">
        <v>776</v>
      </c>
      <c r="T9" s="605"/>
      <c r="U9" s="605"/>
      <c r="V9" s="607"/>
      <c r="W9" s="606" t="s">
        <v>776</v>
      </c>
      <c r="X9" s="605"/>
      <c r="Y9" s="605"/>
      <c r="Z9" s="607"/>
      <c r="AA9" s="605" t="s">
        <v>776</v>
      </c>
      <c r="AB9" s="605"/>
      <c r="AC9" s="605"/>
      <c r="AD9" s="584" t="s">
        <v>776</v>
      </c>
      <c r="AE9" s="586"/>
      <c r="AF9" s="484"/>
      <c r="AG9" s="510">
        <f t="shared" ref="AG9:AG16" si="2">IF(AND(E9="NA", S9="NA"), "NA", IF(E9="NA", S9, IF(S9="NA", E9, E9 + S9)))</f>
        <v>129452</v>
      </c>
      <c r="AH9" s="477">
        <f t="shared" ref="AH9:AH16" si="3">IF(AND(F9=0,T9=0),"",
IF(F9=0,T9,
IF(T9=0,F9,
IF(C9="Continuous",(F9/G9^2+T9/U9^2)/(1/G9^2+1/U9^2),IF(C9="Binary",EXP((LN(F9)/G9^2+LN(T9)/U9^2)/(1/G9^2+1/U9^2)),"NA")))))</f>
        <v>0.44081560583153501</v>
      </c>
      <c r="AI9" s="477">
        <f t="shared" ref="AI9:AI16" si="4">IF(AND(F9=0,T9=0),"",
 IF(F9=0,U9,
  IF(T9=0,G9,
   SQRT(1/(1/G9^2 + 1/U9^2)))))</f>
        <v>2.4973276718982598E-3</v>
      </c>
      <c r="AJ9" s="511" t="str">
        <f t="shared" ref="AJ9:AJ16" si="5">"(" &amp; TEXT(
    IF(C9="Continuous", AH9 - _xlfn.NORM.S.INV(0.975)*AI9,
        IF(C9="Binary", EXP(LN(AH9) - _xlfn.NORM.S.INV(0.975)*AI9), "NA")
    ), "0.000"
) &amp; ", " &amp; TEXT(
    IF(C9="Continuous", AH9 + _xlfn.NORM.S.INV(0.975)*AI9,
        IF(C9="Binary", EXP(LN(AH9) + _xlfn.NORM.S.INV(0.975)*AI9), "NA")
    ), "0.000"
) &amp; ")"</f>
        <v>(0.436, 0.446)</v>
      </c>
      <c r="AK9" s="510">
        <f t="shared" ref="AK9:AK16" si="6">IF(AND(I9="NA", W9="NA"), "NA", IF(I9="NA", W9, IF(W9="NA", I9, I9 + W9)))</f>
        <v>37632</v>
      </c>
      <c r="AL9" s="477">
        <f t="shared" ref="AL9:AL16" si="7">IF(AND(J9=0,X9=0),"",
IF(J9=0,X9,
IF(X9=0,J9,
IF(C9="Continuous",(J9/K9^2+X9/Y9^2)/(1/K9^2+1/Y9^2),IF(C9="Binary",EXP((LN(J9)/K9^2+LN(X9)/Y9^2)/(1/K9^2+1/Y9^2)),"NA")))))</f>
        <v>0.42328922691735399</v>
      </c>
      <c r="AM9" s="477">
        <f t="shared" ref="AM9:AM16" si="8">IF(AND(J9=0,X9=0),"",
 IF(J9=0,Y9,
  IF(X9=0,K9,
   SQRT(1/(1/K9^2 + 1/Y9^2)))))</f>
        <v>7.7716041969364503E-3</v>
      </c>
      <c r="AN9" s="511" t="str">
        <f t="shared" ref="AN9:AN16" si="9">"(" &amp; TEXT(
    IF(C9="Continuous", AL9 - _xlfn.NORM.S.INV(0.975)*AM9,
        IF(C9="Binary", EXP(LN(AL9) - _xlfn.NORM.S.INV(0.975)*AM9), "NA")
    ), "0.000"
) &amp; ", " &amp; TEXT(
    IF(C9="Continuous", AL9 + _xlfn.NORM.S.INV(0.975)*AM9,
        IF(C9="Binary", EXP(LN(AL9) + _xlfn.NORM.S.INV(0.975)*AM9), "NA")
    ), "0.000"
) &amp; ")"</f>
        <v>(0.408, 0.439)</v>
      </c>
      <c r="AO9" s="537">
        <f>IF(AND(M9="NA",AA9="NA"),"",
 IF(M9="NA",AA9,
  IF(AA9="NA",M9,
   (M9/N9^2 + AA9/AB9^2)/(1/N9^2 + 1/AB9^2))))</f>
        <v>0.96024101986788779</v>
      </c>
      <c r="AP9" s="527">
        <f>IF(AND(M9="NA",AA9="NA"),"",
 IF(M9="NA",AB9,
  IF(AA9="NA",N9,
   SQRT(1/(1/N9^2 + 1/AB9^2)))))</f>
        <v>1.8450270851735701E-2</v>
      </c>
      <c r="AQ9" s="537">
        <f t="shared" ref="AQ9:AQ16" si="10">IF(AND(P9="NA",AD9="NA"),"NA",
 IF(P9="NA",AD9,
  IF(AD9="NA",P9,
   (P9/Q9^2 + AD9/AE9^2)/(1/Q9^2 + 1/AE9^2))))</f>
        <v>1.7526378914181018E-2</v>
      </c>
      <c r="AR9" s="477">
        <f t="shared" ref="AR9:AR16" si="11">IF(AND(P9="NA",AD9="NA"),"",
 IF(P9="NA",AE9,
  IF(AD9="NA",Q9,
   SQRT(1/(1/Q9^2 + 1/AE9^2)))))</f>
        <v>8.1629943828639886E-3</v>
      </c>
      <c r="AS9" s="548" t="str">
        <f t="shared" si="0"/>
        <v>3.2E-02</v>
      </c>
      <c r="AT9" s="552">
        <v>0.14399999999999999</v>
      </c>
      <c r="AU9" s="475"/>
      <c r="AV9"/>
      <c r="AW9"/>
      <c r="AX9"/>
      <c r="AY9"/>
    </row>
    <row r="10" spans="1:51">
      <c r="A10" s="452"/>
      <c r="B10" s="456" t="s">
        <v>245</v>
      </c>
      <c r="C10" s="553" t="s">
        <v>1729</v>
      </c>
      <c r="E10" s="355">
        <v>140841</v>
      </c>
      <c r="F10" s="462">
        <v>0.45010571979578501</v>
      </c>
      <c r="G10" s="462">
        <v>2.3795323963141301E-3</v>
      </c>
      <c r="H10" s="435" t="str">
        <f>"(" &amp; TEXT(
    IF(C10="Continuous", F10 - _xlfn.NORM.S.INV(0.975)*G10,
        IF(C10="Binary", EXP(LN(F10) - _xlfn.NORM.S.INV(0.975)*G10), "NA")
    ), "0.000"
) &amp; ", " &amp; TEXT(
    IF(C10="Continuous", F10 + _xlfn.NORM.S.INV(0.975)*G10,
        IF(C10="Binary", EXP(LN(F10) + _xlfn.NORM.S.INV(0.975)*G10), "NA")
    ), "0.000"
) &amp; ")"</f>
        <v>(0.445, 0.455)</v>
      </c>
      <c r="I10" s="355">
        <v>37576</v>
      </c>
      <c r="J10" s="462">
        <v>0.44986369803013299</v>
      </c>
      <c r="K10" s="462">
        <v>7.4618677384540796E-3</v>
      </c>
      <c r="L10" s="435" t="str">
        <f t="shared" ref="L10:L16" si="12">"(" &amp; TEXT(
    IF(C10="Continuous", J10 - _xlfn.NORM.S.INV(0.975)*K10,
        IF(C10="Binary", EXP(LN(J10) - _xlfn.NORM.S.INV(0.975)*K10), "NA")
    ), "0.000"
) &amp; ", " &amp; TEXT(
    IF(C10="Continuous", J10 + _xlfn.NORM.S.INV(0.975)*K10,
        IF(C10="Binary", EXP(LN(J10) + _xlfn.NORM.S.INV(0.975)*K10), "NA")
    ), "0.000"
) &amp; ")"</f>
        <v>(0.435, 0.464)</v>
      </c>
      <c r="M10" s="526">
        <f>IF(C10="Continuous",J10/F10,IF(C10="Binary",LN(J10)/LN(F10),""))</f>
        <v>0.99946230017747428</v>
      </c>
      <c r="N10" s="528">
        <v>1.7399694588303701E-2</v>
      </c>
      <c r="O10" s="489" t="s">
        <v>1380</v>
      </c>
      <c r="P10" s="448">
        <f t="shared" ref="P10:P16" si="13">IF(C10="Continuous",F10-J10,IF(C10="Binary",LN(F10)-LN(J10)))</f>
        <v>2.4202176565202294E-4</v>
      </c>
      <c r="Q10" s="448">
        <f t="shared" si="1"/>
        <v>7.8320906896747738E-3</v>
      </c>
      <c r="R10" s="561"/>
      <c r="S10" s="600" t="s">
        <v>776</v>
      </c>
      <c r="T10" s="601"/>
      <c r="U10" s="601"/>
      <c r="V10" s="602"/>
      <c r="W10" s="600" t="s">
        <v>776</v>
      </c>
      <c r="X10" s="601"/>
      <c r="Y10" s="601"/>
      <c r="Z10" s="602"/>
      <c r="AA10" s="601" t="s">
        <v>776</v>
      </c>
      <c r="AB10" s="601"/>
      <c r="AC10" s="601"/>
      <c r="AD10" s="579" t="s">
        <v>776</v>
      </c>
      <c r="AE10" s="580"/>
      <c r="AF10" s="484"/>
      <c r="AG10" s="512">
        <f t="shared" si="2"/>
        <v>140841</v>
      </c>
      <c r="AH10" s="308">
        <f t="shared" si="3"/>
        <v>0.45010571979578501</v>
      </c>
      <c r="AI10" s="308">
        <f t="shared" si="4"/>
        <v>2.3795323963141301E-3</v>
      </c>
      <c r="AJ10" s="513" t="str">
        <f t="shared" si="5"/>
        <v>(0.445, 0.455)</v>
      </c>
      <c r="AK10" s="512">
        <f t="shared" si="6"/>
        <v>37576</v>
      </c>
      <c r="AL10" s="308">
        <f t="shared" si="7"/>
        <v>0.44986369803013299</v>
      </c>
      <c r="AM10" s="308">
        <f t="shared" si="8"/>
        <v>7.4618677384540796E-3</v>
      </c>
      <c r="AN10" s="513" t="str">
        <f t="shared" si="9"/>
        <v>(0.435, 0.464)</v>
      </c>
      <c r="AO10" s="540">
        <f t="shared" ref="AO10:AO16" si="14">IF(AND(M10="NA",AA10="NA"),"",
 IF(M10="NA",AA10,
  IF(AA10="NA",M10,
   (M10/N10^2 + AA10/AB10^2)/(1/N10^2 + 1/AB10^2))))</f>
        <v>0.99946230017747428</v>
      </c>
      <c r="AP10" s="528">
        <f t="shared" ref="AP10:AP16" si="15">IF(AND(M10="NA",AA10="NA"),"",
 IF(M10="NA",AB10,
  IF(AA10="NA",N10,
   SQRT(1/(1/N10^2 + 1/AB10^2)))))</f>
        <v>1.7399694588303701E-2</v>
      </c>
      <c r="AQ10" s="540">
        <f t="shared" si="10"/>
        <v>2.4202176565202294E-4</v>
      </c>
      <c r="AR10" s="308">
        <f t="shared" si="11"/>
        <v>7.8320906896747738E-3</v>
      </c>
      <c r="AS10" s="474" t="str">
        <f t="shared" si="0"/>
        <v>9.8E-01</v>
      </c>
      <c r="AT10" s="550">
        <v>1</v>
      </c>
      <c r="AU10" s="475"/>
      <c r="AV10"/>
      <c r="AW10"/>
      <c r="AX10"/>
      <c r="AY10"/>
    </row>
    <row r="11" spans="1:51">
      <c r="A11" s="452"/>
      <c r="B11" s="456" t="s">
        <v>251</v>
      </c>
      <c r="C11" s="553" t="s">
        <v>1729</v>
      </c>
      <c r="E11" s="355">
        <v>129430</v>
      </c>
      <c r="F11" s="462">
        <v>0.44343634909224799</v>
      </c>
      <c r="G11" s="462">
        <v>2.4906307600861201E-3</v>
      </c>
      <c r="H11" s="435" t="str">
        <f t="shared" ref="H11:H16" si="16">"(" &amp; TEXT(
    IF(C11="Continuous", F11 - _xlfn.NORM.S.INV(0.975)*G11,
        IF(C11="Binary", EXP(LN(F11) - _xlfn.NORM.S.INV(0.975)*G11), "NA")
    ), "0.000"
) &amp; ", " &amp; TEXT(
    IF(C11="Continuous", F11 + _xlfn.NORM.S.INV(0.975)*G11,
        IF(C11="Binary", EXP(LN(F11) + _xlfn.NORM.S.INV(0.975)*G11), "NA")
    ), "0.000"
) &amp; ")"</f>
        <v>(0.439, 0.448)</v>
      </c>
      <c r="I11" s="355">
        <v>34549</v>
      </c>
      <c r="J11" s="462">
        <v>0.45178186148105498</v>
      </c>
      <c r="K11" s="462">
        <v>7.7292772465806696E-3</v>
      </c>
      <c r="L11" s="435" t="str">
        <f t="shared" si="12"/>
        <v>(0.437, 0.467)</v>
      </c>
      <c r="M11" s="526">
        <f t="shared" ref="M11:M16" si="17">IF(C11="Continuous",J11/F11,IF(C11="Binary",LN(J11)/LN(F11),""))</f>
        <v>1.0188200908786367</v>
      </c>
      <c r="N11" s="528">
        <v>1.8345698251285399E-2</v>
      </c>
      <c r="O11" s="489" t="s">
        <v>1381</v>
      </c>
      <c r="P11" s="448">
        <f t="shared" si="13"/>
        <v>-8.345512388806986E-3</v>
      </c>
      <c r="Q11" s="448">
        <f t="shared" si="1"/>
        <v>8.120650733629468E-3</v>
      </c>
      <c r="R11" s="561"/>
      <c r="S11" s="355">
        <v>3184</v>
      </c>
      <c r="T11" s="462">
        <v>0.25217371046132803</v>
      </c>
      <c r="U11" s="462">
        <v>1.7149436116249198E-2</v>
      </c>
      <c r="V11" s="435" t="str">
        <f>"(" &amp; TEXT(
    IF(C11="Continuous", T11 - _xlfn.NORM.S.INV(0.975)*U11,
        IF(C11="Binary", EXP(LN(T11) - _xlfn.NORM.S.INV(0.975)*U11), "NA")
    ), "0.000"
) &amp; ", " &amp; TEXT(
    IF(C11="Continuous", T11 + _xlfn.NORM.S.INV(0.975)*U11,
        IF(C11="Binary", EXP(LN(T11) + _xlfn.NORM.S.INV(0.975)*U11), "NA")
    ), "0.000"
) &amp; ")"</f>
        <v>(0.219, 0.286)</v>
      </c>
      <c r="W11" s="355">
        <v>1897</v>
      </c>
      <c r="X11" s="462">
        <v>0.24992107806217301</v>
      </c>
      <c r="Y11" s="462">
        <v>3.7979245545150898E-2</v>
      </c>
      <c r="Z11" s="435" t="str">
        <f>"(" &amp; TEXT(
    IF(C11="Continuous", X11 - _xlfn.NORM.S.INV(0.975)*Y11,
        IF(C11="Binary", EXP(LN(X11) - _xlfn.NORM.S.INV(0.975)*Y11), "NA")
    ), "0.000"
) &amp; ", " &amp; TEXT(
    IF(C11="Continuous", X11 + _xlfn.NORM.S.INV(0.975)*Y11,
        IF(C11="Binary", EXP(LN(X11) + _xlfn.NORM.S.INV(0.975)*Y11), "NA")
    ), "0.000"
) &amp; ")"</f>
        <v>(0.175, 0.324)</v>
      </c>
      <c r="AA11" s="526">
        <f>IF(C11="Continuous",X11/T11,IF(C11="Binary",LN(X11)/LN(T11),""))</f>
        <v>0.99106714020651065</v>
      </c>
      <c r="AB11" s="462">
        <v>0.16500069490269501</v>
      </c>
      <c r="AC11" s="340" t="s">
        <v>1558</v>
      </c>
      <c r="AD11" s="500">
        <f t="shared" ref="AD11:AD16" si="18">IF(C11="Continuous",T11-X11,IF(C11="Binary",LN(T11)-LN(X11),"NA"))</f>
        <v>2.252632399155019E-3</v>
      </c>
      <c r="AE11" s="501">
        <f t="shared" ref="AE11:AE16" si="19">SQRT(U11^2 + Y11^2)</f>
        <v>4.1671648050973183E-2</v>
      </c>
      <c r="AF11" s="484"/>
      <c r="AG11" s="512">
        <f t="shared" si="2"/>
        <v>132614</v>
      </c>
      <c r="AH11" s="308">
        <f t="shared" si="3"/>
        <v>0.43948555633349701</v>
      </c>
      <c r="AI11" s="308">
        <f t="shared" si="4"/>
        <v>2.464772829217561E-3</v>
      </c>
      <c r="AJ11" s="513" t="str">
        <f t="shared" si="5"/>
        <v>(0.435, 0.444)</v>
      </c>
      <c r="AK11" s="512">
        <f t="shared" si="6"/>
        <v>36446</v>
      </c>
      <c r="AL11" s="308">
        <f t="shared" si="7"/>
        <v>0.44375377320907361</v>
      </c>
      <c r="AM11" s="308">
        <f t="shared" si="8"/>
        <v>7.5740196164476685E-3</v>
      </c>
      <c r="AN11" s="513" t="str">
        <f t="shared" si="9"/>
        <v>(0.429, 0.459)</v>
      </c>
      <c r="AO11" s="540">
        <f t="shared" si="14"/>
        <v>1.0184811919671712</v>
      </c>
      <c r="AP11" s="528">
        <f t="shared" si="15"/>
        <v>1.8233342011689961E-2</v>
      </c>
      <c r="AQ11" s="540">
        <f t="shared" si="10"/>
        <v>-7.9577700965189156E-3</v>
      </c>
      <c r="AR11" s="308">
        <f t="shared" si="11"/>
        <v>7.9707160683404263E-3</v>
      </c>
      <c r="AS11" s="474" t="str">
        <f t="shared" si="0"/>
        <v>3.2E-01</v>
      </c>
      <c r="AT11" s="550">
        <v>0.57599999999999996</v>
      </c>
      <c r="AU11" s="475"/>
      <c r="AV11"/>
      <c r="AW11"/>
      <c r="AX11"/>
      <c r="AY11"/>
    </row>
    <row r="12" spans="1:51">
      <c r="A12" s="452"/>
      <c r="B12" s="456" t="s">
        <v>258</v>
      </c>
      <c r="C12" s="553" t="s">
        <v>1729</v>
      </c>
      <c r="E12" s="355">
        <v>141090</v>
      </c>
      <c r="F12" s="462">
        <v>0.44307410645926198</v>
      </c>
      <c r="G12" s="462">
        <v>2.3876931641819E-3</v>
      </c>
      <c r="H12" s="435" t="str">
        <f t="shared" si="16"/>
        <v>(0.438, 0.448)</v>
      </c>
      <c r="I12" s="355">
        <v>37632</v>
      </c>
      <c r="J12" s="462">
        <v>0.44680479451470201</v>
      </c>
      <c r="K12" s="462">
        <v>7.5582529629815102E-3</v>
      </c>
      <c r="L12" s="435" t="str">
        <f t="shared" si="12"/>
        <v>(0.432, 0.462)</v>
      </c>
      <c r="M12" s="526">
        <f t="shared" si="17"/>
        <v>1.0084200092062545</v>
      </c>
      <c r="N12" s="528">
        <v>1.79033427875958E-2</v>
      </c>
      <c r="O12" s="489" t="s">
        <v>1382</v>
      </c>
      <c r="P12" s="448">
        <f t="shared" si="13"/>
        <v>-3.7306880554400235E-3</v>
      </c>
      <c r="Q12" s="448">
        <f t="shared" si="1"/>
        <v>7.9264283570029039E-3</v>
      </c>
      <c r="R12" s="561"/>
      <c r="S12" s="600" t="s">
        <v>776</v>
      </c>
      <c r="T12" s="601"/>
      <c r="U12" s="601"/>
      <c r="V12" s="602"/>
      <c r="W12" s="600" t="s">
        <v>776</v>
      </c>
      <c r="X12" s="601"/>
      <c r="Y12" s="601"/>
      <c r="Z12" s="602"/>
      <c r="AA12" s="601" t="s">
        <v>776</v>
      </c>
      <c r="AB12" s="601"/>
      <c r="AC12" s="601"/>
      <c r="AD12" s="579" t="s">
        <v>776</v>
      </c>
      <c r="AE12" s="580"/>
      <c r="AF12" s="484"/>
      <c r="AG12" s="512">
        <f t="shared" si="2"/>
        <v>141090</v>
      </c>
      <c r="AH12" s="308">
        <f t="shared" si="3"/>
        <v>0.44307410645926198</v>
      </c>
      <c r="AI12" s="308">
        <f t="shared" si="4"/>
        <v>2.3876931641819E-3</v>
      </c>
      <c r="AJ12" s="513" t="str">
        <f t="shared" si="5"/>
        <v>(0.438, 0.448)</v>
      </c>
      <c r="AK12" s="512">
        <f t="shared" si="6"/>
        <v>37632</v>
      </c>
      <c r="AL12" s="308">
        <f t="shared" si="7"/>
        <v>0.44680479451470201</v>
      </c>
      <c r="AM12" s="308">
        <f t="shared" si="8"/>
        <v>7.5582529629815102E-3</v>
      </c>
      <c r="AN12" s="513" t="str">
        <f t="shared" si="9"/>
        <v>(0.432, 0.462)</v>
      </c>
      <c r="AO12" s="540">
        <f t="shared" si="14"/>
        <v>1.0084200092062545</v>
      </c>
      <c r="AP12" s="528">
        <f t="shared" si="15"/>
        <v>1.79033427875958E-2</v>
      </c>
      <c r="AQ12" s="540">
        <f t="shared" si="10"/>
        <v>-3.7306880554400235E-3</v>
      </c>
      <c r="AR12" s="308">
        <f t="shared" si="11"/>
        <v>7.9264283570029039E-3</v>
      </c>
      <c r="AS12" s="474" t="str">
        <f t="shared" si="0"/>
        <v>6.4E-01</v>
      </c>
      <c r="AT12" s="550">
        <v>0.86926829999999999</v>
      </c>
      <c r="AU12" s="475"/>
      <c r="AV12"/>
      <c r="AW12"/>
      <c r="AX12"/>
      <c r="AY12"/>
    </row>
    <row r="13" spans="1:51">
      <c r="A13" s="452"/>
      <c r="B13" s="456" t="s">
        <v>264</v>
      </c>
      <c r="C13" s="553" t="s">
        <v>1729</v>
      </c>
      <c r="E13" s="355">
        <v>140964</v>
      </c>
      <c r="F13" s="462">
        <v>0.35824794646270203</v>
      </c>
      <c r="G13" s="462">
        <v>2.4941590241101502E-3</v>
      </c>
      <c r="H13" s="435" t="str">
        <f t="shared" si="16"/>
        <v>(0.353, 0.363)</v>
      </c>
      <c r="I13" s="355">
        <v>37604</v>
      </c>
      <c r="J13" s="462">
        <v>0.34450017074913702</v>
      </c>
      <c r="K13" s="462">
        <v>7.7201848156189298E-3</v>
      </c>
      <c r="L13" s="435" t="str">
        <f t="shared" si="12"/>
        <v>(0.329, 0.360)</v>
      </c>
      <c r="M13" s="526">
        <f t="shared" si="17"/>
        <v>0.96162496994244095</v>
      </c>
      <c r="N13" s="528">
        <v>2.25658499330905E-2</v>
      </c>
      <c r="O13" s="489" t="s">
        <v>1383</v>
      </c>
      <c r="P13" s="448">
        <f t="shared" si="13"/>
        <v>1.3747775713565002E-2</v>
      </c>
      <c r="Q13" s="448">
        <f t="shared" si="1"/>
        <v>8.1130809699437364E-3</v>
      </c>
      <c r="R13" s="561"/>
      <c r="S13" s="600" t="s">
        <v>776</v>
      </c>
      <c r="T13" s="601"/>
      <c r="U13" s="601"/>
      <c r="V13" s="602"/>
      <c r="W13" s="600" t="s">
        <v>776</v>
      </c>
      <c r="X13" s="601"/>
      <c r="Y13" s="601"/>
      <c r="Z13" s="602"/>
      <c r="AA13" s="601" t="s">
        <v>776</v>
      </c>
      <c r="AB13" s="601"/>
      <c r="AC13" s="601"/>
      <c r="AD13" s="579" t="s">
        <v>776</v>
      </c>
      <c r="AE13" s="580"/>
      <c r="AF13" s="484"/>
      <c r="AG13" s="512">
        <f t="shared" si="2"/>
        <v>140964</v>
      </c>
      <c r="AH13" s="308">
        <f t="shared" si="3"/>
        <v>0.35824794646270203</v>
      </c>
      <c r="AI13" s="308">
        <f t="shared" si="4"/>
        <v>2.4941590241101502E-3</v>
      </c>
      <c r="AJ13" s="513" t="str">
        <f t="shared" si="5"/>
        <v>(0.353, 0.363)</v>
      </c>
      <c r="AK13" s="512">
        <f t="shared" si="6"/>
        <v>37604</v>
      </c>
      <c r="AL13" s="308">
        <f t="shared" si="7"/>
        <v>0.34450017074913702</v>
      </c>
      <c r="AM13" s="308">
        <f t="shared" si="8"/>
        <v>7.7201848156189298E-3</v>
      </c>
      <c r="AN13" s="513" t="str">
        <f t="shared" si="9"/>
        <v>(0.329, 0.360)</v>
      </c>
      <c r="AO13" s="540">
        <f t="shared" si="14"/>
        <v>0.96162496994244095</v>
      </c>
      <c r="AP13" s="528">
        <f t="shared" si="15"/>
        <v>2.25658499330905E-2</v>
      </c>
      <c r="AQ13" s="540">
        <f t="shared" si="10"/>
        <v>1.3747775713565002E-2</v>
      </c>
      <c r="AR13" s="308">
        <f t="shared" si="11"/>
        <v>8.1130809699437364E-3</v>
      </c>
      <c r="AS13" s="474" t="str">
        <f t="shared" si="0"/>
        <v>9.0E-02</v>
      </c>
      <c r="AT13" s="550">
        <v>0.28588239999999998</v>
      </c>
      <c r="AU13" s="475"/>
      <c r="AV13"/>
      <c r="AW13"/>
      <c r="AX13"/>
      <c r="AY13"/>
    </row>
    <row r="14" spans="1:51">
      <c r="A14" s="452"/>
      <c r="B14" s="456" t="s">
        <v>269</v>
      </c>
      <c r="C14" s="553" t="s">
        <v>1729</v>
      </c>
      <c r="E14" s="355">
        <v>147585</v>
      </c>
      <c r="F14" s="462">
        <v>0.31223001652563398</v>
      </c>
      <c r="G14" s="462">
        <v>2.4806627841897498E-3</v>
      </c>
      <c r="H14" s="435" t="str">
        <f t="shared" si="16"/>
        <v>(0.307, 0.317)</v>
      </c>
      <c r="I14" s="355">
        <v>39354</v>
      </c>
      <c r="J14" s="462">
        <v>0.32302524494226498</v>
      </c>
      <c r="K14" s="462">
        <v>7.8849572240593194E-3</v>
      </c>
      <c r="L14" s="435" t="str">
        <f t="shared" si="12"/>
        <v>(0.308, 0.338)</v>
      </c>
      <c r="M14" s="526">
        <f t="shared" si="17"/>
        <v>1.0345746015605926</v>
      </c>
      <c r="N14" s="528">
        <v>2.6557702001478001E-2</v>
      </c>
      <c r="O14" s="489" t="s">
        <v>1384</v>
      </c>
      <c r="P14" s="448">
        <f t="shared" si="13"/>
        <v>-1.0795228416630998E-2</v>
      </c>
      <c r="Q14" s="448">
        <f t="shared" si="1"/>
        <v>8.2659686833491744E-3</v>
      </c>
      <c r="R14" s="561"/>
      <c r="S14" s="355">
        <v>4430</v>
      </c>
      <c r="T14" s="462">
        <v>0.208144987491171</v>
      </c>
      <c r="U14" s="462">
        <v>1.5329643682727399E-2</v>
      </c>
      <c r="V14" s="435" t="str">
        <f>"(" &amp; TEXT(
    IF(C14="Continuous", T14 - _xlfn.NORM.S.INV(0.975)*U14,
        IF(C14="Binary", EXP(LN(T14) - _xlfn.NORM.S.INV(0.975)*U14), "NA")
    ), "0.000"
) &amp; ", " &amp; TEXT(
    IF(C14="Continuous", T14 + _xlfn.NORM.S.INV(0.975)*U14,
        IF(C14="Binary", EXP(LN(T14) + _xlfn.NORM.S.INV(0.975)*U14), "NA")
    ), "0.000"
) &amp; ")"</f>
        <v>(0.178, 0.238)</v>
      </c>
      <c r="W14" s="354">
        <v>3885</v>
      </c>
      <c r="X14" s="462">
        <v>0.26093290094166899</v>
      </c>
      <c r="Y14" s="462">
        <v>2.70706144338855E-2</v>
      </c>
      <c r="Z14" s="435" t="str">
        <f>"(" &amp; TEXT(
    IF(C14="Continuous", X14 - _xlfn.NORM.S.INV(0.975)*Y14,
        IF(C14="Binary", EXP(LN(X14) - _xlfn.NORM.S.INV(0.975)*Y14), "NA")
    ), "0.000"
) &amp; ", " &amp; TEXT(
    IF(C14="Continuous", X14 + _xlfn.NORM.S.INV(0.975)*Y14,
        IF(C14="Binary", EXP(LN(X14) + _xlfn.NORM.S.INV(0.975)*Y14), "NA")
    ), "0.000"
) &amp; ")"</f>
        <v>(0.208, 0.314)</v>
      </c>
      <c r="AA14" s="526">
        <f>IF(C14="Continuous",X14/T14,IF(C14="Binary",LN(X14)/LN(T14),""))</f>
        <v>1.253611264372807</v>
      </c>
      <c r="AB14" s="462">
        <v>0.15949603715806901</v>
      </c>
      <c r="AC14" s="340" t="s">
        <v>1559</v>
      </c>
      <c r="AD14" s="500">
        <f t="shared" si="18"/>
        <v>-5.2787913450497992E-2</v>
      </c>
      <c r="AE14" s="501">
        <f t="shared" si="19"/>
        <v>3.1109743510152475E-2</v>
      </c>
      <c r="AF14" s="484"/>
      <c r="AG14" s="512">
        <f t="shared" si="2"/>
        <v>152015</v>
      </c>
      <c r="AH14" s="308">
        <f t="shared" si="3"/>
        <v>0.30957398351435661</v>
      </c>
      <c r="AI14" s="308">
        <f t="shared" si="4"/>
        <v>2.4488075792558567E-3</v>
      </c>
      <c r="AJ14" s="513" t="str">
        <f t="shared" si="5"/>
        <v>(0.305, 0.314)</v>
      </c>
      <c r="AK14" s="512">
        <f t="shared" si="6"/>
        <v>43239</v>
      </c>
      <c r="AL14" s="308">
        <f t="shared" si="7"/>
        <v>0.31816928963426799</v>
      </c>
      <c r="AM14" s="308">
        <f t="shared" si="8"/>
        <v>7.5703581515932416E-3</v>
      </c>
      <c r="AN14" s="513" t="str">
        <f t="shared" si="9"/>
        <v>(0.303, 0.333)</v>
      </c>
      <c r="AO14" s="540">
        <f t="shared" si="14"/>
        <v>1.0404836945688711</v>
      </c>
      <c r="AP14" s="528">
        <f t="shared" si="15"/>
        <v>2.6197020678271021E-2</v>
      </c>
      <c r="AQ14" s="540">
        <f t="shared" si="10"/>
        <v>-1.3564348047335641E-2</v>
      </c>
      <c r="AR14" s="308">
        <f t="shared" si="11"/>
        <v>7.988780110225014E-3</v>
      </c>
      <c r="AS14" s="474" t="str">
        <f t="shared" si="0"/>
        <v>9.0E-02</v>
      </c>
      <c r="AT14" s="550">
        <v>0.28588239999999998</v>
      </c>
      <c r="AU14" s="475"/>
      <c r="AV14"/>
      <c r="AW14"/>
      <c r="AX14"/>
      <c r="AY14"/>
    </row>
    <row r="15" spans="1:51">
      <c r="A15" s="452"/>
      <c r="B15" s="456" t="s">
        <v>279</v>
      </c>
      <c r="C15" s="553" t="s">
        <v>1729</v>
      </c>
      <c r="E15" s="355">
        <v>147585</v>
      </c>
      <c r="F15" s="462">
        <v>0.30992474480934101</v>
      </c>
      <c r="G15" s="462">
        <v>2.4800491118650301E-3</v>
      </c>
      <c r="H15" s="435" t="str">
        <f t="shared" si="16"/>
        <v>(0.305, 0.315)</v>
      </c>
      <c r="I15" s="355">
        <v>39354</v>
      </c>
      <c r="J15" s="462">
        <v>0.30961418487401499</v>
      </c>
      <c r="K15" s="462">
        <v>7.9362061042811804E-3</v>
      </c>
      <c r="L15" s="435" t="str">
        <f t="shared" si="12"/>
        <v>(0.294, 0.325)</v>
      </c>
      <c r="M15" s="526">
        <f t="shared" si="17"/>
        <v>0.99899795050079954</v>
      </c>
      <c r="N15" s="528">
        <v>2.6825691362134099E-2</v>
      </c>
      <c r="O15" s="489" t="s">
        <v>1385</v>
      </c>
      <c r="P15" s="448">
        <f t="shared" si="13"/>
        <v>3.1055993532602688E-4</v>
      </c>
      <c r="Q15" s="448">
        <f t="shared" si="1"/>
        <v>8.3146864599269402E-3</v>
      </c>
      <c r="R15" s="561"/>
      <c r="S15" s="600" t="s">
        <v>776</v>
      </c>
      <c r="T15" s="601"/>
      <c r="U15" s="601"/>
      <c r="V15" s="602"/>
      <c r="W15" s="601" t="s">
        <v>776</v>
      </c>
      <c r="X15" s="601"/>
      <c r="Y15" s="601"/>
      <c r="Z15" s="602"/>
      <c r="AA15" s="601" t="s">
        <v>776</v>
      </c>
      <c r="AB15" s="601"/>
      <c r="AC15" s="601"/>
      <c r="AD15" s="579" t="s">
        <v>776</v>
      </c>
      <c r="AE15" s="580"/>
      <c r="AF15" s="484"/>
      <c r="AG15" s="512">
        <f t="shared" si="2"/>
        <v>147585</v>
      </c>
      <c r="AH15" s="308">
        <f t="shared" si="3"/>
        <v>0.30992474480934101</v>
      </c>
      <c r="AI15" s="308">
        <f t="shared" si="4"/>
        <v>2.4800491118650301E-3</v>
      </c>
      <c r="AJ15" s="513" t="str">
        <f t="shared" si="5"/>
        <v>(0.305, 0.315)</v>
      </c>
      <c r="AK15" s="512">
        <f t="shared" si="6"/>
        <v>39354</v>
      </c>
      <c r="AL15" s="308">
        <f t="shared" si="7"/>
        <v>0.30961418487401499</v>
      </c>
      <c r="AM15" s="308">
        <f t="shared" si="8"/>
        <v>7.9362061042811804E-3</v>
      </c>
      <c r="AN15" s="513" t="str">
        <f t="shared" si="9"/>
        <v>(0.294, 0.325)</v>
      </c>
      <c r="AO15" s="540">
        <f t="shared" si="14"/>
        <v>0.99899795050079954</v>
      </c>
      <c r="AP15" s="528">
        <f t="shared" si="15"/>
        <v>2.6825691362134099E-2</v>
      </c>
      <c r="AQ15" s="540">
        <f t="shared" si="10"/>
        <v>3.1055993532602688E-4</v>
      </c>
      <c r="AR15" s="308">
        <f t="shared" si="11"/>
        <v>8.3146864599269402E-3</v>
      </c>
      <c r="AS15" s="474" t="str">
        <f t="shared" si="0"/>
        <v>9.7E-01</v>
      </c>
      <c r="AT15" s="550">
        <v>1</v>
      </c>
      <c r="AU15" s="475"/>
      <c r="AV15"/>
      <c r="AW15"/>
      <c r="AX15"/>
      <c r="AY15"/>
    </row>
    <row r="16" spans="1:51">
      <c r="A16" s="452"/>
      <c r="B16" s="456" t="s">
        <v>285</v>
      </c>
      <c r="C16" s="553" t="s">
        <v>1729</v>
      </c>
      <c r="E16" s="355">
        <v>147585</v>
      </c>
      <c r="F16" s="462">
        <v>0.32072413123851001</v>
      </c>
      <c r="G16" s="462">
        <v>2.4773109053934702E-3</v>
      </c>
      <c r="H16" s="435" t="str">
        <f t="shared" si="16"/>
        <v>(0.316, 0.326)</v>
      </c>
      <c r="I16" s="355">
        <v>39354</v>
      </c>
      <c r="J16" s="462">
        <v>0.32079607369617502</v>
      </c>
      <c r="K16" s="462">
        <v>7.8349180498472702E-3</v>
      </c>
      <c r="L16" s="435" t="str">
        <f t="shared" si="12"/>
        <v>(0.305, 0.336)</v>
      </c>
      <c r="M16" s="526">
        <f t="shared" si="17"/>
        <v>1.0002243125809935</v>
      </c>
      <c r="N16" s="528">
        <v>2.5621415237664001E-2</v>
      </c>
      <c r="O16" s="489" t="s">
        <v>1385</v>
      </c>
      <c r="P16" s="448">
        <f t="shared" si="13"/>
        <v>-7.1942457665008508E-5</v>
      </c>
      <c r="Q16" s="448">
        <f t="shared" si="1"/>
        <v>8.2172385975949336E-3</v>
      </c>
      <c r="R16" s="561"/>
      <c r="S16" s="355">
        <v>4430</v>
      </c>
      <c r="T16" s="462">
        <v>0.23905656123497501</v>
      </c>
      <c r="U16" s="462">
        <v>1.54742536642967E-2</v>
      </c>
      <c r="V16" s="435" t="str">
        <f>"(" &amp; TEXT(
    IF(C16="Continuous", T16 - _xlfn.NORM.S.INV(0.975)*U16,
        IF(C16="Binary", EXP(LN(T16) - _xlfn.NORM.S.INV(0.975)*U16), "NA")
    ), "0.000"
) &amp; ", " &amp; TEXT(
    IF(C16="Continuous", T16 + _xlfn.NORM.S.INV(0.975)*U16,
        IF(C16="Binary", EXP(LN(T16) + _xlfn.NORM.S.INV(0.975)*U16), "NA")
    ), "0.000"
) &amp; ")"</f>
        <v>(0.209, 0.269)</v>
      </c>
      <c r="W16" s="354">
        <v>3885</v>
      </c>
      <c r="X16" s="462">
        <v>0.311364236714121</v>
      </c>
      <c r="Y16" s="462">
        <v>2.7551898323979401E-2</v>
      </c>
      <c r="Z16" s="435" t="str">
        <f>"(" &amp; TEXT(
    IF(C16="Continuous", X16 - _xlfn.NORM.S.INV(0.975)*Y16,
        IF(C16="Binary", EXP(LN(X16) - _xlfn.NORM.S.INV(0.975)*Y16), "NA")
    ), "0.000"
) &amp; ", " &amp; TEXT(
    IF(C16="Continuous", X16 + _xlfn.NORM.S.INV(0.975)*Y16,
        IF(C16="Binary", EXP(LN(X16) + _xlfn.NORM.S.INV(0.975)*Y16), "NA")
    ), "0.000"
) &amp; ")"</f>
        <v>(0.257, 0.365)</v>
      </c>
      <c r="AA16" s="526">
        <f>IF(C16="Continuous",X16/T16,IF(C16="Binary",LN(X16)/LN(T16),""))</f>
        <v>1.3024709930804739</v>
      </c>
      <c r="AB16" s="462">
        <v>0.14279804172379101</v>
      </c>
      <c r="AC16" s="340" t="s">
        <v>1560</v>
      </c>
      <c r="AD16" s="500">
        <f t="shared" si="18"/>
        <v>-7.2307675479145989E-2</v>
      </c>
      <c r="AE16" s="501">
        <f t="shared" si="19"/>
        <v>3.1599994109523168E-2</v>
      </c>
      <c r="AF16" s="484"/>
      <c r="AG16" s="512">
        <f t="shared" si="2"/>
        <v>152015</v>
      </c>
      <c r="AH16" s="308">
        <f t="shared" si="3"/>
        <v>0.31868333005204569</v>
      </c>
      <c r="AI16" s="308">
        <f t="shared" si="4"/>
        <v>2.4461621622881642E-3</v>
      </c>
      <c r="AJ16" s="513" t="str">
        <f t="shared" si="5"/>
        <v>(0.314, 0.323)</v>
      </c>
      <c r="AK16" s="512">
        <f t="shared" si="6"/>
        <v>43239</v>
      </c>
      <c r="AL16" s="308">
        <f t="shared" si="7"/>
        <v>0.32009042214600114</v>
      </c>
      <c r="AM16" s="308">
        <f t="shared" si="8"/>
        <v>7.5361326474096763E-3</v>
      </c>
      <c r="AN16" s="513" t="str">
        <f t="shared" si="9"/>
        <v>(0.305, 0.335)</v>
      </c>
      <c r="AO16" s="540">
        <f t="shared" si="14"/>
        <v>1.0096510703635226</v>
      </c>
      <c r="AP16" s="528">
        <f t="shared" si="15"/>
        <v>2.5218697710388392E-2</v>
      </c>
      <c r="AQ16" s="540">
        <f t="shared" si="10"/>
        <v>-4.6471732719278206E-3</v>
      </c>
      <c r="AR16" s="308">
        <f t="shared" si="11"/>
        <v>7.9527524445306367E-3</v>
      </c>
      <c r="AS16" s="474" t="str">
        <f t="shared" si="0"/>
        <v>5.6E-01</v>
      </c>
      <c r="AT16" s="550">
        <v>0.84</v>
      </c>
      <c r="AU16" s="475"/>
      <c r="AV16"/>
      <c r="AW16"/>
      <c r="AX16"/>
      <c r="AY16"/>
    </row>
    <row r="17" spans="1:51">
      <c r="A17" s="452"/>
      <c r="B17" s="452"/>
      <c r="C17" s="557"/>
      <c r="E17" s="441"/>
      <c r="F17" s="520"/>
      <c r="G17" s="439"/>
      <c r="H17" s="440"/>
      <c r="I17" s="438"/>
      <c r="L17" s="435"/>
      <c r="N17" s="530"/>
      <c r="O17" s="490"/>
      <c r="P17" s="492"/>
      <c r="Q17" s="493"/>
      <c r="R17" s="562"/>
      <c r="S17" s="441"/>
      <c r="T17" s="520"/>
      <c r="U17" s="439"/>
      <c r="V17" s="440"/>
      <c r="Z17" s="437"/>
      <c r="AD17" s="502"/>
      <c r="AE17" s="503"/>
      <c r="AF17" s="484"/>
      <c r="AG17" s="514"/>
      <c r="AH17" s="478"/>
      <c r="AI17" s="478"/>
      <c r="AJ17" s="503"/>
      <c r="AK17" s="514"/>
      <c r="AL17" s="478"/>
      <c r="AM17" s="478"/>
      <c r="AN17" s="503"/>
      <c r="AO17" s="529"/>
      <c r="AP17" s="541"/>
      <c r="AQ17" s="543" t="str">
        <f>IF(AND(P17=0,AD17=0),"",
 IF(P17=0,AD17,
  IF(AD17=0,P17,
   (P17/Q17^2 + AD17/AE17^2)/(1/Q17^2 + 1/AE17^2))))</f>
        <v/>
      </c>
      <c r="AR17" s="478" t="str">
        <f>IF(AND(P17=0,AD17=0),"",
 IF(P17=0,AE17,
  IF(AD17=0,Q17,
   SQRT(1/(1/Q17^2 + 1/AE17^2)))))</f>
        <v/>
      </c>
      <c r="AS17" s="547" t="str">
        <f t="shared" si="0"/>
        <v/>
      </c>
      <c r="AT17" s="551"/>
      <c r="AU17" s="475"/>
    </row>
    <row r="18" spans="1:51">
      <c r="A18" s="454" t="s">
        <v>32</v>
      </c>
      <c r="B18" s="455"/>
      <c r="C18" s="164"/>
      <c r="E18" s="442"/>
      <c r="F18" s="521"/>
      <c r="G18" s="442"/>
      <c r="H18" s="442"/>
      <c r="I18" s="442"/>
      <c r="J18" s="521"/>
      <c r="K18" s="442"/>
      <c r="L18" s="442"/>
      <c r="M18" s="521"/>
      <c r="N18" s="521"/>
      <c r="O18" s="442"/>
      <c r="P18" s="448"/>
      <c r="Q18" s="448"/>
      <c r="R18" s="562"/>
      <c r="S18" s="442"/>
      <c r="T18" s="521"/>
      <c r="U18" s="442"/>
      <c r="V18" s="442"/>
      <c r="W18" s="442"/>
      <c r="X18" s="521"/>
      <c r="Y18" s="442"/>
      <c r="Z18" s="442"/>
      <c r="AA18" s="521"/>
      <c r="AB18" s="536"/>
      <c r="AC18" s="442"/>
      <c r="AD18" s="446"/>
      <c r="AE18" s="308"/>
      <c r="AF18" s="484"/>
      <c r="AG18" s="11"/>
      <c r="AH18" s="308"/>
      <c r="AI18" s="308"/>
      <c r="AJ18" s="308"/>
      <c r="AK18" s="11"/>
      <c r="AL18" s="308"/>
      <c r="AM18" s="308"/>
      <c r="AN18" s="308"/>
      <c r="AO18" s="521"/>
      <c r="AP18" s="536"/>
      <c r="AQ18" s="308" t="str">
        <f>IF(AND(P18=0,AD18=0),"",
 IF(P18=0,AD18,
  IF(AD18=0,P18,
   (P18/Q18^2 + AD18/AE18^2)/(1/Q18^2 + 1/AE18^2))))</f>
        <v/>
      </c>
      <c r="AR18" s="308" t="str">
        <f>IF(AND(P18=0,AD18=0),"",
 IF(P18=0,AE18,
  IF(AD18=0,Q18,
   SQRT(1/(1/Q18^2 + 1/AE18^2)))))</f>
        <v/>
      </c>
      <c r="AS18" s="474" t="str">
        <f t="shared" si="0"/>
        <v/>
      </c>
    </row>
    <row r="19" spans="1:51">
      <c r="A19" s="452"/>
      <c r="B19" s="456" t="s">
        <v>33</v>
      </c>
      <c r="C19" s="558" t="s">
        <v>1730</v>
      </c>
      <c r="E19" s="368">
        <v>148638</v>
      </c>
      <c r="F19" s="464">
        <v>1.3758190707336599</v>
      </c>
      <c r="G19" s="464">
        <v>2.2795536490491701E-2</v>
      </c>
      <c r="H19" s="435" t="str">
        <f>"(" &amp; TEXT(
    IF(C19="Continuous", F19 - _xlfn.NORM.S.INV(0.975)*G19,
        IF(C19="Binary", EXP(LN(F19) - _xlfn.NORM.S.INV(0.975)*G19), "NA")
    ), "0.000"
) &amp; ", " &amp; TEXT(
    IF(C19="Continuous", F19 + _xlfn.NORM.S.INV(0.975)*G19,
        IF(C19="Binary", EXP(LN(F19) + _xlfn.NORM.S.INV(0.975)*G19), "NA")
    ), "0.000"
) &amp; ")"</f>
        <v>(1.316, 1.439)</v>
      </c>
      <c r="I19" s="355">
        <v>39586</v>
      </c>
      <c r="J19" s="462">
        <v>1.3310395019691901</v>
      </c>
      <c r="K19" s="462">
        <v>8.0787097372096994E-2</v>
      </c>
      <c r="L19" s="435" t="str">
        <f>"(" &amp; TEXT(
    IF(C19="Continuous", J19 - _xlfn.NORM.S.INV(0.975)*K19,
        IF(C19="Binary", EXP(LN(J19) - _xlfn.NORM.S.INV(0.975)*K19), "NA")
    ), "0.000"
) &amp; ", " &amp; TEXT(
    IF(C19="Continuous", J19 + _xlfn.NORM.S.INV(0.975)*K19,
        IF(C19="Binary", EXP(LN(J19) + _xlfn.NORM.S.INV(0.975)*K19), "NA")
    ), "0.000"
) &amp; ")"</f>
        <v>(1.136, 1.559)</v>
      </c>
      <c r="M19" s="526">
        <f>IF(C19="Continuous",J19/F19,IF(C19="Binary",LN(J19)/LN(F19),""))</f>
        <v>0.89628866057347301</v>
      </c>
      <c r="N19" s="464">
        <v>0.26118427603311101</v>
      </c>
      <c r="O19" s="436" t="s">
        <v>1386</v>
      </c>
      <c r="P19" s="495">
        <f>IF(C19="Continuous",F19-J19,IF(C19="Binary",LN(F19)-LN(J19)))</f>
        <v>3.3089024186582328E-2</v>
      </c>
      <c r="Q19" s="496">
        <f>SQRT(G19^2 + K19^2)</f>
        <v>8.3941596277995689E-2</v>
      </c>
      <c r="R19" s="561"/>
      <c r="S19" s="368">
        <v>888</v>
      </c>
      <c r="T19" s="464">
        <v>1.1938875477351201</v>
      </c>
      <c r="U19" s="464">
        <v>7.74750119528584E-2</v>
      </c>
      <c r="V19" s="435" t="str">
        <f>"(" &amp; TEXT(
    IF(C19="Continuous", T19 - _xlfn.NORM.S.INV(0.975)*U19,
        IF(C19="Binary", EXP(LN(T19) - _xlfn.NORM.S.INV(0.975)*U19), "NA")
    ), "0.000"
) &amp; ", " &amp; TEXT(
    IF(C19="Continuous", T19 + _xlfn.NORM.S.INV(0.975)*U19,
        IF(C19="Binary", EXP(LN(T19) + _xlfn.NORM.S.INV(0.975)*U19), "NA")
    ), "0.000"
) &amp; ")"</f>
        <v>(1.026, 1.390)</v>
      </c>
      <c r="W19" s="368">
        <v>799</v>
      </c>
      <c r="X19" s="464">
        <v>1.3492449368591899</v>
      </c>
      <c r="Y19" s="464">
        <v>0.15076622209511301</v>
      </c>
      <c r="Z19" s="436" t="str">
        <f>"(" &amp; TEXT(
    IF(C19="Continuous", X19 - _xlfn.NORM.S.INV(0.975)*Y19,
        IF(C19="Binary", EXP(LN(X19) - _xlfn.NORM.S.INV(0.975)*Y19), "NA")
    ), "0.000"
) &amp; ", " &amp; TEXT(
    IF(C19="Continuous", X19 + _xlfn.NORM.S.INV(0.975)*Y19,
        IF(C19="Binary", EXP(LN(X19) + _xlfn.NORM.S.INV(0.975)*Y19), "NA")
    ), "0.000"
) &amp; ")"</f>
        <v>(1.004, 1.813)</v>
      </c>
      <c r="AA19" s="526">
        <f>IF(C19="Continuous",X19/T19,IF(C19="Binary",LN(X19)/LN(T19),""))</f>
        <v>1.6902938142906787</v>
      </c>
      <c r="AB19" s="462">
        <v>1.12687684361369</v>
      </c>
      <c r="AC19" s="340" t="s">
        <v>1561</v>
      </c>
      <c r="AD19" s="504">
        <f t="shared" ref="AD19:AD22" si="20">IF(C19="Continuous",T19-X19,IF(C19="Binary",LN(T19)-LN(X19),"NA"))</f>
        <v>-0.12233030054142038</v>
      </c>
      <c r="AE19" s="505">
        <f>SQRT(U19^2 + Y19^2)</f>
        <v>0.1695076139939693</v>
      </c>
      <c r="AF19" s="484"/>
      <c r="AG19" s="510">
        <f t="shared" ref="AG19:AG24" si="21">IF(AND(E19="NA", S19="NA"), "NA", IF(E19="NA", S19, IF(S19="NA", E19, E19 + S19)))</f>
        <v>149526</v>
      </c>
      <c r="AH19" s="477">
        <f>IF(AND(F19=0,T19=0),"",
IF(F19=0,T19,
IF(T19=0,F19,
IF(C19="Continuous",(F19/G19^2+T19/U19^2)/(1/G19^2+1/U19^2),IF(C19="Binary",EXP((LN(F19)/G19^2+LN(T19)/U19^2)/(1/G19^2+1/U19^2)),"NA")))))</f>
        <v>1.360359078286635</v>
      </c>
      <c r="AI19" s="477">
        <f>IF(AND(F19=0,T19=0),"",
 IF(F19=0,U19,
  IF(T19=0,G19,
   SQRT(1/(1/G19^2 + 1/U19^2)))))</f>
        <v>2.1868581199744743E-2</v>
      </c>
      <c r="AJ19" s="511" t="str">
        <f>"(" &amp; TEXT(
    IF(C19="Continuous", AH19 - _xlfn.NORM.S.INV(0.975)*AI19,
        IF(C19="Binary", EXP(LN(AH19) - _xlfn.NORM.S.INV(0.975)*AI19), "NA")
    ), "0.000"
) &amp; ", " &amp; TEXT(
    IF(C19="Continuous", AH19 + _xlfn.NORM.S.INV(0.975)*AI19,
        IF(C19="Binary", EXP(LN(AH19) + _xlfn.NORM.S.INV(0.975)*AI19), "NA")
    ), "0.000"
) &amp; ")"</f>
        <v>(1.303, 1.420)</v>
      </c>
      <c r="AK19" s="510">
        <f t="shared" ref="AK19:AK24" si="22">IF(AND(I19="NA", W19="NA"), "NA", IF(I19="NA", W19, IF(W19="NA", I19, I19 + W19)))</f>
        <v>40385</v>
      </c>
      <c r="AL19" s="477">
        <f>IF(AND(J19=0,X19=0),"",
IF(J19=0,X19,
IF(X19=0,J19,
IF(C19="Continuous",(J19/K19^2+X19/Y19^2)/(1/K19^2+1/Y19^2),IF(C19="Binary",EXP((LN(J19)/K19^2+LN(X19)/Y19^2)/(1/K19^2+1/Y19^2)),"NA")))))</f>
        <v>1.335079304194138</v>
      </c>
      <c r="AM19" s="477">
        <f>IF(AND(J19=0,X19=0),"",
 IF(J19=0,Y19,
  IF(X19=0,K19,
   SQRT(1/(1/K19^2 + 1/Y19^2)))))</f>
        <v>7.1208378344928214E-2</v>
      </c>
      <c r="AN19" s="511" t="str">
        <f>"(" &amp; TEXT(
    IF(C19="Continuous", AL19 - _xlfn.NORM.S.INV(0.975)*AM19,
        IF(C19="Binary", EXP(LN(AL19) - _xlfn.NORM.S.INV(0.975)*AM19), "NA")
    ), "0.000"
) &amp; ", " &amp; TEXT(
    IF(C19="Continuous", AL19 + _xlfn.NORM.S.INV(0.975)*AM19,
        IF(C19="Binary", EXP(LN(AL19) + _xlfn.NORM.S.INV(0.975)*AM19), "NA")
    ), "0.000"
) &amp; ")"</f>
        <v>(1.161, 1.535)</v>
      </c>
      <c r="AO19" s="537">
        <f>IF(AND(M19="NA",AA19="NA"),"",
 IF(M19="NA",AA19,
  IF(AA19="NA",M19,
   (M19/N19^2 + AA19/AB19^2)/(1/N19^2 + 1/AB19^2))))</f>
        <v>0.93676851875290834</v>
      </c>
      <c r="AP19" s="527">
        <f>IF(AND(M19="NA",AA19="NA"),"",
 IF(M19="NA",AB19,
  IF(AA19="NA",N19,
   SQRT(1/(1/N19^2 + 1/AB19^2)))))</f>
        <v>0.25443935446365207</v>
      </c>
      <c r="AQ19" s="537">
        <f>IF(AND(P19="NA",AD19="NA"),"NA",
 IF(P19="NA",AD19,
  IF(AD19="NA",P19,
   (P19/Q19^2 + AD19/AE19^2)/(1/Q19^2 + 1/AE19^2))))</f>
        <v>2.481303437651058E-3</v>
      </c>
      <c r="AR19" s="477">
        <f>IF(AND(P19="NA",AD19="NA"),"",
 IF(P19="NA",AE19,
  IF(AD19="NA",Q19,
   SQRT(1/(1/Q19^2 + 1/AE19^2)))))</f>
        <v>7.5223268019461831E-2</v>
      </c>
      <c r="AS19" s="548" t="str">
        <f t="shared" si="0"/>
        <v>9.7E-01</v>
      </c>
      <c r="AT19" s="552">
        <v>1</v>
      </c>
      <c r="AU19" s="475"/>
      <c r="AV19"/>
      <c r="AW19"/>
      <c r="AX19"/>
      <c r="AY19"/>
    </row>
    <row r="20" spans="1:51">
      <c r="A20" s="452"/>
      <c r="B20" s="456" t="s">
        <v>46</v>
      </c>
      <c r="C20" s="553" t="s">
        <v>776</v>
      </c>
      <c r="E20" s="600" t="s">
        <v>776</v>
      </c>
      <c r="F20" s="601"/>
      <c r="G20" s="601"/>
      <c r="H20" s="602"/>
      <c r="I20" s="600" t="s">
        <v>776</v>
      </c>
      <c r="J20" s="601"/>
      <c r="K20" s="601"/>
      <c r="L20" s="602"/>
      <c r="M20" s="600" t="s">
        <v>776</v>
      </c>
      <c r="N20" s="601"/>
      <c r="O20" s="602"/>
      <c r="P20" s="579" t="s">
        <v>776</v>
      </c>
      <c r="Q20" s="580"/>
      <c r="R20" s="561"/>
      <c r="S20" s="600" t="s">
        <v>776</v>
      </c>
      <c r="T20" s="601"/>
      <c r="U20" s="601"/>
      <c r="V20" s="602"/>
      <c r="W20" s="600" t="s">
        <v>776</v>
      </c>
      <c r="X20" s="601"/>
      <c r="Y20" s="601"/>
      <c r="Z20" s="602"/>
      <c r="AA20" s="601" t="s">
        <v>776</v>
      </c>
      <c r="AB20" s="601"/>
      <c r="AC20" s="601"/>
      <c r="AD20" s="579" t="s">
        <v>776</v>
      </c>
      <c r="AE20" s="580"/>
      <c r="AF20" s="484"/>
      <c r="AG20" s="590" t="str">
        <f t="shared" si="21"/>
        <v>NA</v>
      </c>
      <c r="AH20" s="591"/>
      <c r="AI20" s="591"/>
      <c r="AJ20" s="592"/>
      <c r="AK20" s="590" t="str">
        <f t="shared" si="22"/>
        <v>NA</v>
      </c>
      <c r="AL20" s="591"/>
      <c r="AM20" s="591"/>
      <c r="AN20" s="592"/>
      <c r="AO20" s="579" t="s">
        <v>776</v>
      </c>
      <c r="AP20" s="580"/>
      <c r="AQ20" s="579" t="s">
        <v>776</v>
      </c>
      <c r="AR20" s="587"/>
      <c r="AS20" s="587"/>
      <c r="AT20" s="580"/>
    </row>
    <row r="21" spans="1:51">
      <c r="A21" s="452"/>
      <c r="B21" s="456" t="s">
        <v>50</v>
      </c>
      <c r="C21" s="553" t="s">
        <v>1729</v>
      </c>
      <c r="E21" s="355">
        <v>74231</v>
      </c>
      <c r="F21" s="462">
        <v>0.279222150399906</v>
      </c>
      <c r="G21" s="462">
        <v>3.50949205844605E-3</v>
      </c>
      <c r="H21" s="435" t="str">
        <f t="shared" ref="H21:H22" si="23">"(" &amp; TEXT(
    IF(C21="Continuous", F21 - _xlfn.NORM.S.INV(0.975)*G21,
        IF(C21="Binary", EXP(LN(F21) - _xlfn.NORM.S.INV(0.975)*G21), "NA")
    ), "0.000"
) &amp; ", " &amp; TEXT(
    IF(C21="Continuous", F21 + _xlfn.NORM.S.INV(0.975)*G21,
        IF(C21="Binary", EXP(LN(F21) + _xlfn.NORM.S.INV(0.975)*G21), "NA")
    ), "0.000"
) &amp; ")"</f>
        <v>(0.272, 0.286)</v>
      </c>
      <c r="I21" s="355">
        <v>20603</v>
      </c>
      <c r="J21" s="462">
        <v>0.235268582203016</v>
      </c>
      <c r="K21" s="462">
        <v>1.1109641694050199E-2</v>
      </c>
      <c r="L21" s="435" t="str">
        <f t="shared" ref="L21:L22" si="24">"(" &amp; TEXT(
    IF(C21="Continuous", J21 - _xlfn.NORM.S.INV(0.975)*K21,
        IF(C21="Binary", EXP(LN(J21) - _xlfn.NORM.S.INV(0.975)*K21), "NA")
    ), "0.000"
) &amp; ", " &amp; TEXT(
    IF(C21="Continuous", J21 + _xlfn.NORM.S.INV(0.975)*K21,
        IF(C21="Binary", EXP(LN(J21) + _xlfn.NORM.S.INV(0.975)*K21), "NA")
    ), "0.000"
) &amp; ")"</f>
        <v>(0.213, 0.257)</v>
      </c>
      <c r="M21" s="526">
        <f t="shared" ref="M21:M22" si="25">IF(C21="Continuous",J21/F21,IF(C21="Binary",LN(J21)/LN(F21),""))</f>
        <v>0.84258566831485582</v>
      </c>
      <c r="N21" s="462">
        <v>4.1173115903286102E-2</v>
      </c>
      <c r="O21" s="435" t="s">
        <v>1387</v>
      </c>
      <c r="P21" s="491">
        <f t="shared" ref="P21:P22" si="26">IF(C21="Continuous",F21-J21,IF(C21="Binary",LN(F21)-LN(J21)))</f>
        <v>4.3953568196890003E-2</v>
      </c>
      <c r="Q21" s="494">
        <f>SQRT(G21^2 + K21^2)</f>
        <v>1.1650779934342355E-2</v>
      </c>
      <c r="R21" s="561"/>
      <c r="S21" s="355">
        <v>4323</v>
      </c>
      <c r="T21" s="462">
        <v>0.27935595965216098</v>
      </c>
      <c r="U21" s="462">
        <v>1.46154674520167E-2</v>
      </c>
      <c r="V21" s="435" t="str">
        <f>"(" &amp; TEXT(
    IF(C21="Continuous", T21 - _xlfn.NORM.S.INV(0.975)*U21,
        IF(C21="Binary", EXP(LN(T21) - _xlfn.NORM.S.INV(0.975)*U21), "NA")
    ), "0.000"
) &amp; ", " &amp; TEXT(
    IF(C21="Continuous", T21 + _xlfn.NORM.S.INV(0.975)*U21,
        IF(C21="Binary", EXP(LN(T21) + _xlfn.NORM.S.INV(0.975)*U21), "NA")
    ), "0.000"
) &amp; ")"</f>
        <v>(0.251, 0.308)</v>
      </c>
      <c r="W21" s="355">
        <v>3660</v>
      </c>
      <c r="X21" s="462">
        <v>0.191356167727672</v>
      </c>
      <c r="Y21" s="462">
        <v>2.7041364389584401E-2</v>
      </c>
      <c r="Z21" s="435" t="str">
        <f>"(" &amp; TEXT(
    IF(C21="Continuous", X21 - _xlfn.NORM.S.INV(0.975)*Y21,
        IF(C21="Binary", EXP(LN(X21) - _xlfn.NORM.S.INV(0.975)*Y21), "NA")
    ), "0.000"
) &amp; ", " &amp; TEXT(
    IF(C21="Continuous", X21 + _xlfn.NORM.S.INV(0.975)*Y21,
        IF(C21="Binary", EXP(LN(X21) + _xlfn.NORM.S.INV(0.975)*Y21), "NA")
    ), "0.000"
) &amp; ")"</f>
        <v>(0.138, 0.244)</v>
      </c>
      <c r="AA21" s="526">
        <f>IF(C21="Continuous",X21/T21,IF(C21="Binary",LN(X21)/LN(T21),""))</f>
        <v>0.68499046150989018</v>
      </c>
      <c r="AB21" s="462">
        <v>0.10322002268562901</v>
      </c>
      <c r="AC21" s="340" t="s">
        <v>1562</v>
      </c>
      <c r="AD21" s="500">
        <f t="shared" si="20"/>
        <v>8.7999791924488979E-2</v>
      </c>
      <c r="AE21" s="501">
        <f>SQRT(U21^2 + Y21^2)</f>
        <v>3.0738368155958488E-2</v>
      </c>
      <c r="AF21" s="484"/>
      <c r="AG21" s="512">
        <f t="shared" si="21"/>
        <v>78554</v>
      </c>
      <c r="AH21" s="308">
        <f>IF(AND(F21=0,T21=0),"",
IF(F21=0,T21,
IF(T21=0,F21,
IF(C21="Continuous",(F21/G21^2+T21/U21^2)/(1/G21^2+1/U21^2),IF(C21="Binary",EXP((LN(F21)/G21^2+LN(T21)/U21^2)/(1/G21^2+1/U21^2)),"NA")))))</f>
        <v>0.27922944503883851</v>
      </c>
      <c r="AI21" s="308">
        <f>IF(AND(F21=0,T21=0),"",
 IF(F21=0,U21,
  IF(T21=0,G21,
   SQRT(1/(1/G21^2 + 1/U21^2)))))</f>
        <v>3.4124911859382168E-3</v>
      </c>
      <c r="AJ21" s="513" t="str">
        <f>"(" &amp; TEXT(
    IF(C21="Continuous", AH21 - _xlfn.NORM.S.INV(0.975)*AI21,
        IF(C21="Binary", EXP(LN(AH21) - _xlfn.NORM.S.INV(0.975)*AI21), "NA")
    ), "0.000"
) &amp; ", " &amp; TEXT(
    IF(C21="Continuous", AH21 + _xlfn.NORM.S.INV(0.975)*AI21,
        IF(C21="Binary", EXP(LN(AH21) + _xlfn.NORM.S.INV(0.975)*AI21), "NA")
    ), "0.000"
) &amp; ")"</f>
        <v>(0.273, 0.286)</v>
      </c>
      <c r="AK21" s="512">
        <f t="shared" si="22"/>
        <v>24263</v>
      </c>
      <c r="AL21" s="308">
        <f>IF(AND(J21=0,X21=0),"",
IF(J21=0,X21,
IF(X21=0,J21,
IF(C21="Continuous",(J21/K21^2+X21/Y21^2)/(1/K21^2+1/Y21^2),IF(C21="Binary",EXP((LN(J21)/K21^2+LN(X21)/Y21^2)/(1/K21^2+1/Y21^2)),"NA")))))</f>
        <v>0.22892704880832324</v>
      </c>
      <c r="AM21" s="308">
        <f>IF(AND(J21=0,X21=0),"",
 IF(J21=0,Y21,
  IF(X21=0,K21,
   SQRT(1/(1/K21^2 + 1/Y21^2)))))</f>
        <v>1.0276189014835312E-2</v>
      </c>
      <c r="AN21" s="513" t="str">
        <f>"(" &amp; TEXT(
    IF(C21="Continuous", AL21 - _xlfn.NORM.S.INV(0.975)*AM21,
        IF(C21="Binary", EXP(LN(AL21) - _xlfn.NORM.S.INV(0.975)*AM21), "NA")
    ), "0.000"
) &amp; ", " &amp; TEXT(
    IF(C21="Continuous", AL21 + _xlfn.NORM.S.INV(0.975)*AM21,
        IF(C21="Binary", EXP(LN(AL21) + _xlfn.NORM.S.INV(0.975)*AM21), "NA")
    ), "0.000"
) &amp; ")"</f>
        <v>(0.209, 0.249)</v>
      </c>
      <c r="AO21" s="540">
        <f t="shared" ref="AO21:AO22" si="27">IF(AND(M21="NA",AA21="NA"),"",
 IF(M21="NA",AA21,
  IF(AA21="NA",M21,
   (M21/N21^2 + AA21/AB21^2)/(1/N21^2 + 1/AB21^2))))</f>
        <v>0.82095262430881433</v>
      </c>
      <c r="AP21" s="528">
        <f t="shared" ref="AP21:AP22" si="28">IF(AND(M21="NA",AA21="NA"),"",
 IF(M21="NA",AB21,
  IF(AA21="NA",N21,
   SQRT(1/(1/N21^2 + 1/AB21^2)))))</f>
        <v>3.8242939357063056E-2</v>
      </c>
      <c r="AQ21" s="540">
        <f>IF(AND(P21="NA",AD21="NA"),"NA",
 IF(P21="NA",AD21,
  IF(AD21="NA",P21,
   (P21/Q21^2 + AD21/AE21^2)/(1/Q21^2 + 1/AE21^2))))</f>
        <v>4.948654129317237E-2</v>
      </c>
      <c r="AR21" s="308">
        <f>IF(AND(P21="NA",AD21="NA"),"",
 IF(P21="NA",AE21,
  IF(AD21="NA",Q21,
   SQRT(1/(1/Q21^2 + 1/AE21^2)))))</f>
        <v>1.0894460959386188E-2</v>
      </c>
      <c r="AS21" s="474" t="str">
        <f t="shared" si="0"/>
        <v>5.6E-06</v>
      </c>
      <c r="AT21" s="550">
        <v>5.0399999999999999E-5</v>
      </c>
      <c r="AU21" s="475"/>
      <c r="AV21"/>
      <c r="AW21"/>
      <c r="AX21"/>
      <c r="AY21"/>
    </row>
    <row r="22" spans="1:51">
      <c r="A22" s="452"/>
      <c r="B22" s="456" t="s">
        <v>65</v>
      </c>
      <c r="C22" s="553" t="s">
        <v>1729</v>
      </c>
      <c r="E22" s="355">
        <v>146983</v>
      </c>
      <c r="F22" s="462">
        <v>0.35243693839069801</v>
      </c>
      <c r="G22" s="462">
        <v>2.48605562816299E-3</v>
      </c>
      <c r="H22" s="435" t="str">
        <f t="shared" si="23"/>
        <v>(0.348, 0.357)</v>
      </c>
      <c r="I22" s="355">
        <v>39224</v>
      </c>
      <c r="J22" s="462">
        <v>0.17626178377896501</v>
      </c>
      <c r="K22" s="462">
        <v>7.8205927345054403E-3</v>
      </c>
      <c r="L22" s="435" t="str">
        <f t="shared" si="24"/>
        <v>(0.161, 0.192)</v>
      </c>
      <c r="M22" s="526">
        <f t="shared" si="25"/>
        <v>0.50012290023802208</v>
      </c>
      <c r="N22" s="462">
        <v>2.2468728247765302E-2</v>
      </c>
      <c r="O22" s="435" t="s">
        <v>1388</v>
      </c>
      <c r="P22" s="491">
        <f t="shared" si="26"/>
        <v>0.176175154611733</v>
      </c>
      <c r="Q22" s="494">
        <f>SQRT(G22^2 + K22^2)</f>
        <v>8.206225886808147E-3</v>
      </c>
      <c r="R22" s="561"/>
      <c r="S22" s="355">
        <v>4405</v>
      </c>
      <c r="T22" s="462">
        <v>0.288735203829595</v>
      </c>
      <c r="U22" s="462">
        <v>1.43950362035772E-2</v>
      </c>
      <c r="V22" s="435" t="str">
        <f>"(" &amp; TEXT(
    IF(C22="Continuous", T22 - _xlfn.NORM.S.INV(0.975)*U22,
        IF(C22="Binary", EXP(LN(T22) - _xlfn.NORM.S.INV(0.975)*U22), "NA")
    ), "0.000"
) &amp; ", " &amp; TEXT(
    IF(C22="Continuous", T22 + _xlfn.NORM.S.INV(0.975)*U22,
        IF(C22="Binary", EXP(LN(T22) + _xlfn.NORM.S.INV(0.975)*U22), "NA")
    ), "0.000"
) &amp; ")"</f>
        <v>(0.261, 0.317)</v>
      </c>
      <c r="W22" s="355">
        <v>3838</v>
      </c>
      <c r="X22" s="462">
        <v>0.229636260177875</v>
      </c>
      <c r="Y22" s="462">
        <v>2.7638728126126302E-2</v>
      </c>
      <c r="Z22" s="435" t="str">
        <f>"(" &amp; TEXT(
    IF(C22="Continuous", X22 - _xlfn.NORM.S.INV(0.975)*Y22,
        IF(C22="Binary", EXP(LN(X22) - _xlfn.NORM.S.INV(0.975)*Y22), "NA")
    ), "0.000"
) &amp; ", " &amp; TEXT(
    IF(C22="Continuous", X22 + _xlfn.NORM.S.INV(0.975)*Y22,
        IF(C22="Binary", EXP(LN(X22) + _xlfn.NORM.S.INV(0.975)*Y22), "NA")
    ), "0.000"
) &amp; ")"</f>
        <v>(0.175, 0.284)</v>
      </c>
      <c r="AA22" s="526">
        <f>IF(C22="Continuous",X22/T22,IF(C22="Binary",LN(X22)/LN(T22),""))</f>
        <v>0.79531784532031347</v>
      </c>
      <c r="AB22" s="462">
        <v>0.103610697739796</v>
      </c>
      <c r="AC22" s="340" t="s">
        <v>1563</v>
      </c>
      <c r="AD22" s="500">
        <f t="shared" si="20"/>
        <v>5.9098943651719998E-2</v>
      </c>
      <c r="AE22" s="501">
        <f>SQRT(U22^2 + Y22^2)</f>
        <v>3.1162739926588988E-2</v>
      </c>
      <c r="AF22" s="484"/>
      <c r="AG22" s="512">
        <f t="shared" si="21"/>
        <v>151388</v>
      </c>
      <c r="AH22" s="308">
        <f>IF(AND(F22=0,T22=0),"",
IF(F22=0,T22,
IF(T22=0,F22,
IF(C22="Continuous",(F22/G22^2+T22/U22^2)/(1/G22^2+1/U22^2),IF(C22="Binary",EXP((LN(F22)/G22^2+LN(T22)/U22^2)/(1/G22^2+1/U22^2)),"NA")))))</f>
        <v>0.35059199292243498</v>
      </c>
      <c r="AI22" s="308">
        <f>IF(AND(F22=0,T22=0),"",
 IF(F22=0,U22,
  IF(T22=0,G22,
   SQRT(1/(1/G22^2 + 1/U22^2)))))</f>
        <v>2.4497902365778401E-3</v>
      </c>
      <c r="AJ22" s="513" t="str">
        <f>"(" &amp; TEXT(
    IF(C22="Continuous", AH22 - _xlfn.NORM.S.INV(0.975)*AI22,
        IF(C22="Binary", EXP(LN(AH22) - _xlfn.NORM.S.INV(0.975)*AI22), "NA")
    ), "0.000"
) &amp; ", " &amp; TEXT(
    IF(C22="Continuous", AH22 + _xlfn.NORM.S.INV(0.975)*AI22,
        IF(C22="Binary", EXP(LN(AH22) + _xlfn.NORM.S.INV(0.975)*AI22), "NA")
    ), "0.000"
) &amp; ")"</f>
        <v>(0.346, 0.355)</v>
      </c>
      <c r="AK22" s="512">
        <f t="shared" si="22"/>
        <v>43062</v>
      </c>
      <c r="AL22" s="308">
        <f>IF(AND(J22=0,X22=0),"",
IF(J22=0,X22,
IF(X22=0,J22,
IF(C22="Continuous",(J22/K22^2+X22/Y22^2)/(1/K22^2+1/Y22^2),IF(C22="Binary",EXP((LN(J22)/K22^2+LN(X22)/Y22^2)/(1/K22^2+1/Y22^2)),"NA")))))</f>
        <v>0.18021842734364169</v>
      </c>
      <c r="AM22" s="308">
        <f>IF(AND(J22=0,X22=0),"",
 IF(J22=0,Y22,
  IF(X22=0,K22,
   SQRT(1/(1/K22^2 + 1/Y22^2)))))</f>
        <v>7.5251420829678334E-3</v>
      </c>
      <c r="AN22" s="513" t="str">
        <f>"(" &amp; TEXT(
    IF(C22="Continuous", AL22 - _xlfn.NORM.S.INV(0.975)*AM22,
        IF(C22="Binary", EXP(LN(AL22) - _xlfn.NORM.S.INV(0.975)*AM22), "NA")
    ), "0.000"
) &amp; ", " &amp; TEXT(
    IF(C22="Continuous", AL22 + _xlfn.NORM.S.INV(0.975)*AM22,
        IF(C22="Binary", EXP(LN(AL22) + _xlfn.NORM.S.INV(0.975)*AM22), "NA")
    ), "0.000"
) &amp; ")"</f>
        <v>(0.165, 0.195)</v>
      </c>
      <c r="AO22" s="540">
        <f t="shared" si="27"/>
        <v>0.51338153474332349</v>
      </c>
      <c r="AP22" s="528">
        <f t="shared" si="28"/>
        <v>2.1958341729889665E-2</v>
      </c>
      <c r="AQ22" s="540">
        <f>IF(AND(P22="NA",AD22="NA"),"NA",
 IF(P22="NA",AD22,
  IF(AD22="NA",P22,
   (P22/Q22^2 + AD22/AE22^2)/(1/Q22^2 + 1/AE22^2))))</f>
        <v>0.16858297547982593</v>
      </c>
      <c r="AR22" s="308">
        <f>IF(AND(P22="NA",AD22="NA"),"",
 IF(P22="NA",AE22,
  IF(AD22="NA",Q22,
   SQRT(1/(1/Q22^2 + 1/AE22^2)))))</f>
        <v>7.9356869844405264E-3</v>
      </c>
      <c r="AS22" s="474" t="str">
        <f t="shared" si="0"/>
        <v>0.0E+00</v>
      </c>
      <c r="AT22" s="550">
        <v>0</v>
      </c>
      <c r="AU22" s="475"/>
      <c r="AV22"/>
      <c r="AW22"/>
      <c r="AX22"/>
      <c r="AY22"/>
    </row>
    <row r="23" spans="1:51">
      <c r="A23" s="452"/>
      <c r="B23" s="456" t="s">
        <v>107</v>
      </c>
      <c r="C23" s="553" t="s">
        <v>776</v>
      </c>
      <c r="E23" s="600" t="s">
        <v>776</v>
      </c>
      <c r="F23" s="601"/>
      <c r="G23" s="601"/>
      <c r="H23" s="602"/>
      <c r="I23" s="600" t="s">
        <v>776</v>
      </c>
      <c r="J23" s="601"/>
      <c r="K23" s="601"/>
      <c r="L23" s="602"/>
      <c r="M23" s="600" t="s">
        <v>776</v>
      </c>
      <c r="N23" s="601"/>
      <c r="O23" s="602"/>
      <c r="P23" s="579" t="s">
        <v>776</v>
      </c>
      <c r="Q23" s="580"/>
      <c r="R23" s="561"/>
      <c r="S23" s="600" t="s">
        <v>776</v>
      </c>
      <c r="T23" s="601"/>
      <c r="U23" s="601"/>
      <c r="V23" s="602"/>
      <c r="W23" s="600" t="s">
        <v>776</v>
      </c>
      <c r="X23" s="601"/>
      <c r="Y23" s="601"/>
      <c r="Z23" s="602"/>
      <c r="AA23" s="601" t="s">
        <v>776</v>
      </c>
      <c r="AB23" s="601"/>
      <c r="AC23" s="601"/>
      <c r="AD23" s="579" t="s">
        <v>776</v>
      </c>
      <c r="AE23" s="580"/>
      <c r="AF23" s="484"/>
      <c r="AG23" s="590" t="str">
        <f t="shared" si="21"/>
        <v>NA</v>
      </c>
      <c r="AH23" s="591"/>
      <c r="AI23" s="591"/>
      <c r="AJ23" s="592"/>
      <c r="AK23" s="590" t="str">
        <f t="shared" si="22"/>
        <v>NA</v>
      </c>
      <c r="AL23" s="591"/>
      <c r="AM23" s="591"/>
      <c r="AN23" s="592"/>
      <c r="AO23" s="579" t="s">
        <v>776</v>
      </c>
      <c r="AP23" s="580"/>
      <c r="AQ23" s="579" t="s">
        <v>776</v>
      </c>
      <c r="AR23" s="587"/>
      <c r="AS23" s="587"/>
      <c r="AT23" s="580"/>
      <c r="AU23" s="475"/>
    </row>
    <row r="24" spans="1:51">
      <c r="A24" s="452"/>
      <c r="B24" s="456" t="s">
        <v>109</v>
      </c>
      <c r="C24" s="553" t="s">
        <v>776</v>
      </c>
      <c r="E24" s="600" t="s">
        <v>776</v>
      </c>
      <c r="F24" s="601"/>
      <c r="G24" s="601"/>
      <c r="H24" s="602"/>
      <c r="I24" s="600" t="s">
        <v>776</v>
      </c>
      <c r="J24" s="601"/>
      <c r="K24" s="601"/>
      <c r="L24" s="602"/>
      <c r="M24" s="600" t="s">
        <v>776</v>
      </c>
      <c r="N24" s="601"/>
      <c r="O24" s="602"/>
      <c r="P24" s="579" t="s">
        <v>776</v>
      </c>
      <c r="Q24" s="580"/>
      <c r="R24" s="561"/>
      <c r="S24" s="600" t="s">
        <v>776</v>
      </c>
      <c r="T24" s="601"/>
      <c r="U24" s="601"/>
      <c r="V24" s="602"/>
      <c r="W24" s="600" t="s">
        <v>776</v>
      </c>
      <c r="X24" s="601"/>
      <c r="Y24" s="601"/>
      <c r="Z24" s="602"/>
      <c r="AA24" s="601" t="s">
        <v>776</v>
      </c>
      <c r="AB24" s="601"/>
      <c r="AC24" s="601"/>
      <c r="AD24" s="579" t="s">
        <v>776</v>
      </c>
      <c r="AE24" s="580"/>
      <c r="AF24" s="484"/>
      <c r="AG24" s="590" t="str">
        <f t="shared" si="21"/>
        <v>NA</v>
      </c>
      <c r="AH24" s="591"/>
      <c r="AI24" s="591"/>
      <c r="AJ24" s="592"/>
      <c r="AK24" s="590" t="str">
        <f t="shared" si="22"/>
        <v>NA</v>
      </c>
      <c r="AL24" s="591"/>
      <c r="AM24" s="591"/>
      <c r="AN24" s="592"/>
      <c r="AO24" s="579" t="s">
        <v>776</v>
      </c>
      <c r="AP24" s="580"/>
      <c r="AQ24" s="579" t="s">
        <v>776</v>
      </c>
      <c r="AR24" s="587"/>
      <c r="AS24" s="587"/>
      <c r="AT24" s="580"/>
      <c r="AU24" s="475"/>
    </row>
    <row r="25" spans="1:51">
      <c r="A25" s="452"/>
      <c r="B25" s="452"/>
      <c r="C25" s="557"/>
      <c r="E25" s="441"/>
      <c r="F25" s="520"/>
      <c r="G25" s="439"/>
      <c r="H25" s="440"/>
      <c r="I25" s="441"/>
      <c r="J25" s="520"/>
      <c r="L25" s="437"/>
      <c r="M25" s="529"/>
      <c r="N25" s="520"/>
      <c r="O25" s="440"/>
      <c r="P25" s="492"/>
      <c r="Q25" s="493"/>
      <c r="R25" s="562"/>
      <c r="S25" s="441"/>
      <c r="T25" s="520"/>
      <c r="U25" s="439"/>
      <c r="V25" s="440"/>
      <c r="W25" s="438"/>
      <c r="Z25" s="437"/>
      <c r="AD25" s="502"/>
      <c r="AE25" s="503"/>
      <c r="AF25" s="484"/>
      <c r="AG25" s="514"/>
      <c r="AH25" s="478"/>
      <c r="AI25" s="478" t="str">
        <f t="shared" ref="AI25:AI47" si="29">IF(AND(F25=0,T25=0),"",
 IF(F25=0,U25,
  IF(T25=0,G25,
   SQRT(1/(1/G25^2 + 1/U25^2)))))</f>
        <v/>
      </c>
      <c r="AJ25" s="515"/>
      <c r="AK25" s="514"/>
      <c r="AL25" s="478"/>
      <c r="AM25" s="478"/>
      <c r="AN25" s="503"/>
      <c r="AO25" s="529"/>
      <c r="AP25" s="541"/>
      <c r="AQ25" s="543" t="str">
        <f>IF(AND(P25=0,AD25=0),"",
 IF(P25=0,AD25,
  IF(AD25=0,P25,
   (P25/Q25^2 + AD25/AE25^2)/(1/Q25^2 + 1/AE25^2))))</f>
        <v/>
      </c>
      <c r="AR25" s="478" t="str">
        <f>IF(AND(P25=0,AD25=0),"",
 IF(P25=0,AE25,
  IF(AD25=0,Q25,
   SQRT(1/(1/Q25^2 + 1/AE25^2)))))</f>
        <v/>
      </c>
      <c r="AS25" s="547" t="str">
        <f t="shared" si="0"/>
        <v/>
      </c>
      <c r="AT25" s="551"/>
    </row>
    <row r="26" spans="1:51">
      <c r="A26" s="457" t="s">
        <v>111</v>
      </c>
      <c r="B26" s="458"/>
      <c r="C26" s="508"/>
      <c r="E26" s="442"/>
      <c r="F26" s="521"/>
      <c r="G26" s="442"/>
      <c r="H26" s="442"/>
      <c r="I26" s="442"/>
      <c r="J26" s="521"/>
      <c r="K26" s="442"/>
      <c r="L26" s="442"/>
      <c r="M26" s="521"/>
      <c r="N26" s="521"/>
      <c r="O26" s="442"/>
      <c r="P26" s="448"/>
      <c r="Q26" s="448"/>
      <c r="R26" s="562"/>
      <c r="S26" s="442"/>
      <c r="T26" s="521"/>
      <c r="U26" s="442"/>
      <c r="V26" s="442"/>
      <c r="W26" s="442"/>
      <c r="X26" s="521"/>
      <c r="Y26" s="442"/>
      <c r="Z26" s="442"/>
      <c r="AA26" s="521"/>
      <c r="AB26" s="536"/>
      <c r="AC26" s="442"/>
      <c r="AD26" s="446"/>
      <c r="AE26" s="308"/>
      <c r="AF26" s="484"/>
      <c r="AG26" s="11"/>
      <c r="AH26" s="308"/>
      <c r="AI26" s="308" t="str">
        <f t="shared" si="29"/>
        <v/>
      </c>
      <c r="AJ26" s="125"/>
      <c r="AK26" s="11"/>
      <c r="AL26" s="308"/>
      <c r="AM26" s="308"/>
      <c r="AN26" s="308"/>
      <c r="AO26" s="521"/>
      <c r="AP26" s="536"/>
      <c r="AQ26" s="308" t="str">
        <f>IF(AND(P26=0,AD26=0),"",
 IF(P26=0,AD26,
  IF(AD26=0,P26,
   (P26/Q26^2 + AD26/AE26^2)/(1/Q26^2 + 1/AE26^2))))</f>
        <v/>
      </c>
      <c r="AR26" s="308" t="str">
        <f>IF(AND(P26=0,AD26=0),"",
 IF(P26=0,AE26,
  IF(AD26=0,Q26,
   SQRT(1/(1/Q26^2 + 1/AE26^2)))))</f>
        <v/>
      </c>
      <c r="AS26" s="474" t="str">
        <f t="shared" si="0"/>
        <v/>
      </c>
    </row>
    <row r="27" spans="1:51">
      <c r="A27" s="452"/>
      <c r="B27" s="456" t="s">
        <v>112</v>
      </c>
      <c r="C27" s="556" t="s">
        <v>1729</v>
      </c>
      <c r="E27" s="368">
        <v>64650</v>
      </c>
      <c r="F27" s="464">
        <v>0.18555801288638099</v>
      </c>
      <c r="G27" s="464">
        <v>3.8741749907874701E-3</v>
      </c>
      <c r="H27" s="435" t="str">
        <f>"(" &amp; TEXT(
    IF(C27="Continuous", F27 - _xlfn.NORM.S.INV(0.975)*G27,
        IF(C27="Binary", EXP(LN(F27) - _xlfn.NORM.S.INV(0.975)*G27), "NA")
    ), "0.000"
) &amp; ", " &amp; TEXT(
    IF(C27="Continuous", F27 + _xlfn.NORM.S.INV(0.975)*G27,
        IF(C27="Binary", EXP(LN(F27) + _xlfn.NORM.S.INV(0.975)*G27), "NA")
    ), "0.000"
) &amp; ")"</f>
        <v>(0.178, 0.193)</v>
      </c>
      <c r="I27" s="355">
        <v>18624</v>
      </c>
      <c r="J27" s="464">
        <v>8.2387277125698599E-2</v>
      </c>
      <c r="K27" s="462">
        <v>1.2453013047821201E-2</v>
      </c>
      <c r="L27" s="435" t="str">
        <f>"(" &amp; TEXT(
    IF(C27="Continuous", J27 - _xlfn.NORM.S.INV(0.975)*K27,
        IF(C27="Binary", EXP(LN(J27) - _xlfn.NORM.S.INV(0.975)*K27), "NA")
    ), "0.000"
) &amp; ", " &amp; TEXT(
    IF(C27="Continuous", J27 + _xlfn.NORM.S.INV(0.975)*K27,
        IF(C27="Binary", EXP(LN(J27) + _xlfn.NORM.S.INV(0.975)*K27), "NA")
    ), "0.000"
) &amp; ")"</f>
        <v>(0.058, 0.107)</v>
      </c>
      <c r="M27" s="526">
        <f>IF(C27="Continuous",J27/F27,IF(C27="Binary",LN(J27)/LN(F27),""))</f>
        <v>0.44399740999676013</v>
      </c>
      <c r="N27" s="527">
        <v>6.7748361333220999E-2</v>
      </c>
      <c r="O27" s="488" t="s">
        <v>1389</v>
      </c>
      <c r="P27" s="495">
        <f>IF(C27="Continuous",F27-J27,IF(C27="Binary",LN(F27)-LN(J27)))</f>
        <v>0.10317073576068239</v>
      </c>
      <c r="Q27" s="496">
        <f>SQRT(G27^2 + K27^2)</f>
        <v>1.3041731703590907E-2</v>
      </c>
      <c r="R27" s="561"/>
      <c r="S27" s="368">
        <v>4109</v>
      </c>
      <c r="T27" s="464">
        <v>0.13689138590363301</v>
      </c>
      <c r="U27" s="464">
        <v>1.5592931664454201E-2</v>
      </c>
      <c r="V27" s="435" t="str">
        <f>"(" &amp; TEXT(
    IF(C27="Continuous", T27 - _xlfn.NORM.S.INV(0.975)*U27,
        IF(C27="Binary", EXP(LN(T27) - _xlfn.NORM.S.INV(0.975)*U27), "NA")
    ), "0.000"
) &amp; ", " &amp; TEXT(
    IF(C27="Continuous", T27 + _xlfn.NORM.S.INV(0.975)*U27,
        IF(C27="Binary", EXP(LN(T27) + _xlfn.NORM.S.INV(0.975)*U27), "NA")
    ), "0.000"
) &amp; ")"</f>
        <v>(0.106, 0.167)</v>
      </c>
      <c r="W27" s="368">
        <v>3511</v>
      </c>
      <c r="X27" s="464">
        <v>8.2894088260159704E-2</v>
      </c>
      <c r="Y27" s="464">
        <v>3.1066244675325001E-2</v>
      </c>
      <c r="Z27" s="436" t="str">
        <f>"(" &amp; TEXT(
    IF(C27="Continuous", X27 - _xlfn.NORM.S.INV(0.975)*Y27,
        IF(C27="Binary", EXP(LN(X27) - _xlfn.NORM.S.INV(0.975)*Y27), "NA")
    ), "0.000"
) &amp; ", " &amp; TEXT(
    IF(C27="Continuous", X27 + _xlfn.NORM.S.INV(0.975)*Y27,
        IF(C27="Binary", EXP(LN(X27) + _xlfn.NORM.S.INV(0.975)*Y27), "NA")
    ), "0.000"
) &amp; ")"</f>
        <v>(0.022, 0.144)</v>
      </c>
      <c r="AA27" s="526">
        <f>IF(C27="Continuous",X27/T27,IF(C27="Binary",LN(X27)/LN(T27),""))</f>
        <v>0.60554641705880885</v>
      </c>
      <c r="AB27" s="462">
        <v>0.23719159458832401</v>
      </c>
      <c r="AC27" s="340" t="s">
        <v>1564</v>
      </c>
      <c r="AD27" s="504">
        <f t="shared" ref="AD27:AD30" si="30">IF(C27="Continuous",T27-X27,IF(C27="Binary",LN(T27)-LN(X27),"NA"))</f>
        <v>5.3997297643473302E-2</v>
      </c>
      <c r="AE27" s="505">
        <f>SQRT(U27^2 + Y27^2)</f>
        <v>3.4759906158093948E-2</v>
      </c>
      <c r="AF27" s="484"/>
      <c r="AG27" s="510">
        <f>IF(AND(E27="NA", S27="NA"), "NA", IF(E27="NA", S27, IF(S27="NA", E27, E27 + S27)))</f>
        <v>68759</v>
      </c>
      <c r="AH27" s="477">
        <f>IF(AND(F27=0,T27=0),"",
IF(F27=0,T27,
IF(T27=0,F27,
IF(C27="Continuous",(F27/G27^2+T27/U27^2)/(1/G27^2+1/U27^2),IF(C27="Binary",EXP((LN(F27)/G27^2+LN(T27)/U27^2)/(1/G27^2+1/U27^2)),"NA")))))</f>
        <v>0.18272844780464312</v>
      </c>
      <c r="AI27" s="477">
        <f t="shared" si="29"/>
        <v>3.7598627857135568E-3</v>
      </c>
      <c r="AJ27" s="511" t="str">
        <f>"(" &amp; TEXT(
    IF(C27="Continuous", AH27 - _xlfn.NORM.S.INV(0.975)*AI27,
        IF(C27="Binary", EXP(LN(AH27) - _xlfn.NORM.S.INV(0.975)*AI27), "NA")
    ), "0.000"
) &amp; ", " &amp; TEXT(
    IF(C27="Continuous", AH27 + _xlfn.NORM.S.INV(0.975)*AI27,
        IF(C27="Binary", EXP(LN(AH27) + _xlfn.NORM.S.INV(0.975)*AI27), "NA")
    ), "0.000"
) &amp; ")"</f>
        <v>(0.175, 0.190)</v>
      </c>
      <c r="AK27" s="510">
        <f>IF(AND(I27="NA", W27="NA"), "NA", IF(I27="NA", W27, IF(W27="NA", I27, I27 + W27)))</f>
        <v>22135</v>
      </c>
      <c r="AL27" s="477">
        <f>IF(AND(J27=0,X27=0),"",
IF(J27=0,X27,
IF(X27=0,J27,
IF(C27="Continuous",(J27/K27^2+X27/Y27^2)/(1/K27^2+1/Y27^2),IF(C27="Binary",EXP((LN(J27)/K27^2+LN(X27)/Y27^2)/(1/K27^2+1/Y27^2)),"NA")))))</f>
        <v>8.245743940585995E-2</v>
      </c>
      <c r="AM27" s="477">
        <f>IF(AND(J27=0,X27=0),"",
 IF(J27=0,Y27,
  IF(X27=0,K27,
   SQRT(1/(1/K27^2 + 1/Y27^2)))))</f>
        <v>1.1558927288710765E-2</v>
      </c>
      <c r="AN27" s="511" t="str">
        <f>"(" &amp; TEXT(
    IF(C27="Continuous", AL27 - _xlfn.NORM.S.INV(0.975)*AM27,
        IF(C27="Binary", EXP(LN(AL27) - _xlfn.NORM.S.INV(0.975)*AM27), "NA")
    ), "0.000"
) &amp; ", " &amp; TEXT(
    IF(C27="Continuous", AL27 + _xlfn.NORM.S.INV(0.975)*AM27,
        IF(C27="Binary", EXP(LN(AL27) + _xlfn.NORM.S.INV(0.975)*AM27), "NA")
    ), "0.000"
) &amp; ")"</f>
        <v>(0.060, 0.105)</v>
      </c>
      <c r="AO27" s="537">
        <f>IF(AND(M27="NA",AA27="NA"),"",
 IF(M27="NA",AA27,
  IF(AA27="NA",M27,
   (M27/N27^2 + AA27/AB27^2)/(1/N27^2 + 1/AB27^2))))</f>
        <v>0.45618291386353804</v>
      </c>
      <c r="AP27" s="527">
        <f>IF(AND(M27="NA",AA27="NA"),"",
 IF(M27="NA",AB27,
  IF(AA27="NA",N27,
   SQRT(1/(1/N27^2 + 1/AB27^2)))))</f>
        <v>6.5143170865895536E-2</v>
      </c>
      <c r="AQ27" s="537">
        <f>IF(AND(P27="NA",AD27="NA"),"NA",
 IF(P27="NA",AD27,
  IF(AD27="NA",P27,
   (P27/Q27^2 + AD27/AE27^2)/(1/Q27^2 + 1/AE27^2))))</f>
        <v>9.710273791611819E-2</v>
      </c>
      <c r="AR27" s="477">
        <f>IF(AND(P27="NA",AD27="NA"),"",
 IF(P27="NA",AE27,
  IF(AD27="NA",Q27,
   SQRT(1/(1/Q27^2 + 1/AE27^2)))))</f>
        <v>1.2210572231083558E-2</v>
      </c>
      <c r="AS27" s="548" t="str">
        <f t="shared" si="0"/>
        <v>1.8E-15</v>
      </c>
      <c r="AT27" s="552">
        <v>4.8600000000000002E-14</v>
      </c>
      <c r="AU27" s="475"/>
      <c r="AV27"/>
      <c r="AW27"/>
      <c r="AX27"/>
      <c r="AY27"/>
    </row>
    <row r="28" spans="1:51">
      <c r="A28" s="452"/>
      <c r="B28" s="456" t="s">
        <v>575</v>
      </c>
      <c r="C28" s="553" t="s">
        <v>1729</v>
      </c>
      <c r="E28" s="355">
        <v>77759</v>
      </c>
      <c r="F28" s="462">
        <v>0.326614356566159</v>
      </c>
      <c r="G28" s="462">
        <v>3.3805135114952198E-3</v>
      </c>
      <c r="H28" s="435" t="str">
        <f t="shared" ref="H28:H30" si="31">"(" &amp; TEXT(
    IF(C28="Continuous", F28 - _xlfn.NORM.S.INV(0.975)*G28,
        IF(C28="Binary", EXP(LN(F28) - _xlfn.NORM.S.INV(0.975)*G28), "NA")
    ), "0.000"
) &amp; ", " &amp; TEXT(
    IF(C28="Continuous", F28 + _xlfn.NORM.S.INV(0.975)*G28,
        IF(C28="Binary", EXP(LN(F28) + _xlfn.NORM.S.INV(0.975)*G28), "NA")
    ), "0.000"
) &amp; ")"</f>
        <v>(0.320, 0.333)</v>
      </c>
      <c r="I28" s="355">
        <v>22440</v>
      </c>
      <c r="J28" s="462">
        <v>0.319997558176073</v>
      </c>
      <c r="K28" s="462">
        <v>1.03934305047875E-2</v>
      </c>
      <c r="L28" s="435" t="str">
        <f t="shared" ref="L28:L30" si="32">"(" &amp; TEXT(
    IF(C28="Continuous", J28 - _xlfn.NORM.S.INV(0.975)*K28,
        IF(C28="Binary", EXP(LN(J28) - _xlfn.NORM.S.INV(0.975)*K28), "NA")
    ), "0.000"
) &amp; ", " &amp; TEXT(
    IF(C28="Continuous", J28 + _xlfn.NORM.S.INV(0.975)*K28,
        IF(C28="Binary", EXP(LN(J28) + _xlfn.NORM.S.INV(0.975)*K28), "NA")
    ), "0.000"
) &amp; ")"</f>
        <v>(0.300, 0.340)</v>
      </c>
      <c r="M28" s="526">
        <f t="shared" ref="M28:M30" si="33">IF(C28="Continuous",J28/F28,IF(C28="Binary",LN(J28)/LN(F28),""))</f>
        <v>0.97974125063070916</v>
      </c>
      <c r="N28" s="528">
        <v>3.3398372939465702E-2</v>
      </c>
      <c r="O28" s="489" t="s">
        <v>1390</v>
      </c>
      <c r="P28" s="491">
        <f t="shared" ref="P28" si="34">IF(C28="Continuous",F28-J28,IF(C28="Binary",LN(F28)-LN(J28)))</f>
        <v>6.6167983900859983E-3</v>
      </c>
      <c r="Q28" s="494">
        <f>SQRT(G28^2 + K28^2)</f>
        <v>1.0929376435060196E-2</v>
      </c>
      <c r="R28" s="561"/>
      <c r="S28" s="355">
        <v>1991</v>
      </c>
      <c r="T28" s="462">
        <v>0.290804635436542</v>
      </c>
      <c r="U28" s="462">
        <v>2.15263756496436E-2</v>
      </c>
      <c r="V28" s="435" t="str">
        <f>"(" &amp; TEXT(
    IF(C28="Continuous", T28 - _xlfn.NORM.S.INV(0.975)*U28,
        IF(C28="Binary", EXP(LN(T28) - _xlfn.NORM.S.INV(0.975)*U28), "NA")
    ), "0.000"
) &amp; ", " &amp; TEXT(
    IF(C28="Continuous", T28 + _xlfn.NORM.S.INV(0.975)*U28,
        IF(C28="Binary", EXP(LN(T28) + _xlfn.NORM.S.INV(0.975)*U28), "NA")
    ), "0.000"
) &amp; ")"</f>
        <v>(0.249, 0.333)</v>
      </c>
      <c r="W28" s="355">
        <v>1874</v>
      </c>
      <c r="X28" s="462">
        <v>0.31603549463695102</v>
      </c>
      <c r="Y28" s="462">
        <v>3.72389592339986E-2</v>
      </c>
      <c r="Z28" s="435" t="str">
        <f>"(" &amp; TEXT(
    IF(C28="Continuous", X28 - _xlfn.NORM.S.INV(0.975)*Y28,
        IF(C28="Binary", EXP(LN(X28) - _xlfn.NORM.S.INV(0.975)*Y28), "NA")
    ), "0.000"
) &amp; ", " &amp; TEXT(
    IF(C28="Continuous", X28 + _xlfn.NORM.S.INV(0.975)*Y28,
        IF(C28="Binary", EXP(LN(X28) + _xlfn.NORM.S.INV(0.975)*Y28), "NA")
    ), "0.000"
) &amp; ")"</f>
        <v>(0.243, 0.389)</v>
      </c>
      <c r="AA28" s="526">
        <f>IF(C28="Continuous",X28/T28,IF(C28="Binary",LN(X28)/LN(T28),""))</f>
        <v>1.086762231841778</v>
      </c>
      <c r="AB28" s="462">
        <v>0.15122700551767301</v>
      </c>
      <c r="AC28" s="340" t="s">
        <v>1565</v>
      </c>
      <c r="AD28" s="500">
        <f t="shared" si="30"/>
        <v>-2.5230859200409017E-2</v>
      </c>
      <c r="AE28" s="501">
        <f>SQRT(U28^2 + Y28^2)</f>
        <v>4.3013078632445953E-2</v>
      </c>
      <c r="AF28" s="484"/>
      <c r="AG28" s="512">
        <f>IF(AND(E28="NA", S28="NA"), "NA", IF(E28="NA", S28, IF(S28="NA", E28, E28 + S28)))</f>
        <v>79750</v>
      </c>
      <c r="AH28" s="308">
        <f>IF(AND(F28=0,T28=0),"",
IF(F28=0,T28,
IF(T28=0,F28,
IF(C28="Continuous",(F28/G28^2+T28/U28^2)/(1/G28^2+1/U28^2),IF(C28="Binary",EXP((LN(F28)/G28^2+LN(T28)/U28^2)/(1/G28^2+1/U28^2)),"NA")))))</f>
        <v>0.3257524822360664</v>
      </c>
      <c r="AI28" s="308">
        <f t="shared" si="29"/>
        <v>3.3395843581316841E-3</v>
      </c>
      <c r="AJ28" s="513" t="str">
        <f>"(" &amp; TEXT(
    IF(C28="Continuous", AH28 - _xlfn.NORM.S.INV(0.975)*AI28,
        IF(C28="Binary", EXP(LN(AH28) - _xlfn.NORM.S.INV(0.975)*AI28), "NA")
    ), "0.000"
) &amp; ", " &amp; TEXT(
    IF(C28="Continuous", AH28 + _xlfn.NORM.S.INV(0.975)*AI28,
        IF(C28="Binary", EXP(LN(AH28) + _xlfn.NORM.S.INV(0.975)*AI28), "NA")
    ), "0.000"
) &amp; ")"</f>
        <v>(0.319, 0.332)</v>
      </c>
      <c r="AK28" s="512">
        <f>IF(AND(I28="NA", W28="NA"), "NA", IF(I28="NA", W28, IF(W28="NA", I28, I28 + W28)))</f>
        <v>24314</v>
      </c>
      <c r="AL28" s="308">
        <f>IF(AND(J28=0,X28=0),"",
IF(J28=0,X28,
IF(X28=0,J28,
IF(C28="Continuous",(J28/K28^2+X28/Y28^2)/(1/K28^2+1/Y28^2),IF(C28="Binary",EXP((LN(J28)/K28^2+LN(X28)/Y28^2)/(1/K28^2+1/Y28^2)),"NA")))))</f>
        <v>0.31971122821802545</v>
      </c>
      <c r="AM28" s="308">
        <f>IF(AND(J28=0,X28=0),"",
 IF(J28=0,Y28,
  IF(X28=0,K28,
   SQRT(1/(1/K28^2 + 1/Y28^2)))))</f>
        <v>1.0010832883401179E-2</v>
      </c>
      <c r="AN28" s="513" t="str">
        <f>"(" &amp; TEXT(
    IF(C28="Continuous", AL28 - _xlfn.NORM.S.INV(0.975)*AM28,
        IF(C28="Binary", EXP(LN(AL28) - _xlfn.NORM.S.INV(0.975)*AM28), "NA")
    ), "0.000"
) &amp; ", " &amp; TEXT(
    IF(C28="Continuous", AL28 + _xlfn.NORM.S.INV(0.975)*AM28,
        IF(C28="Binary", EXP(LN(AL28) + _xlfn.NORM.S.INV(0.975)*AM28), "NA")
    ), "0.000"
) &amp; ")"</f>
        <v>(0.300, 0.339)</v>
      </c>
      <c r="AO28" s="540">
        <f t="shared" ref="AO28" si="35">IF(AND(M28="NA",AA28="NA"),"",
 IF(M28="NA",AA28,
  IF(AA28="NA",M28,
   (M28/N28^2 + AA28/AB28^2)/(1/N28^2 + 1/AB28^2))))</f>
        <v>0.98471837812701823</v>
      </c>
      <c r="AP28" s="528">
        <f t="shared" ref="AP28" si="36">IF(AND(M28="NA",AA28="NA"),"",
 IF(M28="NA",AB28,
  IF(AA28="NA",N28,
   SQRT(1/(1/N28^2 + 1/AB28^2)))))</f>
        <v>3.2612513466272905E-2</v>
      </c>
      <c r="AQ28" s="540">
        <f>IF(AND(P28="NA",AD28="NA"),"NA",
 IF(P28="NA",AD28,
  IF(AD28="NA",P28,
   (P28/Q28^2 + AD28/AE28^2)/(1/Q28^2 + 1/AE28^2))))</f>
        <v>4.6852949951408885E-3</v>
      </c>
      <c r="AR28" s="308">
        <f>IF(AND(P28="NA",AD28="NA"),"",
 IF(P28="NA",AE28,
  IF(AD28="NA",Q28,
   SQRT(1/(1/Q28^2 + 1/AE28^2)))))</f>
        <v>1.0592769407065453E-2</v>
      </c>
      <c r="AS28" s="474" t="str">
        <f t="shared" si="0"/>
        <v>6.6E-01</v>
      </c>
      <c r="AT28" s="550">
        <v>0.86926829999999999</v>
      </c>
      <c r="AU28" s="475"/>
      <c r="AV28"/>
      <c r="AW28"/>
      <c r="AX28"/>
      <c r="AY28"/>
    </row>
    <row r="29" spans="1:51">
      <c r="A29" s="452"/>
      <c r="B29" s="456" t="s">
        <v>137</v>
      </c>
      <c r="C29" s="553" t="s">
        <v>1729</v>
      </c>
      <c r="E29" s="355">
        <v>130255</v>
      </c>
      <c r="F29" s="462">
        <v>0.197944246604492</v>
      </c>
      <c r="G29" s="462">
        <v>2.7231785508290401E-3</v>
      </c>
      <c r="H29" s="435" t="str">
        <f t="shared" si="31"/>
        <v>(0.193, 0.203)</v>
      </c>
      <c r="I29" s="355">
        <v>35060</v>
      </c>
      <c r="J29" s="462">
        <v>0.13899394336371601</v>
      </c>
      <c r="K29" s="462">
        <v>8.8032273815549008E-3</v>
      </c>
      <c r="L29" s="435" t="str">
        <f t="shared" si="32"/>
        <v>(0.122, 0.156)</v>
      </c>
      <c r="M29" s="526">
        <f t="shared" si="33"/>
        <v>0.70218733682841872</v>
      </c>
      <c r="N29" s="528">
        <v>4.5510339614962002E-2</v>
      </c>
      <c r="O29" s="489" t="s">
        <v>1391</v>
      </c>
      <c r="P29" s="491">
        <f t="shared" ref="P29:P30" si="37">IF(C29="Continuous",F29-J29,IF(C29="Binary",LN(F29)-LN(J29)))</f>
        <v>5.8950303240775992E-2</v>
      </c>
      <c r="Q29" s="494">
        <f t="shared" ref="Q29:Q30" si="38">SQRT(G29^2 + K29^2)</f>
        <v>9.2147986278080605E-3</v>
      </c>
      <c r="R29" s="561"/>
      <c r="S29" s="600" t="s">
        <v>776</v>
      </c>
      <c r="T29" s="601"/>
      <c r="U29" s="601"/>
      <c r="V29" s="602"/>
      <c r="W29" s="600" t="s">
        <v>776</v>
      </c>
      <c r="X29" s="601"/>
      <c r="Y29" s="601"/>
      <c r="Z29" s="602"/>
      <c r="AA29" s="601" t="s">
        <v>776</v>
      </c>
      <c r="AB29" s="601"/>
      <c r="AC29" s="601"/>
      <c r="AD29" s="579" t="s">
        <v>776</v>
      </c>
      <c r="AE29" s="580"/>
      <c r="AF29" s="484"/>
      <c r="AG29" s="512">
        <f>IF(AND(E29="NA", S29="NA"), "NA", IF(E29="NA", S29, IF(S29="NA", E29, E29 + S29)))</f>
        <v>130255</v>
      </c>
      <c r="AH29" s="308">
        <f>IF(AND(F29=0,T29=0),"",
IF(F29=0,T29,
IF(T29=0,F29,
IF(C29="Continuous",(F29/G29^2+T29/U29^2)/(1/G29^2+1/U29^2),IF(C29="Binary",EXP((LN(F29)/G29^2+LN(T29)/U29^2)/(1/G29^2+1/U29^2)),"NA")))))</f>
        <v>0.197944246604492</v>
      </c>
      <c r="AI29" s="308">
        <f t="shared" si="29"/>
        <v>2.7231785508290401E-3</v>
      </c>
      <c r="AJ29" s="513" t="str">
        <f>"(" &amp; TEXT(
    IF(C29="Continuous", AH29 - _xlfn.NORM.S.INV(0.975)*AI29,
        IF(C29="Binary", EXP(LN(AH29) - _xlfn.NORM.S.INV(0.975)*AI29), "NA")
    ), "0.000"
) &amp; ", " &amp; TEXT(
    IF(C29="Continuous", AH29 + _xlfn.NORM.S.INV(0.975)*AI29,
        IF(C29="Binary", EXP(LN(AH29) + _xlfn.NORM.S.INV(0.975)*AI29), "NA")
    ), "0.000"
) &amp; ")"</f>
        <v>(0.193, 0.203)</v>
      </c>
      <c r="AK29" s="512">
        <f>IF(AND(I29="NA", W29="NA"), "NA", IF(I29="NA", W29, IF(W29="NA", I29, I29 + W29)))</f>
        <v>35060</v>
      </c>
      <c r="AL29" s="308">
        <f>IF(AND(J29=0,X29=0),"",
IF(J29=0,X29,
IF(X29=0,J29,
IF(C29="Continuous",(J29/K29^2+X29/Y29^2)/(1/K29^2+1/Y29^2),IF(C29="Binary",EXP((LN(J29)/K29^2+LN(X29)/Y29^2)/(1/K29^2+1/Y29^2)),"NA")))))</f>
        <v>0.13899394336371601</v>
      </c>
      <c r="AM29" s="308">
        <f>IF(AND(J29=0,X29=0),"",
 IF(J29=0,Y29,
  IF(X29=0,K29,
   SQRT(1/(1/K29^2 + 1/Y29^2)))))</f>
        <v>8.8032273815549008E-3</v>
      </c>
      <c r="AN29" s="513" t="str">
        <f>"(" &amp; TEXT(
    IF(C29="Continuous", AL29 - _xlfn.NORM.S.INV(0.975)*AM29,
        IF(C29="Binary", EXP(LN(AL29) - _xlfn.NORM.S.INV(0.975)*AM29), "NA")
    ), "0.000"
) &amp; ", " &amp; TEXT(
    IF(C29="Continuous", AL29 + _xlfn.NORM.S.INV(0.975)*AM29,
        IF(C29="Binary", EXP(LN(AL29) + _xlfn.NORM.S.INV(0.975)*AM29), "NA")
    ), "0.000"
) &amp; ")"</f>
        <v>(0.122, 0.156)</v>
      </c>
      <c r="AO29" s="540">
        <f t="shared" ref="AO29:AO30" si="39">IF(AND(M29="NA",AA29="NA"),"",
 IF(M29="NA",AA29,
  IF(AA29="NA",M29,
   (M29/N29^2 + AA29/AB29^2)/(1/N29^2 + 1/AB29^2))))</f>
        <v>0.70218733682841872</v>
      </c>
      <c r="AP29" s="528">
        <f t="shared" ref="AP29:AP30" si="40">IF(AND(M29="NA",AA29="NA"),"",
 IF(M29="NA",AB29,
  IF(AA29="NA",N29,
   SQRT(1/(1/N29^2 + 1/AB29^2)))))</f>
        <v>4.5510339614962002E-2</v>
      </c>
      <c r="AQ29" s="540">
        <f>IF(AND(P29="NA",AD29="NA"),"NA",
 IF(P29="NA",AD29,
  IF(AD29="NA",P29,
   (P29/Q29^2 + AD29/AE29^2)/(1/Q29^2 + 1/AE29^2))))</f>
        <v>5.8950303240775992E-2</v>
      </c>
      <c r="AR29" s="308">
        <f>IF(AND(P29="NA",AD29="NA"),"",
 IF(P29="NA",AE29,
  IF(AD29="NA",Q29,
   SQRT(1/(1/Q29^2 + 1/AE29^2)))))</f>
        <v>9.2147986278080605E-3</v>
      </c>
      <c r="AS29" s="474" t="str">
        <f t="shared" si="0"/>
        <v>1.6E-10</v>
      </c>
      <c r="AT29" s="550">
        <v>2.16E-9</v>
      </c>
      <c r="AU29" s="475"/>
      <c r="AV29"/>
      <c r="AW29"/>
      <c r="AX29"/>
      <c r="AY29"/>
    </row>
    <row r="30" spans="1:51">
      <c r="A30" s="452"/>
      <c r="B30" s="456" t="s">
        <v>582</v>
      </c>
      <c r="C30" s="553" t="s">
        <v>1729</v>
      </c>
      <c r="E30" s="355">
        <v>72782</v>
      </c>
      <c r="F30" s="462">
        <v>8.6929879102634999E-2</v>
      </c>
      <c r="G30" s="462">
        <v>3.6865221257723602E-3</v>
      </c>
      <c r="H30" s="435" t="str">
        <f t="shared" si="31"/>
        <v>(0.080, 0.094)</v>
      </c>
      <c r="I30" s="355">
        <v>20268</v>
      </c>
      <c r="J30" s="462">
        <v>7.0526326120620597E-2</v>
      </c>
      <c r="K30" s="462">
        <v>1.19520977894212E-2</v>
      </c>
      <c r="L30" s="435" t="str">
        <f t="shared" si="32"/>
        <v>(0.047, 0.094)</v>
      </c>
      <c r="M30" s="526">
        <f t="shared" si="33"/>
        <v>0.81130132525955412</v>
      </c>
      <c r="N30" s="528">
        <v>0.141730708586493</v>
      </c>
      <c r="O30" s="489" t="s">
        <v>1392</v>
      </c>
      <c r="P30" s="491">
        <f t="shared" si="37"/>
        <v>1.6403552982014402E-2</v>
      </c>
      <c r="Q30" s="494">
        <f t="shared" si="38"/>
        <v>1.2507721093456485E-2</v>
      </c>
      <c r="R30" s="561"/>
      <c r="S30" s="355">
        <v>6225</v>
      </c>
      <c r="T30" s="462">
        <v>8.8819708944240405E-2</v>
      </c>
      <c r="U30" s="462">
        <v>1.27247425503261E-2</v>
      </c>
      <c r="V30" s="435" t="str">
        <f>"(" &amp; TEXT(
    IF(C30="Continuous", T30 - _xlfn.NORM.S.INV(0.975)*U30,
        IF(C30="Binary", EXP(LN(T30) - _xlfn.NORM.S.INV(0.975)*U30), "NA")
    ), "0.000"
) &amp; ", " &amp; TEXT(
    IF(C30="Continuous", T30 + _xlfn.NORM.S.INV(0.975)*U30,
        IF(C30="Binary", EXP(LN(T30) + _xlfn.NORM.S.INV(0.975)*U30), "NA")
    ), "0.000"
) &amp; ")"</f>
        <v>(0.064, 0.114)</v>
      </c>
      <c r="W30" s="355">
        <v>1850</v>
      </c>
      <c r="X30" s="462">
        <v>0.14303192097709899</v>
      </c>
      <c r="Y30" s="462">
        <v>4.0375509441724598E-2</v>
      </c>
      <c r="Z30" s="435" t="str">
        <f>"(" &amp; TEXT(
    IF(C30="Continuous", X30 - _xlfn.NORM.S.INV(0.975)*Y30,
        IF(C30="Binary", EXP(LN(X30) - _xlfn.NORM.S.INV(0.975)*Y30), "NA")
    ), "0.000"
) &amp; ", " &amp; TEXT(
    IF(C30="Continuous", X30 + _xlfn.NORM.S.INV(0.975)*Y30,
        IF(C30="Binary", EXP(LN(X30) + _xlfn.NORM.S.INV(0.975)*Y30), "NA")
    ), "0.000"
) &amp; ")"</f>
        <v>(0.064, 0.222)</v>
      </c>
      <c r="AA30" s="526">
        <f>IF(C30="Continuous",X30/T30,IF(C30="Binary",LN(X30)/LN(T30),""))</f>
        <v>1.6103624147979605</v>
      </c>
      <c r="AB30" s="462">
        <v>0.50977224061397297</v>
      </c>
      <c r="AC30" s="340" t="s">
        <v>1566</v>
      </c>
      <c r="AD30" s="500">
        <f t="shared" si="30"/>
        <v>-5.4212212032858587E-2</v>
      </c>
      <c r="AE30" s="501">
        <f>SQRT(U30^2 + Y30^2)</f>
        <v>4.2333211969455754E-2</v>
      </c>
      <c r="AF30" s="484"/>
      <c r="AG30" s="512">
        <f>IF(AND(E30="NA", S30="NA"), "NA", IF(E30="NA", S30, IF(S30="NA", E30, E30 + S30)))</f>
        <v>79007</v>
      </c>
      <c r="AH30" s="308">
        <f>IF(AND(F30=0,T30=0),"",
IF(F30=0,T30,
IF(T30=0,F30,
IF(C30="Continuous",(F30/G30^2+T30/U30^2)/(1/G30^2+1/U30^2),IF(C30="Binary",EXP((LN(F30)/G30^2+LN(T30)/U30^2)/(1/G30^2+1/U30^2)),"NA")))))</f>
        <v>8.7076216631719619E-2</v>
      </c>
      <c r="AI30" s="308">
        <f t="shared" si="29"/>
        <v>3.5409150843915202E-3</v>
      </c>
      <c r="AJ30" s="513" t="str">
        <f>"(" &amp; TEXT(
    IF(C30="Continuous", AH30 - _xlfn.NORM.S.INV(0.975)*AI30,
        IF(C30="Binary", EXP(LN(AH30) - _xlfn.NORM.S.INV(0.975)*AI30), "NA")
    ), "0.000"
) &amp; ", " &amp; TEXT(
    IF(C30="Continuous", AH30 + _xlfn.NORM.S.INV(0.975)*AI30,
        IF(C30="Binary", EXP(LN(AH30) + _xlfn.NORM.S.INV(0.975)*AI30), "NA")
    ), "0.000"
) &amp; ")"</f>
        <v>(0.080, 0.094)</v>
      </c>
      <c r="AK30" s="512">
        <f>IF(AND(I30="NA", W30="NA"), "NA", IF(I30="NA", W30, IF(W30="NA", I30, I30 + W30)))</f>
        <v>22118</v>
      </c>
      <c r="AL30" s="308">
        <f>IF(AND(J30=0,X30=0),"",
IF(J30=0,X30,
IF(X30=0,J30,
IF(C30="Continuous",(J30/K30^2+X30/Y30^2)/(1/K30^2+1/Y30^2),IF(C30="Binary",EXP((LN(J30)/K30^2+LN(X30)/Y30^2)/(1/K30^2+1/Y30^2)),"NA")))))</f>
        <v>7.6368071621379596E-2</v>
      </c>
      <c r="AM30" s="308">
        <f>IF(AND(J30=0,X30=0),"",
 IF(J30=0,Y30,
  IF(X30=0,K30,
   SQRT(1/(1/K30^2 + 1/Y30^2)))))</f>
        <v>1.1460500158765001E-2</v>
      </c>
      <c r="AN30" s="513" t="str">
        <f>"(" &amp; TEXT(
    IF(C30="Continuous", AL30 - _xlfn.NORM.S.INV(0.975)*AM30,
        IF(C30="Binary", EXP(LN(AL30) - _xlfn.NORM.S.INV(0.975)*AM30), "NA")
    ), "0.000"
) &amp; ", " &amp; TEXT(
    IF(C30="Continuous", AL30 + _xlfn.NORM.S.INV(0.975)*AM30,
        IF(C30="Binary", EXP(LN(AL30) + _xlfn.NORM.S.INV(0.975)*AM30), "NA")
    ), "0.000"
) &amp; ")"</f>
        <v>(0.054, 0.099)</v>
      </c>
      <c r="AO30" s="540">
        <f t="shared" si="39"/>
        <v>0.86863623827090208</v>
      </c>
      <c r="AP30" s="528">
        <f t="shared" si="40"/>
        <v>0.13655127824957389</v>
      </c>
      <c r="AQ30" s="540">
        <f>IF(AND(P30="NA",AD30="NA"),"NA",
 IF(P30="NA",AD30,
  IF(AD30="NA",P30,
   (P30/Q30^2 + AD30/AE30^2)/(1/Q30^2 + 1/AE30^2))))</f>
        <v>1.0734012696965573E-2</v>
      </c>
      <c r="AR30" s="308">
        <f>IF(AND(P30="NA",AD30="NA"),"",
 IF(P30="NA",AE30,
  IF(AD30="NA",Q30,
   SQRT(1/(1/Q30^2 + 1/AE30^2)))))</f>
        <v>1.1995112064864239E-2</v>
      </c>
      <c r="AS30" s="474" t="str">
        <f t="shared" si="0"/>
        <v>3.7E-01</v>
      </c>
      <c r="AT30" s="550">
        <v>0.64451610000000004</v>
      </c>
      <c r="AU30" s="475"/>
      <c r="AV30"/>
      <c r="AW30"/>
      <c r="AX30"/>
      <c r="AY30"/>
    </row>
    <row r="31" spans="1:51">
      <c r="A31" s="452"/>
      <c r="B31" s="452"/>
      <c r="C31" s="557"/>
      <c r="E31" s="441"/>
      <c r="F31" s="520"/>
      <c r="G31" s="439"/>
      <c r="H31" s="440"/>
      <c r="I31" s="441"/>
      <c r="J31" s="520"/>
      <c r="L31" s="437"/>
      <c r="N31" s="530"/>
      <c r="O31" s="490"/>
      <c r="P31" s="492"/>
      <c r="Q31" s="493"/>
      <c r="R31" s="562"/>
      <c r="S31" s="441"/>
      <c r="T31" s="520"/>
      <c r="U31" s="439"/>
      <c r="V31" s="440"/>
      <c r="W31" s="438"/>
      <c r="Z31" s="437"/>
      <c r="AD31" s="502"/>
      <c r="AE31" s="503"/>
      <c r="AF31" s="484"/>
      <c r="AG31" s="514"/>
      <c r="AH31" s="478"/>
      <c r="AI31" s="478" t="str">
        <f t="shared" si="29"/>
        <v/>
      </c>
      <c r="AJ31" s="515"/>
      <c r="AK31" s="514"/>
      <c r="AL31" s="478"/>
      <c r="AM31" s="478"/>
      <c r="AN31" s="503"/>
      <c r="AO31" s="529"/>
      <c r="AP31" s="541"/>
      <c r="AQ31" s="543" t="str">
        <f>IF(AND(P31=0,AD31=0),"",
 IF(P31=0,AD31,
  IF(AD31=0,P31,
   (P31/Q31^2 + AD31/AE31^2)/(1/Q31^2 + 1/AE31^2))))</f>
        <v/>
      </c>
      <c r="AR31" s="478" t="str">
        <f>IF(AND(P31=0,AD31=0),"",
 IF(P31=0,AE31,
  IF(AD31=0,Q31,
   SQRT(1/(1/Q31^2 + 1/AE31^2)))))</f>
        <v/>
      </c>
      <c r="AS31" s="547" t="str">
        <f t="shared" si="0"/>
        <v/>
      </c>
      <c r="AT31" s="551"/>
      <c r="AU31" s="475"/>
    </row>
    <row r="32" spans="1:51">
      <c r="A32" s="457" t="s">
        <v>574</v>
      </c>
      <c r="B32" s="458"/>
      <c r="C32" s="508"/>
      <c r="E32" s="442"/>
      <c r="F32" s="521"/>
      <c r="G32" s="442"/>
      <c r="H32" s="442"/>
      <c r="I32" s="442"/>
      <c r="J32" s="521"/>
      <c r="K32" s="442"/>
      <c r="L32" s="442"/>
      <c r="M32" s="521"/>
      <c r="N32" s="521"/>
      <c r="O32" s="442"/>
      <c r="P32" s="448"/>
      <c r="Q32" s="448"/>
      <c r="R32" s="562"/>
      <c r="S32" s="442"/>
      <c r="T32" s="521"/>
      <c r="U32" s="442"/>
      <c r="V32" s="442"/>
      <c r="W32" s="442"/>
      <c r="X32" s="521"/>
      <c r="Y32" s="442"/>
      <c r="Z32" s="442"/>
      <c r="AA32" s="521"/>
      <c r="AB32" s="536"/>
      <c r="AC32" s="442"/>
      <c r="AD32" s="446"/>
      <c r="AE32" s="308"/>
      <c r="AF32" s="484"/>
      <c r="AG32" s="11"/>
      <c r="AH32" s="308"/>
      <c r="AI32" s="308" t="str">
        <f t="shared" si="29"/>
        <v/>
      </c>
      <c r="AJ32" s="125"/>
      <c r="AK32" s="11"/>
      <c r="AL32" s="308"/>
      <c r="AM32" s="308"/>
      <c r="AN32" s="308"/>
      <c r="AO32" s="521"/>
      <c r="AP32" s="536"/>
      <c r="AQ32" s="308" t="str">
        <f>IF(AND(P32=0,AD32=0),"",
 IF(P32=0,AD32,
  IF(AD32=0,P32,
   (P32/Q32^2 + AD32/AE32^2)/(1/Q32^2 + 1/AE32^2))))</f>
        <v/>
      </c>
      <c r="AR32" s="308" t="str">
        <f>IF(AND(P32=0,AD32=0),"",
 IF(P32=0,AE32,
  IF(AD32=0,Q32,
   SQRT(1/(1/Q32^2 + 1/AE32^2)))))</f>
        <v/>
      </c>
      <c r="AS32" s="474" t="str">
        <f t="shared" si="0"/>
        <v/>
      </c>
      <c r="AU32" s="475"/>
    </row>
    <row r="33" spans="1:51">
      <c r="A33" s="452"/>
      <c r="B33" s="456" t="s">
        <v>188</v>
      </c>
      <c r="C33" s="558" t="s">
        <v>1730</v>
      </c>
      <c r="E33" s="368">
        <v>148047</v>
      </c>
      <c r="F33" s="464">
        <v>1.31371066731949</v>
      </c>
      <c r="G33" s="464">
        <v>1.4066910702043601E-2</v>
      </c>
      <c r="H33" s="435" t="str">
        <f>"(" &amp; TEXT(
    IF(C33="Continuous", F33 - _xlfn.NORM.S.INV(0.975)*G33,
        IF(C33="Binary", EXP(LN(F33) - _xlfn.NORM.S.INV(0.975)*G33), "NA")
    ), "0.000"
) &amp; ", " &amp; TEXT(
    IF(C33="Continuous", F33 + _xlfn.NORM.S.INV(0.975)*G33,
        IF(C33="Binary", EXP(LN(F33) + _xlfn.NORM.S.INV(0.975)*G33), "NA")
    ), "0.000"
) &amp; ")"</f>
        <v>(1.278, 1.350)</v>
      </c>
      <c r="I33" s="355">
        <v>39437</v>
      </c>
      <c r="J33" s="462">
        <v>1.2910031804100699</v>
      </c>
      <c r="K33" s="462">
        <v>4.7374530989918999E-2</v>
      </c>
      <c r="L33" s="435" t="str">
        <f>"(" &amp; TEXT(
    IF(C33="Continuous", J33 - _xlfn.NORM.S.INV(0.975)*K33,
        IF(C33="Binary", EXP(LN(J33) - _xlfn.NORM.S.INV(0.975)*K33), "NA")
    ), "0.000"
) &amp; ", " &amp; TEXT(
    IF(C33="Continuous", J33 + _xlfn.NORM.S.INV(0.975)*K33,
        IF(C33="Binary", EXP(LN(J33) + _xlfn.NORM.S.INV(0.975)*K33), "NA")
    ), "0.000"
) &amp; ")"</f>
        <v>(1.177, 1.417)</v>
      </c>
      <c r="M33" s="526">
        <f>IF(C33="Continuous",J33/F33,IF(C33="Binary",LN(J33)/LN(F33),""))</f>
        <v>0.93609762263680196</v>
      </c>
      <c r="N33" s="527">
        <v>0.180207134932695</v>
      </c>
      <c r="O33" s="340" t="s">
        <v>1505</v>
      </c>
      <c r="P33" s="495">
        <f>IF(C33="Continuous",F33-J33,IF(C33="Binary",LN(F33)-LN(J33)))</f>
        <v>1.7436128131896711E-2</v>
      </c>
      <c r="Q33" s="496">
        <f>SQRT(G33^2 + K33^2)</f>
        <v>4.9418864446829053E-2</v>
      </c>
      <c r="R33" s="561"/>
      <c r="S33" s="368">
        <v>1801</v>
      </c>
      <c r="T33" s="464">
        <v>0.862061750566537</v>
      </c>
      <c r="U33" s="464">
        <v>0.11688195316693401</v>
      </c>
      <c r="V33" s="435" t="str">
        <f>"(" &amp; TEXT(
    IF(C33="Continuous", T33 - _xlfn.NORM.S.INV(0.975)*U33,
        IF(C33="Binary", EXP(LN(T33) - _xlfn.NORM.S.INV(0.975)*U33), "NA")
    ), "0.000"
) &amp; ", " &amp; TEXT(
    IF(C33="Continuous", T33 + _xlfn.NORM.S.INV(0.975)*U33,
        IF(C33="Binary", EXP(LN(T33) + _xlfn.NORM.S.INV(0.975)*U33), "NA")
    ), "0.000"
) &amp; ")"</f>
        <v>(0.686, 1.084)</v>
      </c>
      <c r="W33" s="368">
        <v>1431</v>
      </c>
      <c r="X33" s="464">
        <v>0.85767267935135905</v>
      </c>
      <c r="Y33" s="464">
        <v>0.239088366624367</v>
      </c>
      <c r="Z33" s="436" t="str">
        <f>"(" &amp; TEXT(
    IF(C33="Continuous", X33 - _xlfn.NORM.S.INV(0.975)*Y33,
        IF(C33="Binary", EXP(LN(X33) - _xlfn.NORM.S.INV(0.975)*Y33), "NA")
    ), "0.000"
) &amp; ", " &amp; TEXT(
    IF(C33="Continuous", X33 + _xlfn.NORM.S.INV(0.975)*Y33,
        IF(C33="Binary", EXP(LN(X33) + _xlfn.NORM.S.INV(0.975)*Y33), "NA")
    ), "0.000"
) &amp; ")"</f>
        <v>(0.537, 1.370)</v>
      </c>
      <c r="AA33" s="526">
        <f>IF(C33="Continuous",X33/T33,IF(C33="Binary",LN(X33)/LN(T33),""))</f>
        <v>1.0343894514757477</v>
      </c>
      <c r="AB33" s="462">
        <v>1.8050366975922201</v>
      </c>
      <c r="AC33" s="340" t="s">
        <v>1567</v>
      </c>
      <c r="AD33" s="504">
        <f t="shared" ref="AD33:AD45" si="41">IF(C33="Continuous",T33-X33,IF(C33="Binary",LN(T33)-LN(X33),"NA"))</f>
        <v>5.1043703823581976E-3</v>
      </c>
      <c r="AE33" s="505">
        <f t="shared" ref="AE33:AE45" si="42">SQRT(U33^2 + Y33^2)</f>
        <v>0.26612898758163317</v>
      </c>
      <c r="AF33" s="484"/>
      <c r="AG33" s="510">
        <f t="shared" ref="AG33:AG45" si="43">IF(AND(E33="NA", S33="NA"), "NA", IF(E33="NA", S33, IF(S33="NA", E33, E33 + S33)))</f>
        <v>149848</v>
      </c>
      <c r="AH33" s="477">
        <f t="shared" ref="AH33:AH45" si="44">IF(AND(F33=0,T33=0),"", IF(F33=0,T33,
IF(T33=0,F33,EXP((LN(F33)/G33^2+LN(T33)/U33^2)/(1/G33^2+1/U33^2)))))</f>
        <v>1.3058324776050394</v>
      </c>
      <c r="AI33" s="477">
        <f t="shared" si="29"/>
        <v>1.3966128366841558E-2</v>
      </c>
      <c r="AJ33" s="511" t="str">
        <f t="shared" ref="AJ33:AJ45" si="45">"(" &amp; TEXT(
    IF(C33="Continuous", AH33 - _xlfn.NORM.S.INV(0.975)*AI33,
        IF(C33="Binary", EXP(LN(AH33) - _xlfn.NORM.S.INV(0.975)*AI33), "NA")
    ), "0.000"
) &amp; ", " &amp; TEXT(
    IF(C33="Continuous", AH33 + _xlfn.NORM.S.INV(0.975)*AI33,
        IF(C33="Binary", EXP(LN(AH33) + _xlfn.NORM.S.INV(0.975)*AI33), "NA")
    ), "0.000"
) &amp; ")"</f>
        <v>(1.271, 1.342)</v>
      </c>
      <c r="AK33" s="510">
        <f t="shared" ref="AK33:AK45" si="46">IF(AND(I33="NA", W33="NA"), "NA", IF(I33="NA", W33, IF(W33="NA", I33, I33 + W33)))</f>
        <v>40868</v>
      </c>
      <c r="AL33" s="477">
        <f t="shared" ref="AL33:AL45" si="47">IF(AND(J33=0,X33=0),"",
IF(J33=0,X33,
IF(X33=0,J33,
IF(C33="Continuous",(J33/K33^2+X33/Y33^2)/(1/K33^2+1/Y33^2),IF(C33="Binary",EXP((LN(J33)/K33^2+LN(X33)/Y33^2)/(1/K33^2+1/Y33^2)),"NA")))))</f>
        <v>1.2712108317452808</v>
      </c>
      <c r="AM33" s="477">
        <f t="shared" ref="AM33:AM45" si="48">IF(AND(J33=0,X33=0),"",
 IF(J33=0,Y33,
  IF(X33=0,K33,
   SQRT(1/(1/K33^2 + 1/Y33^2)))))</f>
        <v>4.6471039729946012E-2</v>
      </c>
      <c r="AN33" s="511" t="str">
        <f t="shared" ref="AN33:AN45" si="49">"(" &amp; TEXT(
    IF(C33="Continuous", AL33 - _xlfn.NORM.S.INV(0.975)*AM33,
        IF(C33="Binary", EXP(LN(AL33) - _xlfn.NORM.S.INV(0.975)*AM33), "NA")
    ), "0.000"
) &amp; ", " &amp; TEXT(
    IF(C33="Continuous", AL33 + _xlfn.NORM.S.INV(0.975)*AM33,
        IF(C33="Binary", EXP(LN(AL33) + _xlfn.NORM.S.INV(0.975)*AM33), "NA")
    ), "0.000"
) &amp; ")"</f>
        <v>(1.161, 1.392)</v>
      </c>
      <c r="AO33" s="537">
        <f>IF(AND(M33="NA",AA33="NA"),"",
 IF(M33="NA",AA33,
  IF(AA33="NA",M33,
   (M33/N33^2 + AA33/AB33^2)/(1/N33^2 + 1/AB33^2))))</f>
        <v>0.93706764567944667</v>
      </c>
      <c r="AP33" s="527">
        <f>IF(AND(M33="NA",AA33="NA"),"",
 IF(M33="NA",AB33,
  IF(AA33="NA",N33,
   SQRT(1/(1/N33^2 + 1/AB33^2)))))</f>
        <v>0.17931571549279879</v>
      </c>
      <c r="AQ33" s="537">
        <f>IF(AND(P33="NA",AD33="NA"),"NA",
 IF(P33="NA",AD33,
  IF(AD33="NA",P33,
   (P33/Q33^2 + AD33/AE33^2)/(1/Q33^2 + 1/AE33^2))))</f>
        <v>1.7025070310546321E-2</v>
      </c>
      <c r="AR33" s="477">
        <f>IF(AND(P33="NA",AD33="NA"),"",
 IF(P33="NA",AE33,
  IF(AD33="NA",Q33,
   SQRT(1/(1/Q33^2 + 1/AE33^2)))))</f>
        <v>4.8588237708935229E-2</v>
      </c>
      <c r="AS33" s="548" t="str">
        <f t="shared" si="0"/>
        <v>7.3E-01</v>
      </c>
      <c r="AT33" s="552">
        <v>0.876</v>
      </c>
      <c r="AU33" s="475"/>
      <c r="AV33"/>
      <c r="AW33"/>
      <c r="AX33"/>
      <c r="AY33"/>
    </row>
    <row r="34" spans="1:51">
      <c r="A34" s="452"/>
      <c r="B34" s="456" t="s">
        <v>198</v>
      </c>
      <c r="C34" s="554" t="s">
        <v>1730</v>
      </c>
      <c r="E34" s="355">
        <v>148638</v>
      </c>
      <c r="F34" s="462">
        <v>1.2615851437580901</v>
      </c>
      <c r="G34" s="462">
        <v>6.9869227270420104E-3</v>
      </c>
      <c r="H34" s="435" t="str">
        <f t="shared" ref="H34:H45" si="50">"(" &amp; TEXT(
    IF(C34="Continuous", F34 - _xlfn.NORM.S.INV(0.975)*G34,
        IF(C34="Binary", EXP(LN(F34) - _xlfn.NORM.S.INV(0.975)*G34), "NA")
    ), "0.000"
) &amp; ", " &amp; TEXT(
    IF(C34="Continuous", F34 + _xlfn.NORM.S.INV(0.975)*G34,
        IF(C34="Binary", EXP(LN(F34) + _xlfn.NORM.S.INV(0.975)*G34), "NA")
    ), "0.000"
) &amp; ")"</f>
        <v>(1.244, 1.279)</v>
      </c>
      <c r="I34" s="355">
        <v>39586</v>
      </c>
      <c r="J34" s="462">
        <v>1.2232228062824599</v>
      </c>
      <c r="K34" s="462">
        <v>2.18766917071626E-2</v>
      </c>
      <c r="L34" s="435" t="str">
        <f t="shared" ref="L34:L45" si="51">"(" &amp; TEXT(
    IF(C34="Continuous", J34 - _xlfn.NORM.S.INV(0.975)*K34,
        IF(C34="Binary", EXP(LN(J34) - _xlfn.NORM.S.INV(0.975)*K34), "NA")
    ), "0.000"
) &amp; ", " &amp; TEXT(
    IF(C34="Continuous", J34 + _xlfn.NORM.S.INV(0.975)*K34,
        IF(C34="Binary", EXP(LN(J34) + _xlfn.NORM.S.INV(0.975)*K34), "NA")
    ), "0.000"
) &amp; ")"</f>
        <v>(1.172, 1.277)</v>
      </c>
      <c r="M34" s="526">
        <f t="shared" ref="M34:M45" si="52">IF(C34="Continuous",J34/F34,IF(C34="Binary",LN(J34)/LN(F34),""))</f>
        <v>0.86710807726378036</v>
      </c>
      <c r="N34" s="528">
        <v>9.7689843545982896E-2</v>
      </c>
      <c r="O34" s="340" t="s">
        <v>1407</v>
      </c>
      <c r="P34" s="491">
        <f t="shared" ref="P34" si="53">IF(C34="Continuous",F34-J34,IF(C34="Binary",LN(F34)-LN(J34)))</f>
        <v>3.0879960653726446E-2</v>
      </c>
      <c r="Q34" s="494">
        <f>SQRT(G34^2 + K34^2)</f>
        <v>2.2965337559981414E-2</v>
      </c>
      <c r="R34" s="561"/>
      <c r="S34" s="355">
        <v>888</v>
      </c>
      <c r="T34" s="462">
        <v>1.4252531752838</v>
      </c>
      <c r="U34" s="462">
        <v>4.73284188266936E-2</v>
      </c>
      <c r="V34" s="435" t="str">
        <f t="shared" ref="V34:V39" si="54">"(" &amp; TEXT(
    IF(C34="Continuous", T34 - _xlfn.NORM.S.INV(0.975)*U34,
        IF(C34="Binary", EXP(LN(T34) - _xlfn.NORM.S.INV(0.975)*U34), "NA")
    ), "0.000"
) &amp; ", " &amp; TEXT(
    IF(C34="Continuous", T34 + _xlfn.NORM.S.INV(0.975)*U34,
        IF(C34="Binary", EXP(LN(T34) + _xlfn.NORM.S.INV(0.975)*U34), "NA")
    ), "0.000"
) &amp; ")"</f>
        <v>(1.299, 1.564)</v>
      </c>
      <c r="W34" s="355">
        <v>799</v>
      </c>
      <c r="X34" s="462">
        <v>1.4054613313176201</v>
      </c>
      <c r="Y34" s="462">
        <v>8.5870236031657998E-2</v>
      </c>
      <c r="Z34" s="435" t="str">
        <f>"(" &amp; TEXT(
    IF(C34="Continuous", X34 - _xlfn.NORM.S.INV(0.975)*Y34,
        IF(C34="Binary", EXP(LN(X34) - _xlfn.NORM.S.INV(0.975)*Y34), "NA")
    ), "0.000"
) &amp; ", " &amp; TEXT(
    IF(C34="Continuous", X34 + _xlfn.NORM.S.INV(0.975)*Y34,
        IF(C34="Binary", EXP(LN(X34) + _xlfn.NORM.S.INV(0.975)*Y34), "NA")
    ), "0.000"
) &amp; ")"</f>
        <v>(1.188, 1.663)</v>
      </c>
      <c r="AA34" s="526">
        <f>IF(C34="Continuous",X34/T34,IF(C34="Binary",LN(X34)/LN(T34),""))</f>
        <v>0.96053651095474002</v>
      </c>
      <c r="AB34" s="462">
        <v>0.274197022686828</v>
      </c>
      <c r="AC34" s="340" t="s">
        <v>1568</v>
      </c>
      <c r="AD34" s="500">
        <f t="shared" si="41"/>
        <v>1.3983866222547547E-2</v>
      </c>
      <c r="AE34" s="501">
        <f t="shared" si="42"/>
        <v>9.8049358308800683E-2</v>
      </c>
      <c r="AF34" s="484"/>
      <c r="AG34" s="512">
        <f t="shared" si="43"/>
        <v>149526</v>
      </c>
      <c r="AH34" s="308">
        <f t="shared" si="44"/>
        <v>1.2648716671215725</v>
      </c>
      <c r="AI34" s="308">
        <f t="shared" si="29"/>
        <v>6.9120100772448543E-3</v>
      </c>
      <c r="AJ34" s="513" t="str">
        <f t="shared" si="45"/>
        <v>(1.248, 1.282)</v>
      </c>
      <c r="AK34" s="512">
        <f t="shared" si="46"/>
        <v>40385</v>
      </c>
      <c r="AL34" s="308">
        <f t="shared" si="47"/>
        <v>1.2336205957406645</v>
      </c>
      <c r="AM34" s="308">
        <f t="shared" si="48"/>
        <v>2.1199529329950586E-2</v>
      </c>
      <c r="AN34" s="513" t="str">
        <f t="shared" si="49"/>
        <v>(1.183, 1.286)</v>
      </c>
      <c r="AO34" s="540">
        <f t="shared" ref="AO34" si="55">IF(AND(M34="NA",AA34="NA"),"",
 IF(M34="NA",AA34,
  IF(AA34="NA",M34,
   (M34/N34^2 + AA34/AB34^2)/(1/N34^2 + 1/AB34^2))))</f>
        <v>0.87763143813541511</v>
      </c>
      <c r="AP34" s="528">
        <f t="shared" ref="AP34" si="56">IF(AND(M34="NA",AA34="NA"),"",
 IF(M34="NA",AB34,
  IF(AA34="NA",N34,
   SQRT(1/(1/N34^2 + 1/AB34^2)))))</f>
        <v>9.2023857143109997E-2</v>
      </c>
      <c r="AQ34" s="540">
        <f>IF(AND(P34="NA",AD34="NA"),"NA",
 IF(P34="NA",AD34,
  IF(AD34="NA",P34,
   (P34/Q34^2 + AD34/AE34^2)/(1/Q34^2 + 1/AE34^2))))</f>
        <v>3.00012464616899E-2</v>
      </c>
      <c r="AR34" s="308">
        <f>IF(AND(P34="NA",AD34="NA"),"",
 IF(P34="NA",AE34,
  IF(AD34="NA",Q34,
   SQRT(1/(1/Q34^2 + 1/AE34^2)))))</f>
        <v>2.2360186010212769E-2</v>
      </c>
      <c r="AS34" s="474" t="str">
        <f t="shared" si="0"/>
        <v>1.8E-01</v>
      </c>
      <c r="AT34" s="550">
        <v>0.4226087</v>
      </c>
      <c r="AU34" s="475"/>
      <c r="AV34"/>
      <c r="AW34"/>
      <c r="AX34"/>
      <c r="AY34"/>
    </row>
    <row r="35" spans="1:51">
      <c r="A35" s="452"/>
      <c r="B35" s="456" t="s">
        <v>210</v>
      </c>
      <c r="C35" s="554" t="s">
        <v>1730</v>
      </c>
      <c r="E35" s="355">
        <v>142597</v>
      </c>
      <c r="F35" s="462">
        <v>1.5069117992896699</v>
      </c>
      <c r="G35" s="462">
        <v>5.79258570065707E-3</v>
      </c>
      <c r="H35" s="435" t="str">
        <f t="shared" si="50"/>
        <v>(1.490, 1.524)</v>
      </c>
      <c r="I35" s="355">
        <v>37916</v>
      </c>
      <c r="J35" s="462">
        <v>1.4948875697330299</v>
      </c>
      <c r="K35" s="462">
        <v>1.8450263062264102E-2</v>
      </c>
      <c r="L35" s="435" t="str">
        <f t="shared" si="51"/>
        <v>(1.442, 1.550)</v>
      </c>
      <c r="M35" s="526">
        <f t="shared" si="52"/>
        <v>0.98046299551766625</v>
      </c>
      <c r="N35" s="528">
        <v>4.7077251109096697E-2</v>
      </c>
      <c r="O35" s="340" t="s">
        <v>1408</v>
      </c>
      <c r="P35" s="491">
        <f t="shared" ref="P35:P45" si="57">IF(C35="Continuous",F35-J35,IF(C35="Binary",LN(F35)-LN(J35)))</f>
        <v>8.0113907629079106E-3</v>
      </c>
      <c r="Q35" s="494">
        <f t="shared" ref="Q35:Q45" si="58">SQRT(G35^2 + K35^2)</f>
        <v>1.9338207160080893E-2</v>
      </c>
      <c r="R35" s="561"/>
      <c r="S35" s="355">
        <v>888</v>
      </c>
      <c r="T35" s="462">
        <v>1.30162332081821</v>
      </c>
      <c r="U35" s="462">
        <v>7.9368717790166896E-2</v>
      </c>
      <c r="V35" s="435" t="str">
        <f t="shared" si="54"/>
        <v>(1.114, 1.521)</v>
      </c>
      <c r="W35" s="355">
        <v>799</v>
      </c>
      <c r="X35" s="462">
        <v>2.03308784347186</v>
      </c>
      <c r="Y35" s="462">
        <v>0.15112141455891001</v>
      </c>
      <c r="Z35" s="435" t="str">
        <f t="shared" ref="Z35:Z39" si="59">"(" &amp; TEXT(
    IF(C35="Continuous", X35 - _xlfn.NORM.S.INV(0.975)*Y35,
        IF(C35="Binary", EXP(LN(X35) - _xlfn.NORM.S.INV(0.975)*Y35), "NA")
    ), "0.000"
) &amp; ", " &amp; TEXT(
    IF(C35="Continuous", X35 + _xlfn.NORM.S.INV(0.975)*Y35,
        IF(C35="Binary", EXP(LN(X35) + _xlfn.NORM.S.INV(0.975)*Y35), "NA")
    ), "0.000"
) &amp; ")"</f>
        <v>(1.512, 2.734)</v>
      </c>
      <c r="AA35" s="526">
        <f>IF(C35="Continuous",X35/T35,IF(C35="Binary",LN(X35)/LN(T35),""))</f>
        <v>2.6916651019499298</v>
      </c>
      <c r="AB35" s="462">
        <v>0.99267574492701505</v>
      </c>
      <c r="AC35" s="340" t="s">
        <v>1569</v>
      </c>
      <c r="AD35" s="500">
        <f t="shared" si="41"/>
        <v>-0.44594354870224423</v>
      </c>
      <c r="AE35" s="501">
        <f t="shared" si="42"/>
        <v>0.17069585613582156</v>
      </c>
      <c r="AF35" s="484"/>
      <c r="AG35" s="512">
        <f t="shared" si="43"/>
        <v>143485</v>
      </c>
      <c r="AH35" s="308">
        <f t="shared" si="44"/>
        <v>1.5057429773250757</v>
      </c>
      <c r="AI35" s="308">
        <f t="shared" si="29"/>
        <v>5.777219803173291E-3</v>
      </c>
      <c r="AJ35" s="513" t="str">
        <f t="shared" si="45"/>
        <v>(1.489, 1.523)</v>
      </c>
      <c r="AK35" s="512">
        <f t="shared" si="46"/>
        <v>38715</v>
      </c>
      <c r="AL35" s="308">
        <f t="shared" si="47"/>
        <v>1.5016541434096988</v>
      </c>
      <c r="AM35" s="308">
        <f t="shared" si="48"/>
        <v>1.83142741736847E-2</v>
      </c>
      <c r="AN35" s="513" t="str">
        <f t="shared" si="49"/>
        <v>(1.449, 1.557)</v>
      </c>
      <c r="AO35" s="540">
        <f t="shared" ref="AO35:AO40" si="60">IF(AND(M35="NA",AA35="NA"),"",
 IF(M35="NA",AA35,
  IF(AA35="NA",M35,
   (M35/N35^2 + AA35/AB35^2)/(1/N35^2 + 1/AB35^2))))</f>
        <v>0.98430301126600217</v>
      </c>
      <c r="AP35" s="528">
        <f t="shared" ref="AP35:AP40" si="61">IF(AND(M35="NA",AA35="NA"),"",
 IF(M35="NA",AB35,
  IF(AA35="NA",N35,
   SQRT(1/(1/N35^2 + 1/AB35^2)))))</f>
        <v>4.7024399690465318E-2</v>
      </c>
      <c r="AQ35" s="540">
        <f>IF(AND(P35="NA",AD35="NA"),"NA",
 IF(P35="NA",AD35,
  IF(AD35="NA",P35,
   (P35/Q35^2 + AD35/AE35^2)/(1/Q35^2 + 1/AE35^2))))</f>
        <v>2.2588378126613597E-3</v>
      </c>
      <c r="AR35" s="308">
        <f>IF(AND(P35="NA",AD35="NA"),"",
 IF(P35="NA",AE35,
  IF(AD35="NA",Q35,
   SQRT(1/(1/Q35^2 + 1/AE35^2)))))</f>
        <v>1.921528886450969E-2</v>
      </c>
      <c r="AS35" s="474" t="str">
        <f t="shared" si="0"/>
        <v>9.1E-01</v>
      </c>
      <c r="AT35" s="550">
        <v>1</v>
      </c>
      <c r="AU35" s="475"/>
      <c r="AV35"/>
      <c r="AW35"/>
      <c r="AX35"/>
      <c r="AY35"/>
    </row>
    <row r="36" spans="1:51">
      <c r="A36" s="452"/>
      <c r="B36" s="456" t="s">
        <v>583</v>
      </c>
      <c r="C36" s="554" t="s">
        <v>1730</v>
      </c>
      <c r="E36" s="355">
        <v>80007</v>
      </c>
      <c r="F36" s="462">
        <v>1.2966399857750099</v>
      </c>
      <c r="G36" s="462">
        <v>1.0902535459661199E-2</v>
      </c>
      <c r="H36" s="435" t="str">
        <f t="shared" si="50"/>
        <v>(1.269, 1.325)</v>
      </c>
      <c r="I36" s="355">
        <v>23004</v>
      </c>
      <c r="J36" s="462">
        <v>1.2528260904199999</v>
      </c>
      <c r="K36" s="462">
        <v>3.8802185773888297E-2</v>
      </c>
      <c r="L36" s="435" t="str">
        <f t="shared" si="51"/>
        <v>(1.161, 1.352)</v>
      </c>
      <c r="M36" s="526">
        <f t="shared" si="52"/>
        <v>0.86767683760259273</v>
      </c>
      <c r="N36" s="528">
        <v>0.15374262584498799</v>
      </c>
      <c r="O36" s="340" t="s">
        <v>1409</v>
      </c>
      <c r="P36" s="491">
        <f t="shared" si="57"/>
        <v>3.4374420503404834E-2</v>
      </c>
      <c r="Q36" s="494">
        <f t="shared" si="58"/>
        <v>4.030477515481893E-2</v>
      </c>
      <c r="R36" s="561"/>
      <c r="S36" s="355">
        <v>2302</v>
      </c>
      <c r="T36" s="462">
        <v>1.06720591164854</v>
      </c>
      <c r="U36" s="462">
        <v>6.81503397351826E-2</v>
      </c>
      <c r="V36" s="435" t="str">
        <f t="shared" si="54"/>
        <v>(0.934, 1.220)</v>
      </c>
      <c r="W36" s="355">
        <v>2098</v>
      </c>
      <c r="X36" s="462">
        <v>0.88745360346881497</v>
      </c>
      <c r="Y36" s="462">
        <v>0.13185851037760701</v>
      </c>
      <c r="Z36" s="435" t="str">
        <f t="shared" si="59"/>
        <v>(0.685, 1.149)</v>
      </c>
      <c r="AA36" s="526">
        <f t="shared" ref="AA36:AA39" si="62">IF(C36="Continuous",X36/T36,IF(C36="Binary",LN(X36)/LN(T36),""))</f>
        <v>-1.8356674722114981</v>
      </c>
      <c r="AB36" s="462">
        <v>2.7944323852778399</v>
      </c>
      <c r="AC36" s="340" t="s">
        <v>1570</v>
      </c>
      <c r="AD36" s="500">
        <f t="shared" si="41"/>
        <v>0.18444297234539958</v>
      </c>
      <c r="AE36" s="501">
        <f t="shared" si="42"/>
        <v>0.14842889060092818</v>
      </c>
      <c r="AF36" s="484"/>
      <c r="AG36" s="512">
        <f t="shared" si="43"/>
        <v>82309</v>
      </c>
      <c r="AH36" s="308">
        <f t="shared" si="44"/>
        <v>1.2903543859737434</v>
      </c>
      <c r="AI36" s="308">
        <f t="shared" si="29"/>
        <v>1.0765643933199277E-2</v>
      </c>
      <c r="AJ36" s="513" t="str">
        <f t="shared" si="45"/>
        <v>(1.263, 1.318)</v>
      </c>
      <c r="AK36" s="512">
        <f t="shared" si="46"/>
        <v>25102</v>
      </c>
      <c r="AL36" s="308">
        <f t="shared" si="47"/>
        <v>1.2188687227584796</v>
      </c>
      <c r="AM36" s="308">
        <f t="shared" si="48"/>
        <v>3.7223928951132655E-2</v>
      </c>
      <c r="AN36" s="513" t="str">
        <f t="shared" si="49"/>
        <v>(1.133, 1.311)</v>
      </c>
      <c r="AO36" s="540">
        <f t="shared" si="60"/>
        <v>0.85951871646905142</v>
      </c>
      <c r="AP36" s="528">
        <f t="shared" si="61"/>
        <v>0.15351046920534048</v>
      </c>
      <c r="AQ36" s="540">
        <f t="shared" ref="AQ36:AQ39" si="63">IF(AND(P36="NA",AD36="NA"),"NA",
 IF(P36="NA",AD36,
  IF(AD36="NA",P36,
   (P36/Q36^2 + AD36/AE36^2)/(1/Q36^2 + 1/AE36^2))))</f>
        <v>4.4679907911828992E-2</v>
      </c>
      <c r="AR36" s="308">
        <f t="shared" ref="AR36:AR39" si="64">IF(AND(P36="NA",AD36="NA"),"",
 IF(P36="NA",AE36,
  IF(AD36="NA",Q36,
   SQRT(1/(1/Q36^2 + 1/AE36^2)))))</f>
        <v>3.8896261753725854E-2</v>
      </c>
      <c r="AS36" s="474" t="str">
        <f t="shared" si="0"/>
        <v>2.5E-01</v>
      </c>
      <c r="AT36" s="550">
        <v>0.50275860000000006</v>
      </c>
      <c r="AU36" s="475"/>
      <c r="AV36"/>
      <c r="AW36"/>
      <c r="AX36"/>
      <c r="AY36"/>
    </row>
    <row r="37" spans="1:51">
      <c r="A37" s="452"/>
      <c r="B37" s="456" t="s">
        <v>332</v>
      </c>
      <c r="C37" s="554" t="s">
        <v>1730</v>
      </c>
      <c r="E37" s="355">
        <v>148381</v>
      </c>
      <c r="F37" s="462">
        <v>1.4631971986357599</v>
      </c>
      <c r="G37" s="462">
        <v>1.0675383334687901E-2</v>
      </c>
      <c r="H37" s="435" t="str">
        <f t="shared" si="50"/>
        <v>(1.433, 1.494)</v>
      </c>
      <c r="I37" s="355">
        <v>39534</v>
      </c>
      <c r="J37" s="462">
        <v>1.3017403769290501</v>
      </c>
      <c r="K37" s="462">
        <v>3.7570846276896198E-2</v>
      </c>
      <c r="L37" s="435" t="str">
        <f t="shared" si="51"/>
        <v>(1.209, 1.401)</v>
      </c>
      <c r="M37" s="526">
        <f t="shared" si="52"/>
        <v>0.69281544896590574</v>
      </c>
      <c r="N37" s="528">
        <v>0.100603008237622</v>
      </c>
      <c r="O37" s="340" t="s">
        <v>1506</v>
      </c>
      <c r="P37" s="491">
        <f t="shared" si="57"/>
        <v>0.1169217829237213</v>
      </c>
      <c r="Q37" s="494">
        <f t="shared" si="58"/>
        <v>3.9058063179127266E-2</v>
      </c>
      <c r="R37" s="561"/>
      <c r="S37" s="355">
        <v>4347</v>
      </c>
      <c r="T37" s="462">
        <v>1.3347748824900201</v>
      </c>
      <c r="U37" s="462">
        <v>4.5593185707098097E-2</v>
      </c>
      <c r="V37" s="435" t="str">
        <f t="shared" si="54"/>
        <v>(1.221, 1.460)</v>
      </c>
      <c r="W37" s="355">
        <v>3829</v>
      </c>
      <c r="X37" s="462">
        <v>1.31331420056871</v>
      </c>
      <c r="Y37" s="462">
        <v>8.6406067851772003E-2</v>
      </c>
      <c r="Z37" s="435" t="str">
        <f t="shared" si="59"/>
        <v>(1.109, 1.556)</v>
      </c>
      <c r="AA37" s="526">
        <f t="shared" si="62"/>
        <v>0.9438681428224347</v>
      </c>
      <c r="AB37" s="462">
        <v>0.33428639367429802</v>
      </c>
      <c r="AC37" s="340" t="s">
        <v>1571</v>
      </c>
      <c r="AD37" s="500">
        <f t="shared" si="41"/>
        <v>1.6208783843997321E-2</v>
      </c>
      <c r="AE37" s="501">
        <f t="shared" si="42"/>
        <v>9.7697221785099708E-2</v>
      </c>
      <c r="AF37" s="484"/>
      <c r="AG37" s="512">
        <f t="shared" si="43"/>
        <v>152728</v>
      </c>
      <c r="AH37" s="308">
        <f t="shared" si="44"/>
        <v>1.4562279468189308</v>
      </c>
      <c r="AI37" s="308">
        <f t="shared" si="29"/>
        <v>1.039425990499738E-2</v>
      </c>
      <c r="AJ37" s="513" t="str">
        <f t="shared" si="45"/>
        <v>(1.427, 1.486)</v>
      </c>
      <c r="AK37" s="512">
        <f t="shared" si="46"/>
        <v>43363</v>
      </c>
      <c r="AL37" s="308">
        <f t="shared" si="47"/>
        <v>1.3035738159799977</v>
      </c>
      <c r="AM37" s="308">
        <f t="shared" si="48"/>
        <v>3.4454662028042655E-2</v>
      </c>
      <c r="AN37" s="513" t="str">
        <f t="shared" si="49"/>
        <v>(1.218, 1.395)</v>
      </c>
      <c r="AO37" s="540">
        <f t="shared" si="60"/>
        <v>0.71366495929659879</v>
      </c>
      <c r="AP37" s="528">
        <f t="shared" si="61"/>
        <v>9.633501890526984E-2</v>
      </c>
      <c r="AQ37" s="540">
        <f t="shared" si="63"/>
        <v>0.10304309685843216</v>
      </c>
      <c r="AR37" s="308">
        <f t="shared" si="64"/>
        <v>3.626716645292552E-2</v>
      </c>
      <c r="AS37" s="474" t="str">
        <f t="shared" si="0"/>
        <v>4.5E-03</v>
      </c>
      <c r="AT37" s="550">
        <v>2.7E-2</v>
      </c>
      <c r="AU37" s="475"/>
      <c r="AV37"/>
      <c r="AW37"/>
      <c r="AX37"/>
      <c r="AY37"/>
    </row>
    <row r="38" spans="1:51">
      <c r="A38" s="452"/>
      <c r="B38" s="456" t="s">
        <v>584</v>
      </c>
      <c r="C38" s="554" t="s">
        <v>1730</v>
      </c>
      <c r="E38" s="355">
        <v>140860</v>
      </c>
      <c r="F38" s="462">
        <v>1.5437766681631599</v>
      </c>
      <c r="G38" s="462">
        <v>8.4608817317526099E-3</v>
      </c>
      <c r="H38" s="435" t="str">
        <f t="shared" si="50"/>
        <v>(1.518, 1.570)</v>
      </c>
      <c r="I38" s="355">
        <v>37712</v>
      </c>
      <c r="J38" s="462">
        <v>1.46252246772132</v>
      </c>
      <c r="K38" s="462">
        <v>2.9772849310892701E-2</v>
      </c>
      <c r="L38" s="435" t="str">
        <f t="shared" si="51"/>
        <v>(1.380, 1.550)</v>
      </c>
      <c r="M38" s="526">
        <f t="shared" si="52"/>
        <v>0.87548324628649121</v>
      </c>
      <c r="N38" s="528">
        <v>7.0654602427471194E-2</v>
      </c>
      <c r="O38" s="340" t="s">
        <v>1410</v>
      </c>
      <c r="P38" s="491">
        <f t="shared" si="57"/>
        <v>5.40691336180808E-2</v>
      </c>
      <c r="Q38" s="494">
        <f t="shared" si="58"/>
        <v>3.09517216931115E-2</v>
      </c>
      <c r="R38" s="561"/>
      <c r="S38" s="355">
        <v>1172</v>
      </c>
      <c r="T38" s="462">
        <v>1.0956753562728501</v>
      </c>
      <c r="U38" s="462">
        <v>6.252979919328E-2</v>
      </c>
      <c r="V38" s="435" t="str">
        <f t="shared" si="54"/>
        <v>(0.969, 1.239)</v>
      </c>
      <c r="W38" s="355">
        <v>922</v>
      </c>
      <c r="X38" s="462">
        <v>0.95058422153713296</v>
      </c>
      <c r="Y38" s="462">
        <v>0.12894573108010901</v>
      </c>
      <c r="Z38" s="435" t="str">
        <f t="shared" si="59"/>
        <v>(0.738, 1.224)</v>
      </c>
      <c r="AA38" s="526">
        <f t="shared" si="62"/>
        <v>-0.55464587649573216</v>
      </c>
      <c r="AB38" s="462">
        <v>1.4613881764110499</v>
      </c>
      <c r="AC38" s="340" t="s">
        <v>1572</v>
      </c>
      <c r="AD38" s="500">
        <f t="shared" si="41"/>
        <v>0.14204945023243667</v>
      </c>
      <c r="AE38" s="501">
        <f t="shared" si="42"/>
        <v>0.14330728296543657</v>
      </c>
      <c r="AF38" s="484"/>
      <c r="AG38" s="512">
        <f t="shared" si="43"/>
        <v>142032</v>
      </c>
      <c r="AH38" s="308">
        <f t="shared" si="44"/>
        <v>1.5342893775279991</v>
      </c>
      <c r="AI38" s="308">
        <f t="shared" si="29"/>
        <v>8.3844755044821164E-3</v>
      </c>
      <c r="AJ38" s="513" t="str">
        <f t="shared" si="45"/>
        <v>(1.509, 1.560)</v>
      </c>
      <c r="AK38" s="512">
        <f t="shared" si="46"/>
        <v>38634</v>
      </c>
      <c r="AL38" s="308">
        <f t="shared" si="47"/>
        <v>1.4309751197775837</v>
      </c>
      <c r="AM38" s="308">
        <f t="shared" si="48"/>
        <v>2.9009606350528294E-2</v>
      </c>
      <c r="AN38" s="513" t="str">
        <f t="shared" si="49"/>
        <v>(1.352, 1.515)</v>
      </c>
      <c r="AO38" s="540">
        <f t="shared" si="60"/>
        <v>0.87214812976641876</v>
      </c>
      <c r="AP38" s="528">
        <f t="shared" si="61"/>
        <v>7.0572169705271248E-2</v>
      </c>
      <c r="AQ38" s="540">
        <f t="shared" si="63"/>
        <v>5.7990324361461329E-2</v>
      </c>
      <c r="AR38" s="308">
        <f t="shared" si="64"/>
        <v>3.0254117284970464E-2</v>
      </c>
      <c r="AS38" s="474" t="str">
        <f t="shared" si="0"/>
        <v>5.5E-02</v>
      </c>
      <c r="AT38" s="550">
        <v>0.2121429</v>
      </c>
      <c r="AU38" s="475"/>
      <c r="AV38"/>
      <c r="AW38"/>
      <c r="AX38"/>
      <c r="AY38"/>
    </row>
    <row r="39" spans="1:51">
      <c r="A39" s="452"/>
      <c r="B39" s="456" t="s">
        <v>379</v>
      </c>
      <c r="C39" s="554" t="s">
        <v>1730</v>
      </c>
      <c r="E39" s="355">
        <v>128749</v>
      </c>
      <c r="F39" s="462">
        <v>1.49556651873394</v>
      </c>
      <c r="G39" s="462">
        <v>7.9265454100628293E-3</v>
      </c>
      <c r="H39" s="435" t="str">
        <f t="shared" si="50"/>
        <v>(1.473, 1.519)</v>
      </c>
      <c r="I39" s="355">
        <v>34420</v>
      </c>
      <c r="J39" s="462">
        <v>1.4940238783141599</v>
      </c>
      <c r="K39" s="462">
        <v>2.5812116861624799E-2</v>
      </c>
      <c r="L39" s="435" t="str">
        <f t="shared" si="51"/>
        <v>(1.420, 1.572)</v>
      </c>
      <c r="M39" s="526">
        <f t="shared" si="52"/>
        <v>0.99743603738955577</v>
      </c>
      <c r="N39" s="528">
        <v>6.7069487802562305E-2</v>
      </c>
      <c r="O39" s="340" t="s">
        <v>1507</v>
      </c>
      <c r="P39" s="491">
        <f t="shared" si="57"/>
        <v>1.0320079688627137E-3</v>
      </c>
      <c r="Q39" s="494">
        <f t="shared" si="58"/>
        <v>2.7001768442381016E-2</v>
      </c>
      <c r="R39" s="561"/>
      <c r="S39" s="355">
        <v>1801</v>
      </c>
      <c r="T39" s="462">
        <v>1.43506700465759</v>
      </c>
      <c r="U39" s="462">
        <v>0.11151652999007</v>
      </c>
      <c r="V39" s="435" t="str">
        <f t="shared" si="54"/>
        <v>(1.153, 1.786)</v>
      </c>
      <c r="W39" s="355">
        <v>1431</v>
      </c>
      <c r="X39" s="462">
        <v>1.54388393145402</v>
      </c>
      <c r="Y39" s="462">
        <v>0.19301917059344201</v>
      </c>
      <c r="Z39" s="435" t="str">
        <f t="shared" si="59"/>
        <v>(1.058, 2.254)</v>
      </c>
      <c r="AA39" s="526">
        <f t="shared" si="62"/>
        <v>1.2023460638327659</v>
      </c>
      <c r="AB39" s="462">
        <v>0.65064270776777</v>
      </c>
      <c r="AC39" s="340" t="s">
        <v>1573</v>
      </c>
      <c r="AD39" s="500">
        <f t="shared" si="41"/>
        <v>-7.308973358546822E-2</v>
      </c>
      <c r="AE39" s="501">
        <f t="shared" si="42"/>
        <v>0.22291778008406252</v>
      </c>
      <c r="AF39" s="484"/>
      <c r="AG39" s="512">
        <f t="shared" si="43"/>
        <v>130550</v>
      </c>
      <c r="AH39" s="308">
        <f t="shared" si="44"/>
        <v>1.4952561031755311</v>
      </c>
      <c r="AI39" s="308">
        <f t="shared" si="29"/>
        <v>7.9065973106552754E-3</v>
      </c>
      <c r="AJ39" s="513" t="str">
        <f t="shared" si="45"/>
        <v>(1.472, 1.519)</v>
      </c>
      <c r="AK39" s="512">
        <f t="shared" si="46"/>
        <v>35851</v>
      </c>
      <c r="AL39" s="308">
        <f t="shared" si="47"/>
        <v>1.4948858208603877</v>
      </c>
      <c r="AM39" s="308">
        <f t="shared" si="48"/>
        <v>2.5584364838520678E-2</v>
      </c>
      <c r="AN39" s="513" t="str">
        <f t="shared" si="49"/>
        <v>(1.422, 1.572)</v>
      </c>
      <c r="AO39" s="540">
        <f t="shared" si="60"/>
        <v>0.99959049344736228</v>
      </c>
      <c r="AP39" s="528">
        <f t="shared" si="61"/>
        <v>6.6715966561801898E-2</v>
      </c>
      <c r="AQ39" s="540">
        <f t="shared" si="63"/>
        <v>-3.9794751004163214E-5</v>
      </c>
      <c r="AR39" s="308">
        <f t="shared" si="64"/>
        <v>2.6805834348374108E-2</v>
      </c>
      <c r="AS39" s="474" t="str">
        <f t="shared" si="0"/>
        <v>1.0E+00</v>
      </c>
      <c r="AT39" s="550">
        <v>1</v>
      </c>
      <c r="AU39" s="475"/>
      <c r="AV39"/>
      <c r="AW39"/>
      <c r="AX39"/>
      <c r="AY39"/>
    </row>
    <row r="40" spans="1:51">
      <c r="A40" s="452"/>
      <c r="B40" s="456" t="s">
        <v>384</v>
      </c>
      <c r="C40" s="554" t="s">
        <v>1730</v>
      </c>
      <c r="E40" s="355">
        <v>140239</v>
      </c>
      <c r="F40" s="462">
        <v>1.36839680629947</v>
      </c>
      <c r="G40" s="462">
        <v>1.8664341794534901E-2</v>
      </c>
      <c r="H40" s="435" t="str">
        <f t="shared" si="50"/>
        <v>(1.319, 1.419)</v>
      </c>
      <c r="I40" s="355">
        <v>37275</v>
      </c>
      <c r="J40" s="462">
        <v>1.53019466988103</v>
      </c>
      <c r="K40" s="462">
        <v>6.2865991494682194E-2</v>
      </c>
      <c r="L40" s="435" t="str">
        <f t="shared" si="51"/>
        <v>(1.353, 1.731)</v>
      </c>
      <c r="M40" s="526">
        <f t="shared" si="52"/>
        <v>1.3563167301142502</v>
      </c>
      <c r="N40" s="528">
        <v>0.21608050006044199</v>
      </c>
      <c r="O40" s="340" t="s">
        <v>1411</v>
      </c>
      <c r="P40" s="491">
        <f t="shared" si="57"/>
        <v>-0.1117551223023866</v>
      </c>
      <c r="Q40" s="494">
        <f t="shared" si="58"/>
        <v>6.5578125478185756E-2</v>
      </c>
      <c r="R40" s="561"/>
      <c r="S40" s="600" t="s">
        <v>776</v>
      </c>
      <c r="T40" s="601"/>
      <c r="U40" s="601"/>
      <c r="V40" s="602"/>
      <c r="W40" s="600" t="s">
        <v>776</v>
      </c>
      <c r="X40" s="601"/>
      <c r="Y40" s="601"/>
      <c r="Z40" s="602"/>
      <c r="AA40" s="601" t="s">
        <v>776</v>
      </c>
      <c r="AB40" s="601"/>
      <c r="AC40" s="601"/>
      <c r="AD40" s="579" t="s">
        <v>776</v>
      </c>
      <c r="AE40" s="580"/>
      <c r="AF40" s="484"/>
      <c r="AG40" s="512">
        <f t="shared" si="43"/>
        <v>140239</v>
      </c>
      <c r="AH40" s="308">
        <f t="shared" si="44"/>
        <v>1.36839680629947</v>
      </c>
      <c r="AI40" s="308">
        <f t="shared" si="29"/>
        <v>1.8664341794534901E-2</v>
      </c>
      <c r="AJ40" s="513" t="str">
        <f t="shared" si="45"/>
        <v>(1.319, 1.419)</v>
      </c>
      <c r="AK40" s="512">
        <f t="shared" si="46"/>
        <v>37275</v>
      </c>
      <c r="AL40" s="308">
        <f t="shared" si="47"/>
        <v>1.53019466988103</v>
      </c>
      <c r="AM40" s="308">
        <f t="shared" si="48"/>
        <v>6.2865991494682194E-2</v>
      </c>
      <c r="AN40" s="513" t="str">
        <f t="shared" si="49"/>
        <v>(1.353, 1.731)</v>
      </c>
      <c r="AO40" s="540">
        <f t="shared" si="60"/>
        <v>1.3563167301142502</v>
      </c>
      <c r="AP40" s="528">
        <f t="shared" si="61"/>
        <v>0.21608050006044199</v>
      </c>
      <c r="AQ40" s="540">
        <f>IF(AND(P40="NA",AD40="NA"),"NA",
 IF(P40="NA",AD40,
  IF(AD40="NA",P40,
   (P40/Q40^2 + AD40/AE40^2)/(1/Q40^2 + 1/AE40^2))))</f>
        <v>-0.1117551223023866</v>
      </c>
      <c r="AR40" s="308">
        <f>IF(AND(P40="NA",AD40="NA"),"",
 IF(P40="NA",AE40,
  IF(AD40="NA",Q40,
   SQRT(1/(1/Q40^2 + 1/AE40^2)))))</f>
        <v>6.5578125478185756E-2</v>
      </c>
      <c r="AS40" s="474" t="str">
        <f t="shared" si="0"/>
        <v>8.8E-02</v>
      </c>
      <c r="AT40" s="550">
        <v>0.28588239999999998</v>
      </c>
      <c r="AU40" s="475"/>
      <c r="AV40"/>
      <c r="AW40"/>
      <c r="AX40"/>
      <c r="AY40"/>
    </row>
    <row r="41" spans="1:51">
      <c r="A41" s="452"/>
      <c r="B41" s="456" t="s">
        <v>397</v>
      </c>
      <c r="C41" s="554" t="s">
        <v>1730</v>
      </c>
      <c r="E41" s="355">
        <v>141839</v>
      </c>
      <c r="F41" s="462">
        <v>1.48064214157548</v>
      </c>
      <c r="G41" s="462">
        <v>9.1931696530138298E-3</v>
      </c>
      <c r="H41" s="435" t="str">
        <f t="shared" si="50"/>
        <v>(1.454, 1.508)</v>
      </c>
      <c r="I41" s="355">
        <v>37723</v>
      </c>
      <c r="J41" s="462">
        <v>1.4599358037294401</v>
      </c>
      <c r="K41" s="462">
        <v>2.92560263896753E-2</v>
      </c>
      <c r="L41" s="435" t="str">
        <f t="shared" si="51"/>
        <v>(1.379, 1.546)</v>
      </c>
      <c r="M41" s="526">
        <f t="shared" si="52"/>
        <v>0.96411649892445772</v>
      </c>
      <c r="N41" s="528">
        <v>7.7887972329698005E-2</v>
      </c>
      <c r="O41" s="340" t="s">
        <v>1508</v>
      </c>
      <c r="P41" s="491">
        <f t="shared" si="57"/>
        <v>1.4083408415241971E-2</v>
      </c>
      <c r="Q41" s="494">
        <f t="shared" si="58"/>
        <v>3.0666422164681552E-2</v>
      </c>
      <c r="R41" s="561"/>
      <c r="S41" s="600" t="s">
        <v>776</v>
      </c>
      <c r="T41" s="601"/>
      <c r="U41" s="601"/>
      <c r="V41" s="602"/>
      <c r="W41" s="600" t="s">
        <v>776</v>
      </c>
      <c r="X41" s="601"/>
      <c r="Y41" s="601"/>
      <c r="Z41" s="602"/>
      <c r="AA41" s="601" t="s">
        <v>776</v>
      </c>
      <c r="AB41" s="601"/>
      <c r="AC41" s="601"/>
      <c r="AD41" s="579" t="s">
        <v>776</v>
      </c>
      <c r="AE41" s="580"/>
      <c r="AF41" s="484"/>
      <c r="AG41" s="512">
        <f t="shared" si="43"/>
        <v>141839</v>
      </c>
      <c r="AH41" s="308">
        <f t="shared" si="44"/>
        <v>1.48064214157548</v>
      </c>
      <c r="AI41" s="308">
        <f t="shared" si="29"/>
        <v>9.1931696530138298E-3</v>
      </c>
      <c r="AJ41" s="513" t="str">
        <f t="shared" si="45"/>
        <v>(1.454, 1.508)</v>
      </c>
      <c r="AK41" s="512">
        <f t="shared" si="46"/>
        <v>37723</v>
      </c>
      <c r="AL41" s="308">
        <f t="shared" si="47"/>
        <v>1.4599358037294401</v>
      </c>
      <c r="AM41" s="308">
        <f t="shared" si="48"/>
        <v>2.92560263896753E-2</v>
      </c>
      <c r="AN41" s="513" t="str">
        <f t="shared" si="49"/>
        <v>(1.379, 1.546)</v>
      </c>
      <c r="AO41" s="540">
        <f t="shared" ref="AO41:AO45" si="65">IF(AND(M41="NA",AA41="NA"),"",
 IF(M41="NA",AA41,
  IF(AA41="NA",M41,
   (M41/N41^2 + AA41/AB41^2)/(1/N41^2 + 1/AB41^2))))</f>
        <v>0.96411649892445772</v>
      </c>
      <c r="AP41" s="528">
        <f t="shared" ref="AP41:AP45" si="66">IF(AND(M41="NA",AA41="NA"),"",
 IF(M41="NA",AB41,
  IF(AA41="NA",N41,
   SQRT(1/(1/N41^2 + 1/AB41^2)))))</f>
        <v>7.7887972329698005E-2</v>
      </c>
      <c r="AQ41" s="540">
        <f>IF(AND(P41="NA",AD41="NA"),"NA",
 IF(P41="NA",AD41,
  IF(AD41="NA",P41,
   (P41/Q41^2 + AD41/AE41^2)/(1/Q41^2 + 1/AE41^2))))</f>
        <v>1.4083408415241971E-2</v>
      </c>
      <c r="AR41" s="308">
        <f>IF(AND(P41="NA",AD41="NA"),"",
 IF(P41="NA",AE41,
  IF(AD41="NA",Q41,
   SQRT(1/(1/Q41^2 + 1/AE41^2)))))</f>
        <v>3.0666422164681552E-2</v>
      </c>
      <c r="AS41" s="474" t="str">
        <f t="shared" si="0"/>
        <v>6.5E-01</v>
      </c>
      <c r="AT41" s="550">
        <v>0.86926829999999999</v>
      </c>
      <c r="AU41" s="475"/>
      <c r="AV41"/>
      <c r="AW41"/>
      <c r="AX41"/>
      <c r="AY41"/>
    </row>
    <row r="42" spans="1:51">
      <c r="A42" s="452"/>
      <c r="B42" s="456" t="s">
        <v>407</v>
      </c>
      <c r="C42" s="554" t="s">
        <v>1730</v>
      </c>
      <c r="E42" s="355">
        <v>54646</v>
      </c>
      <c r="F42" s="462">
        <v>1.80629221204806</v>
      </c>
      <c r="G42" s="462">
        <v>1.0278512863947801E-2</v>
      </c>
      <c r="H42" s="435" t="str">
        <f t="shared" si="50"/>
        <v>(1.770, 1.843)</v>
      </c>
      <c r="I42" s="355">
        <v>16197</v>
      </c>
      <c r="J42" s="462">
        <v>1.6418373665250801</v>
      </c>
      <c r="K42" s="462">
        <v>3.0583707243775401E-2</v>
      </c>
      <c r="L42" s="435" t="str">
        <f t="shared" si="51"/>
        <v>(1.546, 1.743)</v>
      </c>
      <c r="M42" s="526">
        <f t="shared" si="52"/>
        <v>0.83855214270313561</v>
      </c>
      <c r="N42" s="528">
        <v>5.3739709907276501E-2</v>
      </c>
      <c r="O42" s="340" t="s">
        <v>1412</v>
      </c>
      <c r="P42" s="491">
        <f t="shared" si="57"/>
        <v>9.5460282437913269E-2</v>
      </c>
      <c r="Q42" s="494">
        <f t="shared" si="58"/>
        <v>3.2264701694999447E-2</v>
      </c>
      <c r="R42" s="561"/>
      <c r="S42" s="600" t="s">
        <v>776</v>
      </c>
      <c r="T42" s="601"/>
      <c r="U42" s="601"/>
      <c r="V42" s="602"/>
      <c r="W42" s="600" t="s">
        <v>776</v>
      </c>
      <c r="X42" s="601"/>
      <c r="Y42" s="601"/>
      <c r="Z42" s="602"/>
      <c r="AA42" s="601" t="s">
        <v>776</v>
      </c>
      <c r="AB42" s="601"/>
      <c r="AC42" s="601"/>
      <c r="AD42" s="579" t="s">
        <v>776</v>
      </c>
      <c r="AE42" s="580"/>
      <c r="AF42" s="484"/>
      <c r="AG42" s="512">
        <f t="shared" si="43"/>
        <v>54646</v>
      </c>
      <c r="AH42" s="308">
        <f t="shared" si="44"/>
        <v>1.80629221204806</v>
      </c>
      <c r="AI42" s="308">
        <f t="shared" si="29"/>
        <v>1.0278512863947801E-2</v>
      </c>
      <c r="AJ42" s="513" t="str">
        <f t="shared" si="45"/>
        <v>(1.770, 1.843)</v>
      </c>
      <c r="AK42" s="512">
        <f t="shared" si="46"/>
        <v>16197</v>
      </c>
      <c r="AL42" s="308">
        <f t="shared" si="47"/>
        <v>1.6418373665250801</v>
      </c>
      <c r="AM42" s="308">
        <f t="shared" si="48"/>
        <v>3.0583707243775401E-2</v>
      </c>
      <c r="AN42" s="513" t="str">
        <f t="shared" si="49"/>
        <v>(1.546, 1.743)</v>
      </c>
      <c r="AO42" s="540">
        <f t="shared" si="65"/>
        <v>0.83855214270313561</v>
      </c>
      <c r="AP42" s="528">
        <f t="shared" si="66"/>
        <v>5.3739709907276501E-2</v>
      </c>
      <c r="AQ42" s="540">
        <f t="shared" ref="AQ42:AQ45" si="67">IF(AND(P42="NA",AD42="NA"),"NA",
 IF(P42="NA",AD42,
  IF(AD42="NA",P42,
   (P42/Q42^2 + AD42/AE42^2)/(1/Q42^2 + 1/AE42^2))))</f>
        <v>9.5460282437913269E-2</v>
      </c>
      <c r="AR42" s="308">
        <f t="shared" ref="AR42:AR45" si="68">IF(AND(P42="NA",AD42="NA"),"",
 IF(P42="NA",AE42,
  IF(AD42="NA",Q42,
   SQRT(1/(1/Q42^2 + 1/AE42^2)))))</f>
        <v>3.2264701694999447E-2</v>
      </c>
      <c r="AS42" s="474" t="str">
        <f t="shared" si="0"/>
        <v>3.1E-03</v>
      </c>
      <c r="AT42" s="550">
        <v>2.0924999999999999E-2</v>
      </c>
      <c r="AU42" s="475"/>
      <c r="AV42"/>
      <c r="AW42"/>
      <c r="AX42"/>
      <c r="AY42"/>
    </row>
    <row r="43" spans="1:51">
      <c r="A43" s="452"/>
      <c r="B43" s="456" t="s">
        <v>422</v>
      </c>
      <c r="C43" s="554" t="s">
        <v>1730</v>
      </c>
      <c r="E43" s="355">
        <v>68631</v>
      </c>
      <c r="F43" s="462">
        <v>1.3554673075218899</v>
      </c>
      <c r="G43" s="462">
        <v>1.2314099527182799E-2</v>
      </c>
      <c r="H43" s="435" t="str">
        <f t="shared" si="50"/>
        <v>(1.323, 1.389)</v>
      </c>
      <c r="I43" s="355">
        <v>16582</v>
      </c>
      <c r="J43" s="462">
        <v>1.2542605013149299</v>
      </c>
      <c r="K43" s="462">
        <v>4.9453667524194798E-2</v>
      </c>
      <c r="L43" s="435" t="str">
        <f t="shared" si="51"/>
        <v>(1.138, 1.382)</v>
      </c>
      <c r="M43" s="526">
        <f t="shared" si="52"/>
        <v>0.7448592283651746</v>
      </c>
      <c r="N43" s="528">
        <v>0.165371336168702</v>
      </c>
      <c r="O43" s="340" t="s">
        <v>1413</v>
      </c>
      <c r="P43" s="491">
        <f t="shared" si="57"/>
        <v>7.7600114343057164E-2</v>
      </c>
      <c r="Q43" s="494">
        <f t="shared" si="58"/>
        <v>5.0963734937295981E-2</v>
      </c>
      <c r="R43" s="561"/>
      <c r="S43" s="600" t="s">
        <v>776</v>
      </c>
      <c r="T43" s="601"/>
      <c r="U43" s="601"/>
      <c r="V43" s="602"/>
      <c r="W43" s="600" t="s">
        <v>776</v>
      </c>
      <c r="X43" s="601"/>
      <c r="Y43" s="601"/>
      <c r="Z43" s="602"/>
      <c r="AA43" s="600" t="s">
        <v>776</v>
      </c>
      <c r="AB43" s="601"/>
      <c r="AC43" s="601"/>
      <c r="AD43" s="579" t="s">
        <v>776</v>
      </c>
      <c r="AE43" s="580"/>
      <c r="AF43" s="484"/>
      <c r="AG43" s="512">
        <f t="shared" si="43"/>
        <v>68631</v>
      </c>
      <c r="AH43" s="308">
        <f t="shared" si="44"/>
        <v>1.3554673075218899</v>
      </c>
      <c r="AI43" s="308">
        <f t="shared" si="29"/>
        <v>1.2314099527182799E-2</v>
      </c>
      <c r="AJ43" s="513" t="str">
        <f t="shared" si="45"/>
        <v>(1.323, 1.389)</v>
      </c>
      <c r="AK43" s="512">
        <f t="shared" si="46"/>
        <v>16582</v>
      </c>
      <c r="AL43" s="308">
        <f t="shared" si="47"/>
        <v>1.2542605013149299</v>
      </c>
      <c r="AM43" s="308">
        <f t="shared" si="48"/>
        <v>4.9453667524194798E-2</v>
      </c>
      <c r="AN43" s="513" t="str">
        <f t="shared" si="49"/>
        <v>(1.138, 1.382)</v>
      </c>
      <c r="AO43" s="540">
        <f t="shared" si="65"/>
        <v>0.7448592283651746</v>
      </c>
      <c r="AP43" s="528">
        <f t="shared" si="66"/>
        <v>0.165371336168702</v>
      </c>
      <c r="AQ43" s="540">
        <f t="shared" si="67"/>
        <v>7.7600114343057164E-2</v>
      </c>
      <c r="AR43" s="308">
        <f t="shared" si="68"/>
        <v>5.0963734937295981E-2</v>
      </c>
      <c r="AS43" s="474" t="str">
        <f t="shared" si="0"/>
        <v>1.3E-01</v>
      </c>
      <c r="AT43" s="550">
        <v>0.35099999999999998</v>
      </c>
      <c r="AU43" s="475"/>
      <c r="AV43"/>
      <c r="AW43"/>
      <c r="AX43"/>
      <c r="AY43"/>
    </row>
    <row r="44" spans="1:51">
      <c r="A44" s="452"/>
      <c r="B44" s="456" t="s">
        <v>449</v>
      </c>
      <c r="C44" s="553" t="s">
        <v>1729</v>
      </c>
      <c r="E44" s="355">
        <v>148062</v>
      </c>
      <c r="F44" s="462">
        <v>0.209869983354949</v>
      </c>
      <c r="G44" s="462">
        <v>2.5495436988466399E-3</v>
      </c>
      <c r="H44" s="435" t="str">
        <f t="shared" si="50"/>
        <v>(0.205, 0.215)</v>
      </c>
      <c r="I44" s="355">
        <v>39462</v>
      </c>
      <c r="J44" s="462">
        <v>0.16548913463155099</v>
      </c>
      <c r="K44" s="462">
        <v>8.4841474138832602E-3</v>
      </c>
      <c r="L44" s="435" t="str">
        <f t="shared" si="51"/>
        <v>(0.149, 0.182)</v>
      </c>
      <c r="M44" s="526">
        <f t="shared" si="52"/>
        <v>0.78853169941726475</v>
      </c>
      <c r="N44" s="528">
        <v>4.1545175831811602E-2</v>
      </c>
      <c r="O44" s="340" t="s">
        <v>1393</v>
      </c>
      <c r="P44" s="491">
        <f t="shared" si="57"/>
        <v>4.4380848723398009E-2</v>
      </c>
      <c r="Q44" s="494">
        <f t="shared" si="58"/>
        <v>8.8589463489080131E-3</v>
      </c>
      <c r="R44" s="561"/>
      <c r="S44" s="355">
        <v>4317</v>
      </c>
      <c r="T44" s="462">
        <v>0.17093578230569001</v>
      </c>
      <c r="U44" s="462">
        <v>1.50677131793246E-2</v>
      </c>
      <c r="V44" s="435" t="str">
        <f t="shared" ref="V44:V45" si="69">"(" &amp; TEXT(
    IF(C44="Continuous", T44 - _xlfn.NORM.S.INV(0.975)*U44,
        IF(C44="Binary", EXP(LN(T44) - _xlfn.NORM.S.INV(0.975)*U44), "NA")
    ), "0.000"
) &amp; ", " &amp; TEXT(
    IF(C44="Continuous", T44 + _xlfn.NORM.S.INV(0.975)*U44,
        IF(C44="Binary", EXP(LN(T44) + _xlfn.NORM.S.INV(0.975)*U44), "NA")
    ), "0.000"
) &amp; ")"</f>
        <v>(0.141, 0.200)</v>
      </c>
      <c r="W44" s="355">
        <v>3812</v>
      </c>
      <c r="X44" s="462">
        <v>0.180779209098407</v>
      </c>
      <c r="Y44" s="462">
        <v>2.82707616518274E-2</v>
      </c>
      <c r="Z44" s="435" t="str">
        <f t="shared" ref="Z44:Z45" si="70">"(" &amp; TEXT(
    IF(C44="Continuous", X44 - _xlfn.NORM.S.INV(0.975)*Y44,
        IF(C44="Binary", EXP(LN(X44) - _xlfn.NORM.S.INV(0.975)*Y44), "NA")
    ), "0.000"
) &amp; ", " &amp; TEXT(
    IF(C44="Continuous", X44 + _xlfn.NORM.S.INV(0.975)*Y44,
        IF(C44="Binary", EXP(LN(X44) + _xlfn.NORM.S.INV(0.975)*Y44), "NA")
    ), "0.000"
) &amp; ")"</f>
        <v>(0.125, 0.236)</v>
      </c>
      <c r="AA44" s="526">
        <f t="shared" ref="AA44:AA45" si="71">IF(C44="Continuous",X44/T44,IF(C44="Binary",LN(X44)/LN(T44),""))</f>
        <v>1.0575855251600492</v>
      </c>
      <c r="AB44" s="462">
        <v>0.18985272323703301</v>
      </c>
      <c r="AC44" s="340" t="s">
        <v>1574</v>
      </c>
      <c r="AD44" s="500">
        <f t="shared" si="41"/>
        <v>-9.8434267927169916E-3</v>
      </c>
      <c r="AE44" s="501">
        <f t="shared" si="42"/>
        <v>3.2035479469313816E-2</v>
      </c>
      <c r="AF44" s="484"/>
      <c r="AG44" s="512">
        <f t="shared" si="43"/>
        <v>152379</v>
      </c>
      <c r="AH44" s="308">
        <f t="shared" si="44"/>
        <v>0.20867473155183947</v>
      </c>
      <c r="AI44" s="308">
        <f t="shared" si="29"/>
        <v>2.5138117004501136E-3</v>
      </c>
      <c r="AJ44" s="513" t="str">
        <f t="shared" si="45"/>
        <v>(0.204, 0.214)</v>
      </c>
      <c r="AK44" s="512">
        <f t="shared" si="46"/>
        <v>43274</v>
      </c>
      <c r="AL44" s="308">
        <f t="shared" si="47"/>
        <v>0.16675241518217052</v>
      </c>
      <c r="AM44" s="308">
        <f t="shared" si="48"/>
        <v>8.1261084441167988E-3</v>
      </c>
      <c r="AN44" s="513" t="str">
        <f t="shared" si="49"/>
        <v>(0.151, 0.183)</v>
      </c>
      <c r="AO44" s="540">
        <f t="shared" si="65"/>
        <v>0.80082681797907052</v>
      </c>
      <c r="AP44" s="528">
        <f t="shared" si="66"/>
        <v>4.0584818270001786E-2</v>
      </c>
      <c r="AQ44" s="540">
        <f t="shared" si="67"/>
        <v>4.0528791228154566E-2</v>
      </c>
      <c r="AR44" s="308">
        <f t="shared" si="68"/>
        <v>8.5384832275611777E-3</v>
      </c>
      <c r="AS44" s="474" t="str">
        <f t="shared" si="0"/>
        <v>2.1E-06</v>
      </c>
      <c r="AT44" s="550">
        <v>2.268E-5</v>
      </c>
      <c r="AU44" s="475"/>
      <c r="AV44"/>
      <c r="AW44"/>
      <c r="AX44"/>
      <c r="AY44"/>
    </row>
    <row r="45" spans="1:51">
      <c r="A45" s="452"/>
      <c r="B45" s="456" t="s">
        <v>454</v>
      </c>
      <c r="C45" s="554" t="s">
        <v>1730</v>
      </c>
      <c r="E45" s="355">
        <v>148312</v>
      </c>
      <c r="F45" s="462">
        <v>1.91117480792711</v>
      </c>
      <c r="G45" s="462">
        <v>9.9067089999008793E-3</v>
      </c>
      <c r="H45" s="435" t="str">
        <f t="shared" si="50"/>
        <v>(1.874, 1.949)</v>
      </c>
      <c r="I45" s="355">
        <v>39502</v>
      </c>
      <c r="J45" s="462">
        <v>1.86148037360208</v>
      </c>
      <c r="K45" s="462">
        <v>3.4325060004144099E-2</v>
      </c>
      <c r="L45" s="435" t="str">
        <f t="shared" si="51"/>
        <v>(1.740, 1.991)</v>
      </c>
      <c r="M45" s="526">
        <f t="shared" si="52"/>
        <v>0.95932480000819342</v>
      </c>
      <c r="N45" s="528">
        <v>5.4987565460072003E-2</v>
      </c>
      <c r="O45" s="340" t="s">
        <v>1509</v>
      </c>
      <c r="P45" s="491">
        <f t="shared" si="57"/>
        <v>2.634606470617129E-2</v>
      </c>
      <c r="Q45" s="494">
        <f t="shared" si="58"/>
        <v>3.5726077695386743E-2</v>
      </c>
      <c r="R45" s="561"/>
      <c r="S45" s="355">
        <v>3980</v>
      </c>
      <c r="T45" s="462">
        <v>1.86814052840238</v>
      </c>
      <c r="U45" s="462">
        <v>4.80267179085117E-2</v>
      </c>
      <c r="V45" s="435" t="str">
        <f t="shared" si="69"/>
        <v>(1.700, 2.053)</v>
      </c>
      <c r="W45" s="355">
        <v>3561</v>
      </c>
      <c r="X45" s="462">
        <v>2.3007293191449198</v>
      </c>
      <c r="Y45" s="462">
        <v>9.3941951074061003E-2</v>
      </c>
      <c r="Z45" s="435" t="str">
        <f t="shared" si="70"/>
        <v>(1.914, 2.766)</v>
      </c>
      <c r="AA45" s="526">
        <f t="shared" si="71"/>
        <v>1.3332822559726383</v>
      </c>
      <c r="AB45" s="462">
        <v>0.181919870596949</v>
      </c>
      <c r="AC45" s="340" t="s">
        <v>1575</v>
      </c>
      <c r="AD45" s="500">
        <f t="shared" si="41"/>
        <v>-0.20828260163689216</v>
      </c>
      <c r="AE45" s="501">
        <f t="shared" si="42"/>
        <v>0.10550666237098504</v>
      </c>
      <c r="AF45" s="484"/>
      <c r="AG45" s="512">
        <f t="shared" si="43"/>
        <v>152292</v>
      </c>
      <c r="AH45" s="308">
        <f t="shared" si="44"/>
        <v>1.9093992079322699</v>
      </c>
      <c r="AI45" s="308">
        <f t="shared" si="29"/>
        <v>9.7024428640184197E-3</v>
      </c>
      <c r="AJ45" s="513" t="str">
        <f t="shared" si="45"/>
        <v>(1.873, 1.946)</v>
      </c>
      <c r="AK45" s="512">
        <f t="shared" si="46"/>
        <v>43063</v>
      </c>
      <c r="AL45" s="308">
        <f t="shared" si="47"/>
        <v>1.9085135498975137</v>
      </c>
      <c r="AM45" s="308">
        <f t="shared" si="48"/>
        <v>3.2240311998119581E-2</v>
      </c>
      <c r="AN45" s="513" t="str">
        <f t="shared" si="49"/>
        <v>(1.792, 2.033)</v>
      </c>
      <c r="AO45" s="540">
        <f t="shared" si="65"/>
        <v>0.99063038440726536</v>
      </c>
      <c r="AP45" s="528">
        <f t="shared" si="66"/>
        <v>5.263564483691411E-2</v>
      </c>
      <c r="AQ45" s="540">
        <f t="shared" si="67"/>
        <v>2.2109332376262529E-3</v>
      </c>
      <c r="AR45" s="308">
        <f t="shared" si="68"/>
        <v>3.3838739963531463E-2</v>
      </c>
      <c r="AS45" s="474" t="str">
        <f t="shared" si="0"/>
        <v>9.5E-01</v>
      </c>
      <c r="AT45" s="550">
        <v>1</v>
      </c>
      <c r="AU45" s="475"/>
      <c r="AV45"/>
      <c r="AW45"/>
      <c r="AX45"/>
      <c r="AY45"/>
    </row>
    <row r="46" spans="1:51">
      <c r="A46" s="452"/>
      <c r="B46" s="456"/>
      <c r="C46" s="555"/>
      <c r="E46" s="441"/>
      <c r="F46" s="520"/>
      <c r="G46" s="439"/>
      <c r="H46" s="440"/>
      <c r="I46" s="441"/>
      <c r="J46" s="520"/>
      <c r="L46" s="437"/>
      <c r="N46" s="530"/>
      <c r="P46" s="492"/>
      <c r="Q46" s="493"/>
      <c r="R46" s="562"/>
      <c r="S46" s="441"/>
      <c r="T46" s="520"/>
      <c r="U46" s="439"/>
      <c r="V46" s="440"/>
      <c r="W46" s="438"/>
      <c r="Z46" s="437"/>
      <c r="AD46" s="502"/>
      <c r="AE46" s="503"/>
      <c r="AF46" s="484"/>
      <c r="AG46" s="514"/>
      <c r="AH46" s="478"/>
      <c r="AI46" s="478" t="str">
        <f t="shared" si="29"/>
        <v/>
      </c>
      <c r="AJ46" s="515"/>
      <c r="AK46" s="514"/>
      <c r="AL46" s="478"/>
      <c r="AM46" s="478"/>
      <c r="AN46" s="503"/>
      <c r="AO46" s="529"/>
      <c r="AP46" s="541"/>
      <c r="AQ46" s="543" t="str">
        <f>IF(AND(P46=0,AD46=0),"",
 IF(P46=0,AD46,
  IF(AD46=0,P46,
   (P46/Q46^2 + AD46/AE46^2)/(1/Q46^2 + 1/AE46^2))))</f>
        <v/>
      </c>
      <c r="AR46" s="478" t="str">
        <f>IF(AND(P46=0,AD46=0),"",
 IF(P46=0,AE46,
  IF(AD46=0,Q46,
   SQRT(1/(1/Q46^2 + 1/AE46^2)))))</f>
        <v/>
      </c>
      <c r="AS46" s="547" t="str">
        <f t="shared" si="0"/>
        <v/>
      </c>
      <c r="AT46" s="551"/>
      <c r="AU46" s="475"/>
    </row>
    <row r="47" spans="1:51">
      <c r="A47" s="457" t="s">
        <v>585</v>
      </c>
      <c r="B47" s="458"/>
      <c r="C47" s="508"/>
      <c r="E47" s="442"/>
      <c r="F47" s="521"/>
      <c r="G47" s="442"/>
      <c r="H47" s="442"/>
      <c r="I47" s="442"/>
      <c r="J47" s="521"/>
      <c r="K47" s="442"/>
      <c r="L47" s="442"/>
      <c r="M47" s="521"/>
      <c r="N47" s="521"/>
      <c r="O47" s="442"/>
      <c r="P47" s="448"/>
      <c r="Q47" s="448"/>
      <c r="R47" s="562"/>
      <c r="S47" s="439"/>
      <c r="T47" s="520"/>
      <c r="W47" s="442"/>
      <c r="X47" s="521"/>
      <c r="Y47" s="442"/>
      <c r="Z47" s="442"/>
      <c r="AA47" s="521"/>
      <c r="AB47" s="536"/>
      <c r="AC47" s="442"/>
      <c r="AD47" s="446"/>
      <c r="AE47" s="308"/>
      <c r="AF47" s="484"/>
      <c r="AG47" s="11"/>
      <c r="AH47" s="308"/>
      <c r="AI47" s="308" t="str">
        <f t="shared" si="29"/>
        <v/>
      </c>
      <c r="AJ47" s="125"/>
      <c r="AK47" s="11"/>
      <c r="AL47" s="308"/>
      <c r="AM47" s="308"/>
      <c r="AN47" s="308"/>
      <c r="AO47" s="521"/>
      <c r="AP47" s="536"/>
      <c r="AQ47" s="308" t="str">
        <f>IF(AND(P47=0,AD47=0),"",
 IF(P47=0,AD47,
  IF(AD47=0,P47,
   (P47/Q47^2 + AD47/AE47^2)/(1/Q47^2 + 1/AE47^2))))</f>
        <v/>
      </c>
      <c r="AR47" s="308" t="str">
        <f>IF(AND(P47=0,AD47=0),"",
 IF(P47=0,AE47,
  IF(AD47=0,Q47,
   SQRT(1/(1/Q47^2 + 1/AE47^2)))))</f>
        <v/>
      </c>
      <c r="AS47" s="474" t="str">
        <f t="shared" si="0"/>
        <v/>
      </c>
      <c r="AU47" s="475"/>
    </row>
    <row r="48" spans="1:51">
      <c r="A48" s="452"/>
      <c r="B48" s="456" t="s">
        <v>467</v>
      </c>
      <c r="C48" s="556" t="s">
        <v>776</v>
      </c>
      <c r="E48" s="606" t="s">
        <v>776</v>
      </c>
      <c r="F48" s="605"/>
      <c r="G48" s="605"/>
      <c r="H48" s="607"/>
      <c r="I48" s="606" t="s">
        <v>776</v>
      </c>
      <c r="J48" s="605"/>
      <c r="K48" s="601"/>
      <c r="L48" s="602"/>
      <c r="M48" s="606" t="s">
        <v>776</v>
      </c>
      <c r="N48" s="605"/>
      <c r="O48" s="607"/>
      <c r="P48" s="584" t="s">
        <v>776</v>
      </c>
      <c r="Q48" s="586"/>
      <c r="R48" s="561"/>
      <c r="S48" s="606" t="s">
        <v>776</v>
      </c>
      <c r="T48" s="605"/>
      <c r="U48" s="605"/>
      <c r="V48" s="607"/>
      <c r="W48" s="606" t="s">
        <v>776</v>
      </c>
      <c r="X48" s="605"/>
      <c r="Y48" s="605"/>
      <c r="Z48" s="607"/>
      <c r="AA48" s="605" t="s">
        <v>776</v>
      </c>
      <c r="AB48" s="605"/>
      <c r="AC48" s="605"/>
      <c r="AD48" s="584" t="s">
        <v>776</v>
      </c>
      <c r="AE48" s="586"/>
      <c r="AF48" s="484"/>
      <c r="AG48" s="593" t="str">
        <f t="shared" ref="AG48:AG61" si="72">IF(AND(E48="NA", S48="NA"), "NA", IF(E48="NA", S48, IF(S48="NA", E48, E48 + S48)))</f>
        <v>NA</v>
      </c>
      <c r="AH48" s="594"/>
      <c r="AI48" s="594"/>
      <c r="AJ48" s="595"/>
      <c r="AK48" s="593" t="str">
        <f t="shared" ref="AK48:AK61" si="73">IF(AND(I48="NA", W48="NA"), "NA", IF(I48="NA", W48, IF(W48="NA", I48, I48 + W48)))</f>
        <v>NA</v>
      </c>
      <c r="AL48" s="594"/>
      <c r="AM48" s="594"/>
      <c r="AN48" s="595"/>
      <c r="AO48" s="584" t="s">
        <v>776</v>
      </c>
      <c r="AP48" s="586"/>
      <c r="AQ48" s="584" t="s">
        <v>776</v>
      </c>
      <c r="AR48" s="585"/>
      <c r="AS48" s="585"/>
      <c r="AT48" s="586"/>
      <c r="AU48" s="475"/>
    </row>
    <row r="49" spans="1:51">
      <c r="A49" s="452"/>
      <c r="B49" s="456" t="s">
        <v>473</v>
      </c>
      <c r="C49" s="553" t="s">
        <v>1729</v>
      </c>
      <c r="E49" s="600" t="s">
        <v>776</v>
      </c>
      <c r="F49" s="601"/>
      <c r="G49" s="601"/>
      <c r="H49" s="602"/>
      <c r="I49" s="600" t="s">
        <v>776</v>
      </c>
      <c r="J49" s="601"/>
      <c r="K49" s="601"/>
      <c r="L49" s="602"/>
      <c r="M49" s="600" t="s">
        <v>776</v>
      </c>
      <c r="N49" s="601"/>
      <c r="O49" s="602"/>
      <c r="P49" s="579" t="s">
        <v>776</v>
      </c>
      <c r="Q49" s="580"/>
      <c r="R49" s="561"/>
      <c r="S49" s="355">
        <v>4347</v>
      </c>
      <c r="T49" s="462">
        <v>0.120069247176496</v>
      </c>
      <c r="U49" s="462">
        <v>1.51247762484484E-2</v>
      </c>
      <c r="V49" s="435" t="str">
        <f t="shared" ref="V49:V51" si="74">"(" &amp; TEXT(
    IF(C49="Continuous", T49 - _xlfn.NORM.S.INV(0.975)*U49,
        IF(C49="Binary", EXP(LN(T49) - _xlfn.NORM.S.INV(0.975)*U49), "NA")
    ), "0.000"
) &amp; ", " &amp; TEXT(
    IF(C49="Continuous", T49 + _xlfn.NORM.S.INV(0.975)*U49,
        IF(C49="Binary", EXP(LN(T49) + _xlfn.NORM.S.INV(0.975)*U49), "NA")
    ), "0.000"
) &amp; ")"</f>
        <v>(0.090, 0.150)</v>
      </c>
      <c r="W49" s="355">
        <v>3826</v>
      </c>
      <c r="X49" s="462">
        <v>0.161014584720683</v>
      </c>
      <c r="Y49" s="462">
        <v>2.84605256734504E-2</v>
      </c>
      <c r="Z49" s="435" t="str">
        <f t="shared" ref="Z49" si="75">"(" &amp; TEXT(
    IF(C49="Continuous", X49 - _xlfn.NORM.S.INV(0.975)*Y49,
        IF(C49="Binary", EXP(LN(X49) - _xlfn.NORM.S.INV(0.975)*Y49), "NA")
    ), "0.000"
) &amp; ", " &amp; TEXT(
    IF(C49="Continuous", X49 + _xlfn.NORM.S.INV(0.975)*Y49,
        IF(C49="Binary", EXP(LN(X49) + _xlfn.NORM.S.INV(0.975)*Y49), "NA")
    ), "0.000"
) &amp; ")"</f>
        <v>(0.105, 0.217)</v>
      </c>
      <c r="AA49" s="526">
        <f t="shared" ref="AA49" si="76">IF(C49="Continuous",X49/T49,IF(C49="Binary",LN(X49)/LN(T49),""))</f>
        <v>1.3410143605214691</v>
      </c>
      <c r="AB49" s="462">
        <v>0.29106779407087002</v>
      </c>
      <c r="AC49" s="340" t="s">
        <v>1576</v>
      </c>
      <c r="AD49" s="500">
        <f t="shared" ref="AD49:AD61" si="77">IF(C49="Continuous",T49-X49,IF(C49="Binary",LN(T49)-LN(X49),"NA"))</f>
        <v>-4.0945337544186999E-2</v>
      </c>
      <c r="AE49" s="501">
        <f>SQRT(U49^2 + Y49^2)</f>
        <v>3.2229805742119484E-2</v>
      </c>
      <c r="AF49" s="484"/>
      <c r="AG49" s="512">
        <f t="shared" si="72"/>
        <v>4347</v>
      </c>
      <c r="AH49" s="308">
        <f>IF(AND(F49=0,T49=0),"", IF(F49=0,T49,
IF(T49=0,F49,EXP((LN(F49)/G49^2+LN(T49)/U49^2)/(1/G49^2+1/U49^2)))))</f>
        <v>0.120069247176496</v>
      </c>
      <c r="AI49" s="308">
        <f>IF(AND(F49=0,T49=0),"",
 IF(F49=0,U49,
  IF(T49=0,G49,
   SQRT(1/(1/G49^2 + 1/U49^2)))))</f>
        <v>1.51247762484484E-2</v>
      </c>
      <c r="AJ49" s="513" t="str">
        <f>"(" &amp; TEXT(
    IF(C49="Continuous", AH49 - _xlfn.NORM.S.INV(0.975)*AI49,
        IF(C49="Binary", EXP(LN(AH49) - _xlfn.NORM.S.INV(0.975)*AI49), "NA")
    ), "0.000"
) &amp; ", " &amp; TEXT(
    IF(C49="Continuous", AH49 + _xlfn.NORM.S.INV(0.975)*AI49,
        IF(C49="Binary", EXP(LN(AH49) + _xlfn.NORM.S.INV(0.975)*AI49), "NA")
    ), "0.000"
) &amp; ")"</f>
        <v>(0.090, 0.150)</v>
      </c>
      <c r="AK49" s="512">
        <f t="shared" si="73"/>
        <v>3826</v>
      </c>
      <c r="AL49" s="308">
        <f>IF(AND(J49=0,X49=0),"",
IF(J49=0,X49,
IF(X49=0,J49,
IF(C49="Continuous",(J49/K49^2+X49/Y49^2)/(1/K49^2+1/Y49^2),IF(C49="Binary",EXP((LN(J49)/K49^2+LN(X49)/Y49^2)/(1/K49^2+1/Y49^2)),"NA")))))</f>
        <v>0.161014584720683</v>
      </c>
      <c r="AM49" s="308">
        <f>IF(AND(J49=0,X49=0),"",
 IF(J49=0,Y49,
  IF(X49=0,K49,
   SQRT(1/(1/K49^2 + 1/Y49^2)))))</f>
        <v>2.84605256734504E-2</v>
      </c>
      <c r="AN49" s="513" t="str">
        <f>"(" &amp; TEXT(
    IF(C49="Continuous", AL49 - _xlfn.NORM.S.INV(0.975)*AM49,
        IF(C49="Binary", EXP(LN(AL49) - _xlfn.NORM.S.INV(0.975)*AM49), "NA")
    ), "0.000"
) &amp; ", " &amp; TEXT(
    IF(C49="Continuous", AL49 + _xlfn.NORM.S.INV(0.975)*AM49,
        IF(C49="Binary", EXP(LN(AL49) + _xlfn.NORM.S.INV(0.975)*AM49), "NA")
    ), "0.000"
) &amp; ")"</f>
        <v>(0.105, 0.217)</v>
      </c>
      <c r="AO49" s="540">
        <f t="shared" ref="AO49" si="78">IF(AND(M49="NA",AA49="NA"),"",
 IF(M49="NA",AA49,
  IF(AA49="NA",M49,
   (M49/N49^2 + AA49/AB49^2)/(1/N49^2 + 1/AB49^2))))</f>
        <v>1.3410143605214691</v>
      </c>
      <c r="AP49" s="528">
        <f t="shared" ref="AP49" si="79">IF(AND(M49="NA",AA49="NA"),"",
 IF(M49="NA",AB49,
  IF(AA49="NA",N49,
   SQRT(1/(1/N49^2 + 1/AB49^2)))))</f>
        <v>0.29106779407087002</v>
      </c>
      <c r="AQ49" s="540">
        <f>IF(AND(P49="NA",AD49="NA"),"NA",
 IF(P49="NA",AD49,
  IF(AD49="NA",P49,
   (P49/Q49^2 + AD49/AE49^2)/(1/Q49^2 + 1/AE49^2))))</f>
        <v>-4.0945337544186999E-2</v>
      </c>
      <c r="AR49" s="308">
        <f>IF(AND(P49="NA",AD49="NA"),"",
 IF(P49="NA",AE49,
  IF(AD49="NA",Q49,
   SQRT(1/(1/Q49^2 + 1/AE49^2)))))</f>
        <v>3.2229805742119484E-2</v>
      </c>
      <c r="AS49" s="474" t="str">
        <f t="shared" si="0"/>
        <v>2.0E-01</v>
      </c>
      <c r="AT49" s="550">
        <v>0.45</v>
      </c>
      <c r="AU49" s="475"/>
      <c r="AV49"/>
      <c r="AW49"/>
      <c r="AX49"/>
      <c r="AY49"/>
    </row>
    <row r="50" spans="1:51">
      <c r="A50" s="452"/>
      <c r="B50" s="456" t="s">
        <v>478</v>
      </c>
      <c r="C50" s="553" t="s">
        <v>776</v>
      </c>
      <c r="E50" s="600" t="s">
        <v>776</v>
      </c>
      <c r="F50" s="601"/>
      <c r="G50" s="601"/>
      <c r="H50" s="602"/>
      <c r="I50" s="600" t="s">
        <v>776</v>
      </c>
      <c r="J50" s="601"/>
      <c r="K50" s="601"/>
      <c r="L50" s="602"/>
      <c r="M50" s="600" t="s">
        <v>776</v>
      </c>
      <c r="N50" s="601"/>
      <c r="O50" s="602"/>
      <c r="P50" s="579" t="s">
        <v>776</v>
      </c>
      <c r="Q50" s="580"/>
      <c r="R50" s="561"/>
      <c r="S50" s="600" t="s">
        <v>776</v>
      </c>
      <c r="T50" s="601"/>
      <c r="U50" s="601"/>
      <c r="V50" s="602"/>
      <c r="W50" s="600" t="s">
        <v>776</v>
      </c>
      <c r="X50" s="601"/>
      <c r="Y50" s="601"/>
      <c r="Z50" s="602"/>
      <c r="AA50" s="601" t="s">
        <v>776</v>
      </c>
      <c r="AB50" s="601"/>
      <c r="AC50" s="601"/>
      <c r="AD50" s="579" t="s">
        <v>776</v>
      </c>
      <c r="AE50" s="580"/>
      <c r="AF50" s="484"/>
      <c r="AG50" s="512" t="str">
        <f t="shared" si="72"/>
        <v>NA</v>
      </c>
      <c r="AH50" s="308" t="str">
        <f>IF(AND(F50=0,T50=0),"", IF(F50=0,T50,
IF(T50=0,F50,EXP((LN(F50)/G50^2+LN(T50)/U50^2)/(1/G50^2+1/U50^2)))))</f>
        <v/>
      </c>
      <c r="AI50" s="308" t="str">
        <f>IF(AND(F50=0,T50=0),"",
 IF(F50=0,U50,
  IF(T50=0,G50,
   SQRT(1/(1/G50^2 + 1/U50^2)))))</f>
        <v/>
      </c>
      <c r="AJ50" s="513"/>
      <c r="AK50" s="590" t="str">
        <f t="shared" si="73"/>
        <v>NA</v>
      </c>
      <c r="AL50" s="591"/>
      <c r="AM50" s="591"/>
      <c r="AN50" s="592"/>
      <c r="AO50" s="579" t="s">
        <v>776</v>
      </c>
      <c r="AP50" s="580"/>
      <c r="AQ50" s="540" t="str">
        <f t="shared" ref="AQ50:AQ52" si="80">IF(AND(P50="NA",AD50="NA"),"NA",
 IF(P50="NA",AD50,
  IF(AD50="NA",P50,
   (P50/Q50^2 + AD50/AE50^2)/(1/Q50^2 + 1/AE50^2))))</f>
        <v>NA</v>
      </c>
      <c r="AR50" s="308" t="str">
        <f t="shared" ref="AR50:AR52" si="81">IF(AND(P50="NA",AD50="NA"),"",
 IF(P50="NA",AE50,
  IF(AD50="NA",Q50,
   SQRT(1/(1/Q50^2 + 1/AE50^2)))))</f>
        <v/>
      </c>
      <c r="AS50" s="474" t="str">
        <f t="shared" si="0"/>
        <v/>
      </c>
      <c r="AT50" s="550"/>
      <c r="AU50" s="475"/>
    </row>
    <row r="51" spans="1:51">
      <c r="A51" s="452"/>
      <c r="B51" s="456" t="s">
        <v>480</v>
      </c>
      <c r="C51" s="553" t="s">
        <v>1729</v>
      </c>
      <c r="E51" s="355">
        <v>56141</v>
      </c>
      <c r="F51" s="462">
        <v>7.9982094420494199E-2</v>
      </c>
      <c r="G51" s="462">
        <v>4.2131581142230302E-3</v>
      </c>
      <c r="H51" s="435" t="str">
        <f t="shared" ref="H51:H53" si="82">"(" &amp; TEXT(
    IF(C51="Continuous", F51 - _xlfn.NORM.S.INV(0.975)*G51,
        IF(C51="Binary", EXP(LN(F51) - _xlfn.NORM.S.INV(0.975)*G51), "NA")
    ), "0.000"
) &amp; ", " &amp; TEXT(
    IF(C51="Continuous", F51 + _xlfn.NORM.S.INV(0.975)*G51,
        IF(C51="Binary", EXP(LN(F51) + _xlfn.NORM.S.INV(0.975)*G51), "NA")
    ), "0.000"
) &amp; ")"</f>
        <v>(0.072, 0.088)</v>
      </c>
      <c r="I51" s="355">
        <v>16160</v>
      </c>
      <c r="J51" s="462">
        <v>9.7284557625350099E-2</v>
      </c>
      <c r="K51" s="462">
        <v>1.33622819849782E-2</v>
      </c>
      <c r="L51" s="435" t="str">
        <f t="shared" ref="L51:L53" si="83">"(" &amp; TEXT(
    IF(C51="Continuous", J51 - _xlfn.NORM.S.INV(0.975)*K51,
        IF(C51="Binary", EXP(LN(J51) - _xlfn.NORM.S.INV(0.975)*K51), "NA")
    ), "0.000"
) &amp; ", " &amp; TEXT(
    IF(C51="Continuous", J51 + _xlfn.NORM.S.INV(0.975)*K51,
        IF(C51="Binary", EXP(LN(J51) + _xlfn.NORM.S.INV(0.975)*K51), "NA")
    ), "0.000"
) &amp; ")"</f>
        <v>(0.071, 0.123)</v>
      </c>
      <c r="M51" s="526">
        <f t="shared" ref="M51:M53" si="84">IF(C51="Continuous",J51/F51,IF(C51="Binary",LN(J51)/LN(F51),""))</f>
        <v>1.2163292088087956</v>
      </c>
      <c r="N51" s="462">
        <v>0.17893071603836699</v>
      </c>
      <c r="O51" s="435" t="s">
        <v>1394</v>
      </c>
      <c r="P51" s="491">
        <f t="shared" ref="P51" si="85">IF(C51="Continuous",F51-J51,IF(C51="Binary",LN(F51)-LN(J51)))</f>
        <v>-1.73024632048559E-2</v>
      </c>
      <c r="Q51" s="494">
        <f t="shared" ref="Q51" si="86">SQRT(G51^2 + K51^2)</f>
        <v>1.4010755908997783E-2</v>
      </c>
      <c r="R51" s="561"/>
      <c r="S51" s="355">
        <v>4095</v>
      </c>
      <c r="T51" s="462">
        <v>4.1049514633830803E-2</v>
      </c>
      <c r="U51" s="462">
        <v>1.56338816552785E-2</v>
      </c>
      <c r="V51" s="435" t="str">
        <f t="shared" si="74"/>
        <v>(0.010, 0.072)</v>
      </c>
      <c r="W51" s="355">
        <v>3624</v>
      </c>
      <c r="X51" s="462">
        <v>6.6278970509371496E-2</v>
      </c>
      <c r="Y51" s="462">
        <v>2.9828043492128701E-2</v>
      </c>
      <c r="Z51" s="435" t="str">
        <f t="shared" ref="Z51" si="87">"(" &amp; TEXT(
    IF(C51="Continuous", X51 - _xlfn.NORM.S.INV(0.975)*Y51,
        IF(C51="Binary", EXP(LN(X51) - _xlfn.NORM.S.INV(0.975)*Y51), "NA")
    ), "0.000"
) &amp; ", " &amp; TEXT(
    IF(C51="Continuous", X51 + _xlfn.NORM.S.INV(0.975)*Y51,
        IF(C51="Binary", EXP(LN(X51) + _xlfn.NORM.S.INV(0.975)*Y51), "NA")
    ), "0.000"
) &amp; ")"</f>
        <v>(0.008, 0.125)</v>
      </c>
      <c r="AA51" s="526">
        <f t="shared" ref="AA51" si="88">IF(C51="Continuous",X51/T51,IF(C51="Binary",LN(X51)/LN(T51),""))</f>
        <v>1.6146103334130029</v>
      </c>
      <c r="AB51" s="462">
        <v>0.95191377398863797</v>
      </c>
      <c r="AC51" s="340" t="s">
        <v>1577</v>
      </c>
      <c r="AD51" s="500">
        <f t="shared" si="77"/>
        <v>-2.5229455875540693E-2</v>
      </c>
      <c r="AE51" s="501">
        <f>SQRT(U51^2 + Y51^2)</f>
        <v>3.3676853091991463E-2</v>
      </c>
      <c r="AF51" s="484"/>
      <c r="AG51" s="512">
        <f t="shared" si="72"/>
        <v>60236</v>
      </c>
      <c r="AH51" s="308">
        <f>IF(AND(F51=0,T51=0),"", IF(F51=0,T51,
IF(T51=0,F51,EXP((LN(F51)/G51^2+LN(T51)/U51^2)/(1/G51^2+1/U51^2)))))</f>
        <v>7.6450275834051493E-2</v>
      </c>
      <c r="AI51" s="308">
        <f>IF(AND(F51=0,T51=0),"",
 IF(F51=0,U51,
  IF(T51=0,G51,
   SQRT(1/(1/G51^2 + 1/U51^2)))))</f>
        <v>4.0680281077327607E-3</v>
      </c>
      <c r="AJ51" s="513" t="str">
        <f>"(" &amp; TEXT(
    IF(C51="Continuous", AH51 - _xlfn.NORM.S.INV(0.975)*AI51,
        IF(C51="Binary", EXP(LN(AH51) - _xlfn.NORM.S.INV(0.975)*AI51), "NA")
    ), "0.000"
) &amp; ", " &amp; TEXT(
    IF(C51="Continuous", AH51 + _xlfn.NORM.S.INV(0.975)*AI51,
        IF(C51="Binary", EXP(LN(AH51) + _xlfn.NORM.S.INV(0.975)*AI51), "NA")
    ), "0.000"
) &amp; ")"</f>
        <v>(0.068, 0.084)</v>
      </c>
      <c r="AK51" s="512">
        <f t="shared" si="73"/>
        <v>19784</v>
      </c>
      <c r="AL51" s="308">
        <f>IF(AND(J51=0,X51=0),"",
IF(J51=0,X51,
IF(X51=0,J51,
IF(C51="Continuous",(J51/K51^2+X51/Y51^2)/(1/K51^2+1/Y51^2),IF(C51="Binary",EXP((LN(J51)/K51^2+LN(X51)/Y51^2)/(1/K51^2+1/Y51^2)),"NA")))))</f>
        <v>9.2102250637280045E-2</v>
      </c>
      <c r="AM51" s="308">
        <f>IF(AND(J51=0,X51=0),"",
 IF(J51=0,Y51,
  IF(X51=0,K51,
   SQRT(1/(1/K51^2 + 1/Y51^2)))))</f>
        <v>1.219456620744906E-2</v>
      </c>
      <c r="AN51" s="513" t="str">
        <f>"(" &amp; TEXT(
    IF(C51="Continuous", AL51 - _xlfn.NORM.S.INV(0.975)*AM51,
        IF(C51="Binary", EXP(LN(AL51) - _xlfn.NORM.S.INV(0.975)*AM51), "NA")
    ), "0.000"
) &amp; ", " &amp; TEXT(
    IF(C51="Continuous", AL51 + _xlfn.NORM.S.INV(0.975)*AM51,
        IF(C51="Binary", EXP(LN(AL51) + _xlfn.NORM.S.INV(0.975)*AM51), "NA")
    ), "0.000"
) &amp; ")"</f>
        <v>(0.068, 0.116)</v>
      </c>
      <c r="AO51" s="540">
        <f t="shared" ref="AO51:AO61" si="89">IF(AND(M51="NA",AA51="NA"),"",
 IF(M51="NA",AA51,
  IF(AA51="NA",M51,
   (M51/N51^2 + AA51/AB51^2)/(1/N51^2 + 1/AB51^2))))</f>
        <v>1.2299212426825292</v>
      </c>
      <c r="AP51" s="528">
        <f t="shared" ref="AP51:AP61" si="90">IF(AND(M51="NA",AA51="NA"),"",
 IF(M51="NA",AB51,
  IF(AA51="NA",N51,
   SQRT(1/(1/N51^2 + 1/AB51^2)))))</f>
        <v>0.17585105280269123</v>
      </c>
      <c r="AQ51" s="540">
        <f t="shared" si="80"/>
        <v>-1.8472067626439676E-2</v>
      </c>
      <c r="AR51" s="308">
        <f t="shared" si="81"/>
        <v>1.2935903728207349E-2</v>
      </c>
      <c r="AS51" s="474" t="str">
        <f t="shared" si="0"/>
        <v>1.5E-01</v>
      </c>
      <c r="AT51" s="550">
        <v>0.38571430000000001</v>
      </c>
      <c r="AU51" s="475"/>
      <c r="AV51"/>
      <c r="AW51"/>
      <c r="AX51"/>
      <c r="AY51"/>
    </row>
    <row r="52" spans="1:51">
      <c r="A52" s="452"/>
      <c r="B52" s="456" t="s">
        <v>486</v>
      </c>
      <c r="C52" s="553" t="s">
        <v>1729</v>
      </c>
      <c r="E52" s="355">
        <v>56084</v>
      </c>
      <c r="F52" s="462">
        <v>7.7723757801395704E-2</v>
      </c>
      <c r="G52" s="462">
        <v>4.2046938974187199E-3</v>
      </c>
      <c r="H52" s="435" t="str">
        <f t="shared" si="82"/>
        <v>(0.069, 0.086)</v>
      </c>
      <c r="I52" s="355">
        <v>16045</v>
      </c>
      <c r="J52" s="462">
        <v>9.4251987962288106E-2</v>
      </c>
      <c r="K52" s="462">
        <v>1.34451831735612E-2</v>
      </c>
      <c r="L52" s="435" t="str">
        <f t="shared" si="83"/>
        <v>(0.068, 0.121)</v>
      </c>
      <c r="M52" s="526">
        <f t="shared" si="84"/>
        <v>1.2126535132684437</v>
      </c>
      <c r="N52" s="462">
        <v>0.18500825897843701</v>
      </c>
      <c r="O52" s="435" t="s">
        <v>1395</v>
      </c>
      <c r="P52" s="491">
        <f t="shared" ref="P52:P53" si="91">IF(C52="Continuous",F52-J52,IF(C52="Binary",LN(F52)-LN(J52)))</f>
        <v>-1.6528230160892401E-2</v>
      </c>
      <c r="Q52" s="494">
        <f t="shared" ref="Q52:Q53" si="92">SQRT(G52^2 + K52^2)</f>
        <v>1.4087313489150564E-2</v>
      </c>
      <c r="R52" s="561"/>
      <c r="S52" s="600" t="s">
        <v>776</v>
      </c>
      <c r="T52" s="601"/>
      <c r="U52" s="601"/>
      <c r="V52" s="602"/>
      <c r="W52" s="600" t="s">
        <v>776</v>
      </c>
      <c r="X52" s="601"/>
      <c r="Y52" s="601"/>
      <c r="Z52" s="602"/>
      <c r="AA52" s="601" t="s">
        <v>776</v>
      </c>
      <c r="AB52" s="601"/>
      <c r="AC52" s="601"/>
      <c r="AD52" s="579" t="s">
        <v>776</v>
      </c>
      <c r="AE52" s="580"/>
      <c r="AF52" s="484"/>
      <c r="AG52" s="512">
        <f t="shared" si="72"/>
        <v>56084</v>
      </c>
      <c r="AH52" s="308">
        <f>IF(AND(F52=0,T52=0),"", IF(F52=0,T52,
IF(T52=0,F52,EXP((LN(F52)/G52^2+LN(T52)/U52^2)/(1/G52^2+1/U52^2)))))</f>
        <v>7.7723757801395704E-2</v>
      </c>
      <c r="AI52" s="308">
        <f>IF(AND(F52=0,T52=0),"",
 IF(F52=0,U52,
  IF(T52=0,G52,
   SQRT(1/(1/G52^2 + 1/U52^2)))))</f>
        <v>4.2046938974187199E-3</v>
      </c>
      <c r="AJ52" s="513" t="str">
        <f>"(" &amp; TEXT(
    IF(C52="Continuous", AH52 - _xlfn.NORM.S.INV(0.975)*AI52,
        IF(C52="Binary", EXP(LN(AH52) - _xlfn.NORM.S.INV(0.975)*AI52), "NA")
    ), "0.000"
) &amp; ", " &amp; TEXT(
    IF(C52="Continuous", AH52 + _xlfn.NORM.S.INV(0.975)*AI52,
        IF(C52="Binary", EXP(LN(AH52) + _xlfn.NORM.S.INV(0.975)*AI52), "NA")
    ), "0.000"
) &amp; ")"</f>
        <v>(0.069, 0.086)</v>
      </c>
      <c r="AK52" s="512">
        <f t="shared" si="73"/>
        <v>16045</v>
      </c>
      <c r="AL52" s="308">
        <f>IF(AND(J52=0,X52=0),"",
IF(J52=0,X52,
IF(X52=0,J52,
IF(C52="Continuous",(J52/K52^2+X52/Y52^2)/(1/K52^2+1/Y52^2),IF(C52="Binary",EXP((LN(J52)/K52^2+LN(X52)/Y52^2)/(1/K52^2+1/Y52^2)),"NA")))))</f>
        <v>9.4251987962288106E-2</v>
      </c>
      <c r="AM52" s="308">
        <f>IF(AND(J52=0,X52=0),"",
 IF(J52=0,Y52,
  IF(X52=0,K52,
   SQRT(1/(1/K52^2 + 1/Y52^2)))))</f>
        <v>1.34451831735612E-2</v>
      </c>
      <c r="AN52" s="513" t="str">
        <f>"(" &amp; TEXT(
    IF(C52="Continuous", AL52 - _xlfn.NORM.S.INV(0.975)*AM52,
        IF(C52="Binary", EXP(LN(AL52) - _xlfn.NORM.S.INV(0.975)*AM52), "NA")
    ), "0.000"
) &amp; ", " &amp; TEXT(
    IF(C52="Continuous", AL52 + _xlfn.NORM.S.INV(0.975)*AM52,
        IF(C52="Binary", EXP(LN(AL52) + _xlfn.NORM.S.INV(0.975)*AM52), "NA")
    ), "0.000"
) &amp; ")"</f>
        <v>(0.068, 0.121)</v>
      </c>
      <c r="AO52" s="540">
        <f t="shared" si="89"/>
        <v>1.2126535132684437</v>
      </c>
      <c r="AP52" s="528">
        <f t="shared" si="90"/>
        <v>0.18500825897843701</v>
      </c>
      <c r="AQ52" s="540">
        <f t="shared" si="80"/>
        <v>-1.6528230160892401E-2</v>
      </c>
      <c r="AR52" s="308">
        <f t="shared" si="81"/>
        <v>1.4087313489150564E-2</v>
      </c>
      <c r="AS52" s="474" t="str">
        <f t="shared" si="0"/>
        <v>2.4E-01</v>
      </c>
      <c r="AT52" s="550">
        <v>0.50275860000000006</v>
      </c>
      <c r="AU52" s="475"/>
      <c r="AV52"/>
      <c r="AW52"/>
      <c r="AX52"/>
      <c r="AY52"/>
    </row>
    <row r="53" spans="1:51">
      <c r="A53" s="452"/>
      <c r="B53" s="456" t="s">
        <v>493</v>
      </c>
      <c r="C53" s="553" t="s">
        <v>1729</v>
      </c>
      <c r="E53" s="355">
        <v>133572</v>
      </c>
      <c r="F53" s="462">
        <v>0.21506454006162601</v>
      </c>
      <c r="G53" s="462">
        <v>2.6701575859819299E-3</v>
      </c>
      <c r="H53" s="435" t="str">
        <f t="shared" si="82"/>
        <v>(0.210, 0.220)</v>
      </c>
      <c r="I53" s="355">
        <v>35763</v>
      </c>
      <c r="J53" s="462">
        <v>0.21522257296790001</v>
      </c>
      <c r="K53" s="462">
        <v>8.7915286343730505E-3</v>
      </c>
      <c r="L53" s="435" t="str">
        <f t="shared" si="83"/>
        <v>(0.198, 0.232)</v>
      </c>
      <c r="M53" s="526">
        <f t="shared" si="84"/>
        <v>1.0007348161915894</v>
      </c>
      <c r="N53" s="462">
        <v>4.2725058818162402E-2</v>
      </c>
      <c r="O53" s="435" t="s">
        <v>1396</v>
      </c>
      <c r="P53" s="491">
        <f t="shared" si="91"/>
        <v>-1.5803290627400268E-4</v>
      </c>
      <c r="Q53" s="494">
        <f t="shared" si="92"/>
        <v>9.188074731029245E-3</v>
      </c>
      <c r="R53" s="561"/>
      <c r="S53" s="600" t="s">
        <v>776</v>
      </c>
      <c r="T53" s="601"/>
      <c r="U53" s="601"/>
      <c r="V53" s="602"/>
      <c r="W53" s="600" t="s">
        <v>776</v>
      </c>
      <c r="X53" s="601"/>
      <c r="Y53" s="601"/>
      <c r="Z53" s="602"/>
      <c r="AA53" s="601" t="s">
        <v>776</v>
      </c>
      <c r="AB53" s="601"/>
      <c r="AC53" s="601"/>
      <c r="AD53" s="579" t="s">
        <v>776</v>
      </c>
      <c r="AE53" s="580"/>
      <c r="AF53" s="484"/>
      <c r="AG53" s="512">
        <f t="shared" si="72"/>
        <v>133572</v>
      </c>
      <c r="AH53" s="308">
        <f>IF(AND(F53=0,T53=0),"", IF(F53=0,T53,
IF(T53=0,F53,EXP((LN(F53)/G53^2+LN(T53)/U53^2)/(1/G53^2+1/U53^2)))))</f>
        <v>0.21506454006162601</v>
      </c>
      <c r="AI53" s="308">
        <f>IF(AND(F53=0,T53=0),"",
 IF(F53=0,U53,
  IF(T53=0,G53,
   SQRT(1/(1/G53^2 + 1/U53^2)))))</f>
        <v>2.6701575859819299E-3</v>
      </c>
      <c r="AJ53" s="513" t="str">
        <f>"(" &amp; TEXT(
    IF(C53="Continuous", AH53 - _xlfn.NORM.S.INV(0.975)*AI53,
        IF(C53="Binary", EXP(LN(AH53) - _xlfn.NORM.S.INV(0.975)*AI53), "NA")
    ), "0.000"
) &amp; ", " &amp; TEXT(
    IF(C53="Continuous", AH53 + _xlfn.NORM.S.INV(0.975)*AI53,
        IF(C53="Binary", EXP(LN(AH53) + _xlfn.NORM.S.INV(0.975)*AI53), "NA")
    ), "0.000"
) &amp; ")"</f>
        <v>(0.210, 0.220)</v>
      </c>
      <c r="AK53" s="512">
        <f t="shared" si="73"/>
        <v>35763</v>
      </c>
      <c r="AL53" s="308">
        <f>IF(AND(J53=0,X53=0),"",
IF(J53=0,X53,
IF(X53=0,J53,
IF(C53="Continuous",(J53/K53^2+X53/Y53^2)/(1/K53^2+1/Y53^2),IF(C53="Binary",EXP((LN(J53)/K53^2+LN(X53)/Y53^2)/(1/K53^2+1/Y53^2)),"NA")))))</f>
        <v>0.21522257296790001</v>
      </c>
      <c r="AM53" s="308">
        <f>IF(AND(J53=0,X53=0),"",
 IF(J53=0,Y53,
  IF(X53=0,K53,
   SQRT(1/(1/K53^2 + 1/Y53^2)))))</f>
        <v>8.7915286343730505E-3</v>
      </c>
      <c r="AN53" s="513" t="str">
        <f>"(" &amp; TEXT(
    IF(C53="Continuous", AL53 - _xlfn.NORM.S.INV(0.975)*AM53,
        IF(C53="Binary", EXP(LN(AL53) - _xlfn.NORM.S.INV(0.975)*AM53), "NA")
    ), "0.000"
) &amp; ", " &amp; TEXT(
    IF(C53="Continuous", AL53 + _xlfn.NORM.S.INV(0.975)*AM53,
        IF(C53="Binary", EXP(LN(AL53) + _xlfn.NORM.S.INV(0.975)*AM53), "NA")
    ), "0.000"
) &amp; ")"</f>
        <v>(0.198, 0.232)</v>
      </c>
      <c r="AO53" s="540">
        <f t="shared" si="89"/>
        <v>1.0007348161915894</v>
      </c>
      <c r="AP53" s="528">
        <f t="shared" si="90"/>
        <v>4.2725058818162402E-2</v>
      </c>
      <c r="AQ53" s="540">
        <f t="shared" ref="AQ53:AQ61" si="93">IF(AND(P53="NA",AD53="NA"),"NA",
 IF(P53="NA",AD53,
  IF(AD53="NA",P53,
   (P53/Q53^2 + AD53/AE53^2)/(1/Q53^2 + 1/AE53^2))))</f>
        <v>-1.5803290627400268E-4</v>
      </c>
      <c r="AR53" s="308">
        <f t="shared" ref="AR53:AR61" si="94">IF(AND(P53="NA",AD53="NA"),"",
 IF(P53="NA",AE53,
  IF(AD53="NA",Q53,
   SQRT(1/(1/Q53^2 + 1/AE53^2)))))</f>
        <v>9.188074731029245E-3</v>
      </c>
      <c r="AS53" s="474" t="str">
        <f t="shared" si="0"/>
        <v>9.9E-01</v>
      </c>
      <c r="AT53" s="550">
        <v>1</v>
      </c>
      <c r="AU53" s="475"/>
      <c r="AV53"/>
      <c r="AW53"/>
      <c r="AX53"/>
      <c r="AY53"/>
    </row>
    <row r="54" spans="1:51">
      <c r="A54" s="452"/>
      <c r="B54" s="456" t="s">
        <v>588</v>
      </c>
      <c r="C54" s="553" t="s">
        <v>776</v>
      </c>
      <c r="E54" s="600" t="s">
        <v>776</v>
      </c>
      <c r="F54" s="601"/>
      <c r="G54" s="601"/>
      <c r="H54" s="602"/>
      <c r="I54" s="600" t="s">
        <v>776</v>
      </c>
      <c r="J54" s="601"/>
      <c r="K54" s="601"/>
      <c r="L54" s="602"/>
      <c r="M54" s="600" t="s">
        <v>776</v>
      </c>
      <c r="N54" s="601"/>
      <c r="O54" s="602"/>
      <c r="P54" s="579" t="s">
        <v>776</v>
      </c>
      <c r="Q54" s="580"/>
      <c r="R54" s="561"/>
      <c r="S54" s="600" t="s">
        <v>776</v>
      </c>
      <c r="T54" s="601"/>
      <c r="U54" s="601"/>
      <c r="V54" s="602"/>
      <c r="W54" s="600" t="s">
        <v>776</v>
      </c>
      <c r="X54" s="601"/>
      <c r="Y54" s="601"/>
      <c r="Z54" s="602"/>
      <c r="AA54" s="601" t="s">
        <v>776</v>
      </c>
      <c r="AB54" s="601"/>
      <c r="AC54" s="601"/>
      <c r="AD54" s="579" t="s">
        <v>776</v>
      </c>
      <c r="AE54" s="580"/>
      <c r="AF54" s="484"/>
      <c r="AG54" s="590" t="str">
        <f t="shared" si="72"/>
        <v>NA</v>
      </c>
      <c r="AH54" s="591"/>
      <c r="AI54" s="591"/>
      <c r="AJ54" s="592"/>
      <c r="AK54" s="590" t="str">
        <f t="shared" si="73"/>
        <v>NA</v>
      </c>
      <c r="AL54" s="591"/>
      <c r="AM54" s="591"/>
      <c r="AN54" s="592"/>
      <c r="AO54" s="579" t="s">
        <v>776</v>
      </c>
      <c r="AP54" s="580"/>
      <c r="AQ54" s="581" t="str">
        <f t="shared" si="93"/>
        <v>NA</v>
      </c>
      <c r="AR54" s="582"/>
      <c r="AS54" s="582"/>
      <c r="AT54" s="583"/>
      <c r="AU54" s="475"/>
    </row>
    <row r="55" spans="1:51">
      <c r="A55" s="452"/>
      <c r="B55" s="456" t="s">
        <v>500</v>
      </c>
      <c r="C55" s="553" t="s">
        <v>776</v>
      </c>
      <c r="E55" s="600" t="s">
        <v>776</v>
      </c>
      <c r="F55" s="601"/>
      <c r="G55" s="601"/>
      <c r="H55" s="602"/>
      <c r="I55" s="600" t="s">
        <v>776</v>
      </c>
      <c r="J55" s="601"/>
      <c r="K55" s="601"/>
      <c r="L55" s="602"/>
      <c r="M55" s="600" t="s">
        <v>776</v>
      </c>
      <c r="N55" s="601"/>
      <c r="O55" s="602"/>
      <c r="P55" s="579" t="s">
        <v>776</v>
      </c>
      <c r="Q55" s="580"/>
      <c r="R55" s="561"/>
      <c r="S55" s="600" t="s">
        <v>776</v>
      </c>
      <c r="T55" s="601"/>
      <c r="U55" s="601"/>
      <c r="V55" s="602"/>
      <c r="W55" s="600" t="s">
        <v>776</v>
      </c>
      <c r="X55" s="601"/>
      <c r="Y55" s="601"/>
      <c r="Z55" s="602"/>
      <c r="AA55" s="601" t="s">
        <v>776</v>
      </c>
      <c r="AB55" s="601"/>
      <c r="AC55" s="601"/>
      <c r="AD55" s="579" t="s">
        <v>776</v>
      </c>
      <c r="AE55" s="580"/>
      <c r="AF55" s="484"/>
      <c r="AG55" s="590" t="str">
        <f t="shared" si="72"/>
        <v>NA</v>
      </c>
      <c r="AH55" s="591"/>
      <c r="AI55" s="591"/>
      <c r="AJ55" s="592"/>
      <c r="AK55" s="590" t="str">
        <f t="shared" si="73"/>
        <v>NA</v>
      </c>
      <c r="AL55" s="591"/>
      <c r="AM55" s="591"/>
      <c r="AN55" s="592"/>
      <c r="AO55" s="579" t="s">
        <v>776</v>
      </c>
      <c r="AP55" s="580"/>
      <c r="AQ55" s="581" t="str">
        <f t="shared" ref="AQ55" si="95">IF(AND(P55="NA",AD55="NA"),"NA",
 IF(P55="NA",AD55,
  IF(AD55="NA",P55,
   (P55/Q55^2 + AD55/AE55^2)/(1/Q55^2 + 1/AE55^2))))</f>
        <v>NA</v>
      </c>
      <c r="AR55" s="582"/>
      <c r="AS55" s="582"/>
      <c r="AT55" s="583"/>
    </row>
    <row r="56" spans="1:51">
      <c r="A56" s="452"/>
      <c r="B56" s="456" t="s">
        <v>502</v>
      </c>
      <c r="C56" s="553" t="s">
        <v>1729</v>
      </c>
      <c r="E56" s="355">
        <v>120043</v>
      </c>
      <c r="F56" s="462">
        <v>0.19429026376904299</v>
      </c>
      <c r="G56" s="340">
        <v>2.83455095876041E-3</v>
      </c>
      <c r="H56" s="435" t="str">
        <f t="shared" ref="H56" si="96">"(" &amp; TEXT(
    IF(C56="Continuous", F56 - _xlfn.NORM.S.INV(0.975)*G56,
        IF(C56="Binary", EXP(LN(F56) - _xlfn.NORM.S.INV(0.975)*G56), "NA")
    ), "0.000"
) &amp; ", " &amp; TEXT(
    IF(C56="Continuous", F56 + _xlfn.NORM.S.INV(0.975)*G56,
        IF(C56="Binary", EXP(LN(F56) + _xlfn.NORM.S.INV(0.975)*G56), "NA")
    ), "0.000"
) &amp; ")"</f>
        <v>(0.189, 0.200)</v>
      </c>
      <c r="I56" s="355">
        <v>32306</v>
      </c>
      <c r="J56" s="462">
        <v>0.19604943205467201</v>
      </c>
      <c r="K56" s="340">
        <v>9.34856810500404E-3</v>
      </c>
      <c r="L56" s="435" t="str">
        <f t="shared" ref="L56" si="97">"(" &amp; TEXT(
    IF(C56="Continuous", J56 - _xlfn.NORM.S.INV(0.975)*K56,
        IF(C56="Binary", EXP(LN(J56) - _xlfn.NORM.S.INV(0.975)*K56), "NA")
    ), "0.000"
) &amp; ", " &amp; TEXT(
    IF(C56="Continuous", J56 + _xlfn.NORM.S.INV(0.975)*K56,
        IF(C56="Binary", EXP(LN(J56) + _xlfn.NORM.S.INV(0.975)*K56), "NA")
    ), "0.000"
) &amp; ")"</f>
        <v>(0.178, 0.214)</v>
      </c>
      <c r="M56" s="526">
        <f t="shared" ref="M56" si="98">IF(C56="Continuous",J56/F56,IF(C56="Binary",LN(J56)/LN(F56),""))</f>
        <v>1.0090543306262643</v>
      </c>
      <c r="N56" s="462">
        <v>5.0318149534999197E-2</v>
      </c>
      <c r="O56" s="435" t="s">
        <v>1397</v>
      </c>
      <c r="P56" s="491">
        <f t="shared" ref="P56" si="99">IF(C56="Continuous",F56-J56,IF(C56="Binary",LN(F56)-LN(J56)))</f>
        <v>-1.7591682856290258E-3</v>
      </c>
      <c r="Q56" s="494">
        <f t="shared" ref="Q56" si="100">SQRT(G56^2 + K56^2)</f>
        <v>9.7688486912075965E-3</v>
      </c>
      <c r="R56" s="561"/>
      <c r="S56" s="355">
        <v>4345</v>
      </c>
      <c r="T56" s="462">
        <v>0.162340471339215</v>
      </c>
      <c r="U56" s="462">
        <v>1.50423806203156E-2</v>
      </c>
      <c r="V56" s="435" t="str">
        <f t="shared" ref="V56:V61" si="101">"(" &amp; TEXT(
    IF(C56="Continuous", T56 - _xlfn.NORM.S.INV(0.975)*U56,
        IF(C56="Binary", EXP(LN(T56) - _xlfn.NORM.S.INV(0.975)*U56), "NA")
    ), "0.000"
) &amp; ", " &amp; TEXT(
    IF(C56="Continuous", T56 + _xlfn.NORM.S.INV(0.975)*U56,
        IF(C56="Binary", EXP(LN(T56) + _xlfn.NORM.S.INV(0.975)*U56), "NA")
    ), "0.000"
) &amp; ")"</f>
        <v>(0.133, 0.192)</v>
      </c>
      <c r="W56" s="355">
        <v>3824</v>
      </c>
      <c r="X56" s="462">
        <v>0.182809704049817</v>
      </c>
      <c r="Y56" s="462">
        <v>2.6799217508399399E-2</v>
      </c>
      <c r="Z56" s="435" t="str">
        <f t="shared" ref="Z56:Z61" si="102">"(" &amp; TEXT(
    IF(C56="Continuous", X56 - _xlfn.NORM.S.INV(0.975)*Y56,
        IF(C56="Binary", EXP(LN(X56) - _xlfn.NORM.S.INV(0.975)*Y56), "NA")
    ), "0.000"
) &amp; ", " &amp; TEXT(
    IF(C56="Continuous", X56 + _xlfn.NORM.S.INV(0.975)*Y56,
        IF(C56="Binary", EXP(LN(X56) + _xlfn.NORM.S.INV(0.975)*Y56), "NA")
    ), "0.000"
) &amp; ")"</f>
        <v>(0.130, 0.235)</v>
      </c>
      <c r="AA56" s="526">
        <f t="shared" ref="AA56:AA61" si="103">IF(C56="Continuous",X56/T56,IF(C56="Binary",LN(X56)/LN(T56),""))</f>
        <v>1.1260882917349115</v>
      </c>
      <c r="AB56" s="462">
        <v>0.195291882602082</v>
      </c>
      <c r="AC56" s="340" t="s">
        <v>1578</v>
      </c>
      <c r="AD56" s="500">
        <f t="shared" si="77"/>
        <v>-2.0469232710601998E-2</v>
      </c>
      <c r="AE56" s="501">
        <f t="shared" ref="AE56:AE61" si="104">SQRT(U56^2 + Y56^2)</f>
        <v>3.0732251362191921E-2</v>
      </c>
      <c r="AF56" s="484"/>
      <c r="AG56" s="512">
        <f t="shared" si="72"/>
        <v>124388</v>
      </c>
      <c r="AH56" s="308">
        <f t="shared" ref="AH56:AH61" si="105">IF(AND(F56=0,T56=0),"", IF(F56=0,T56,
IF(T56=0,F56,EXP((LN(F56)/G56^2+LN(T56)/U56^2)/(1/G56^2+1/U56^2)))))</f>
        <v>0.19309698810645837</v>
      </c>
      <c r="AI56" s="308">
        <f t="shared" ref="AI56:AI79" si="106">IF(AND(F56=0,T56=0),"",
 IF(F56=0,U56,
  IF(T56=0,G56,
   SQRT(1/(1/G56^2 + 1/U56^2)))))</f>
        <v>2.7855270640427788E-3</v>
      </c>
      <c r="AJ56" s="513" t="str">
        <f t="shared" ref="AJ56:AJ61" si="107">"(" &amp; TEXT(
    IF(C56="Continuous", AH56 - _xlfn.NORM.S.INV(0.975)*AI56,
        IF(C56="Binary", EXP(LN(AH56) - _xlfn.NORM.S.INV(0.975)*AI56), "NA")
    ), "0.000"
) &amp; ", " &amp; TEXT(
    IF(C56="Continuous", AH56 + _xlfn.NORM.S.INV(0.975)*AI56,
        IF(C56="Binary", EXP(LN(AH56) + _xlfn.NORM.S.INV(0.975)*AI56), "NA")
    ), "0.000"
) &amp; ")"</f>
        <v>(0.188, 0.199)</v>
      </c>
      <c r="AK56" s="512">
        <f t="shared" si="73"/>
        <v>36130</v>
      </c>
      <c r="AL56" s="308">
        <f t="shared" ref="AL56:AL79" si="108">IF(AND(J56=0,X56=0),"",
IF(J56=0,X56,
IF(X56=0,J56,
IF(C56="Continuous",(J56/K56^2+X56/Y56^2)/(1/K56^2+1/Y56^2),IF(C56="Binary",EXP((LN(J56)/K56^2+LN(X56)/Y56^2)/(1/K56^2+1/Y56^2)),"NA")))))</f>
        <v>0.19461310563566944</v>
      </c>
      <c r="AM56" s="308">
        <f t="shared" ref="AM56:AM61" si="109">IF(AND(J56=0,X56=0),"",
 IF(J56=0,Y56,
  IF(X56=0,K56,
   SQRT(1/(1/K56^2 + 1/Y56^2)))))</f>
        <v>8.8269193058296194E-3</v>
      </c>
      <c r="AN56" s="513" t="str">
        <f t="shared" ref="AN56:AN61" si="110">"(" &amp; TEXT(
    IF(C56="Continuous", AL56 - _xlfn.NORM.S.INV(0.975)*AM56,
        IF(C56="Binary", EXP(LN(AL56) - _xlfn.NORM.S.INV(0.975)*AM56), "NA")
    ), "0.000"
) &amp; ", " &amp; TEXT(
    IF(C56="Continuous", AL56 + _xlfn.NORM.S.INV(0.975)*AM56,
        IF(C56="Binary", EXP(LN(AL56) + _xlfn.NORM.S.INV(0.975)*AM56), "NA")
    ), "0.000"
) &amp; ")"</f>
        <v>(0.177, 0.212)</v>
      </c>
      <c r="AO56" s="540">
        <f t="shared" si="89"/>
        <v>1.016340145501486</v>
      </c>
      <c r="AP56" s="528">
        <f t="shared" si="90"/>
        <v>4.8726734328723958E-2</v>
      </c>
      <c r="AQ56" s="540">
        <f t="shared" si="93"/>
        <v>-3.4761662075012186E-3</v>
      </c>
      <c r="AR56" s="308">
        <f t="shared" si="94"/>
        <v>9.3098271971449598E-3</v>
      </c>
      <c r="AS56" s="474" t="str">
        <f t="shared" si="0"/>
        <v>7.1E-01</v>
      </c>
      <c r="AT56" s="550">
        <v>0.876</v>
      </c>
      <c r="AU56" s="475"/>
      <c r="AV56"/>
      <c r="AW56"/>
      <c r="AX56"/>
      <c r="AY56"/>
    </row>
    <row r="57" spans="1:51">
      <c r="A57" s="452"/>
      <c r="B57" s="456" t="s">
        <v>516</v>
      </c>
      <c r="C57" s="553" t="s">
        <v>1729</v>
      </c>
      <c r="E57" s="600" t="s">
        <v>776</v>
      </c>
      <c r="F57" s="601"/>
      <c r="G57" s="601"/>
      <c r="H57" s="602"/>
      <c r="I57" s="600" t="s">
        <v>776</v>
      </c>
      <c r="J57" s="601"/>
      <c r="K57" s="601"/>
      <c r="L57" s="602"/>
      <c r="M57" s="600" t="s">
        <v>776</v>
      </c>
      <c r="N57" s="601"/>
      <c r="O57" s="602"/>
      <c r="P57" s="579" t="s">
        <v>776</v>
      </c>
      <c r="Q57" s="580"/>
      <c r="R57" s="561"/>
      <c r="S57" s="355">
        <v>4341</v>
      </c>
      <c r="T57" s="462">
        <v>8.1089237982094706E-2</v>
      </c>
      <c r="U57" s="462">
        <v>1.5247965614822801E-2</v>
      </c>
      <c r="V57" s="435" t="str">
        <f t="shared" si="101"/>
        <v>(0.051, 0.111)</v>
      </c>
      <c r="W57" s="355">
        <v>3823</v>
      </c>
      <c r="X57" s="462">
        <v>9.2319779894848297E-2</v>
      </c>
      <c r="Y57" s="462">
        <v>2.8685509201914799E-2</v>
      </c>
      <c r="Z57" s="435" t="str">
        <f t="shared" si="102"/>
        <v>(0.036, 0.149)</v>
      </c>
      <c r="AA57" s="526">
        <f t="shared" si="103"/>
        <v>1.1384960839715057</v>
      </c>
      <c r="AB57" s="462">
        <v>0.413487423390969</v>
      </c>
      <c r="AC57" s="340" t="s">
        <v>1579</v>
      </c>
      <c r="AD57" s="500">
        <f t="shared" si="77"/>
        <v>-1.1230541912753592E-2</v>
      </c>
      <c r="AE57" s="501">
        <f t="shared" si="104"/>
        <v>3.2486287777521723E-2</v>
      </c>
      <c r="AF57" s="484"/>
      <c r="AG57" s="512">
        <f t="shared" si="72"/>
        <v>4341</v>
      </c>
      <c r="AH57" s="308">
        <f t="shared" si="105"/>
        <v>8.1089237982094706E-2</v>
      </c>
      <c r="AI57" s="308">
        <f t="shared" si="106"/>
        <v>1.5247965614822801E-2</v>
      </c>
      <c r="AJ57" s="513" t="str">
        <f t="shared" si="107"/>
        <v>(0.051, 0.111)</v>
      </c>
      <c r="AK57" s="512">
        <f t="shared" si="73"/>
        <v>3823</v>
      </c>
      <c r="AL57" s="308">
        <f t="shared" si="108"/>
        <v>9.2319779894848297E-2</v>
      </c>
      <c r="AM57" s="308">
        <f t="shared" si="109"/>
        <v>2.8685509201914799E-2</v>
      </c>
      <c r="AN57" s="513" t="str">
        <f t="shared" si="110"/>
        <v>(0.036, 0.149)</v>
      </c>
      <c r="AO57" s="540">
        <f t="shared" si="89"/>
        <v>1.1384960839715057</v>
      </c>
      <c r="AP57" s="528">
        <f t="shared" si="90"/>
        <v>0.413487423390969</v>
      </c>
      <c r="AQ57" s="540">
        <f t="shared" si="93"/>
        <v>-1.1230541912753592E-2</v>
      </c>
      <c r="AR57" s="308">
        <f t="shared" si="94"/>
        <v>3.2486287777521723E-2</v>
      </c>
      <c r="AS57" s="474" t="str">
        <f t="shared" si="0"/>
        <v>7.3E-01</v>
      </c>
      <c r="AT57" s="550">
        <v>0.876</v>
      </c>
      <c r="AU57" s="475"/>
      <c r="AV57"/>
      <c r="AW57"/>
      <c r="AX57"/>
      <c r="AY57"/>
    </row>
    <row r="58" spans="1:51">
      <c r="A58" s="452"/>
      <c r="B58" s="456" t="s">
        <v>418</v>
      </c>
      <c r="C58" s="553" t="s">
        <v>1729</v>
      </c>
      <c r="E58" s="600" t="s">
        <v>776</v>
      </c>
      <c r="F58" s="601"/>
      <c r="G58" s="601"/>
      <c r="H58" s="602"/>
      <c r="I58" s="600" t="s">
        <v>776</v>
      </c>
      <c r="J58" s="601"/>
      <c r="K58" s="601"/>
      <c r="L58" s="602"/>
      <c r="M58" s="600" t="s">
        <v>776</v>
      </c>
      <c r="N58" s="601"/>
      <c r="O58" s="602"/>
      <c r="P58" s="579" t="s">
        <v>776</v>
      </c>
      <c r="Q58" s="580"/>
      <c r="R58" s="561"/>
      <c r="S58" s="355">
        <v>4258</v>
      </c>
      <c r="T58" s="462">
        <v>0.106936900554197</v>
      </c>
      <c r="U58" s="462">
        <v>1.5332300091645001E-2</v>
      </c>
      <c r="V58" s="435" t="str">
        <f t="shared" si="101"/>
        <v>(0.077, 0.137)</v>
      </c>
      <c r="W58" s="355">
        <v>3769</v>
      </c>
      <c r="X58" s="462">
        <v>9.0038461735463607E-2</v>
      </c>
      <c r="Y58" s="462">
        <v>3.1856647433052797E-2</v>
      </c>
      <c r="Z58" s="435" t="str">
        <f t="shared" si="102"/>
        <v>(0.028, 0.152)</v>
      </c>
      <c r="AA58" s="526">
        <f t="shared" si="103"/>
        <v>0.84197747708080395</v>
      </c>
      <c r="AB58" s="462">
        <v>0.321432107531954</v>
      </c>
      <c r="AC58" s="340" t="s">
        <v>1580</v>
      </c>
      <c r="AD58" s="500">
        <f t="shared" si="77"/>
        <v>1.6898438818733388E-2</v>
      </c>
      <c r="AE58" s="501">
        <f t="shared" si="104"/>
        <v>3.5354284206784423E-2</v>
      </c>
      <c r="AF58" s="484"/>
      <c r="AG58" s="512">
        <f t="shared" si="72"/>
        <v>4258</v>
      </c>
      <c r="AH58" s="308">
        <f t="shared" si="105"/>
        <v>0.106936900554197</v>
      </c>
      <c r="AI58" s="308">
        <f t="shared" si="106"/>
        <v>1.5332300091645001E-2</v>
      </c>
      <c r="AJ58" s="513" t="str">
        <f t="shared" si="107"/>
        <v>(0.077, 0.137)</v>
      </c>
      <c r="AK58" s="512">
        <f t="shared" si="73"/>
        <v>3769</v>
      </c>
      <c r="AL58" s="308">
        <f t="shared" si="108"/>
        <v>9.0038461735463607E-2</v>
      </c>
      <c r="AM58" s="308">
        <f t="shared" si="109"/>
        <v>3.1856647433052797E-2</v>
      </c>
      <c r="AN58" s="513" t="str">
        <f t="shared" si="110"/>
        <v>(0.028, 0.152)</v>
      </c>
      <c r="AO58" s="540">
        <f t="shared" si="89"/>
        <v>0.84197747708080395</v>
      </c>
      <c r="AP58" s="528">
        <f t="shared" si="90"/>
        <v>0.321432107531954</v>
      </c>
      <c r="AQ58" s="540">
        <f t="shared" si="93"/>
        <v>1.6898438818733388E-2</v>
      </c>
      <c r="AR58" s="308">
        <f t="shared" si="94"/>
        <v>3.5354284206784423E-2</v>
      </c>
      <c r="AS58" s="474" t="str">
        <f t="shared" si="0"/>
        <v>6.3E-01</v>
      </c>
      <c r="AT58" s="550">
        <v>0.86926829999999999</v>
      </c>
      <c r="AU58" s="475"/>
      <c r="AV58"/>
      <c r="AW58"/>
      <c r="AX58"/>
      <c r="AY58"/>
    </row>
    <row r="59" spans="1:51">
      <c r="A59" s="452"/>
      <c r="B59" s="456" t="s">
        <v>587</v>
      </c>
      <c r="C59" s="553" t="s">
        <v>1729</v>
      </c>
      <c r="E59" s="355">
        <v>148238</v>
      </c>
      <c r="F59" s="462">
        <v>9.7197921768008802E-2</v>
      </c>
      <c r="G59" s="462">
        <v>2.5792900695832599E-3</v>
      </c>
      <c r="H59" s="435" t="str">
        <f t="shared" ref="H59:H61" si="111">"(" &amp; TEXT(
    IF(C59="Continuous", F59 - _xlfn.NORM.S.INV(0.975)*G59,
        IF(C59="Binary", EXP(LN(F59) - _xlfn.NORM.S.INV(0.975)*G59), "NA")
    ), "0.000"
) &amp; ", " &amp; TEXT(
    IF(C59="Continuous", F59 + _xlfn.NORM.S.INV(0.975)*G59,
        IF(C59="Binary", EXP(LN(F59) + _xlfn.NORM.S.INV(0.975)*G59), "NA")
    ), "0.000"
) &amp; ")"</f>
        <v>(0.092, 0.102)</v>
      </c>
      <c r="I59" s="355">
        <v>39497</v>
      </c>
      <c r="J59" s="462">
        <v>6.1847177971513199E-2</v>
      </c>
      <c r="K59" s="462">
        <v>8.1879896813818395E-3</v>
      </c>
      <c r="L59" s="435" t="str">
        <f t="shared" ref="L59:L61" si="112">"(" &amp; TEXT(
    IF(C59="Continuous", J59 - _xlfn.NORM.S.INV(0.975)*K59,
        IF(C59="Binary", EXP(LN(J59) - _xlfn.NORM.S.INV(0.975)*K59), "NA")
    ), "0.000"
) &amp; ", " &amp; TEXT(
    IF(C59="Continuous", J59 + _xlfn.NORM.S.INV(0.975)*K59,
        IF(C59="Binary", EXP(LN(J59) + _xlfn.NORM.S.INV(0.975)*K59), "NA")
    ), "0.000"
) &amp; ")"</f>
        <v>(0.046, 0.078)</v>
      </c>
      <c r="M59" s="526">
        <f t="shared" ref="M59:M61" si="113">IF(C59="Continuous",J59/F59,IF(C59="Binary",LN(J59)/LN(F59),""))</f>
        <v>0.63630144396635901</v>
      </c>
      <c r="N59" s="462">
        <v>8.5915954052585994E-2</v>
      </c>
      <c r="O59" s="435" t="s">
        <v>1398</v>
      </c>
      <c r="P59" s="491">
        <f t="shared" ref="P59" si="114">IF(C59="Continuous",F59-J59,IF(C59="Binary",LN(F59)-LN(J59)))</f>
        <v>3.5350743796495603E-2</v>
      </c>
      <c r="Q59" s="494">
        <f t="shared" ref="Q59" si="115">SQRT(G59^2 + K59^2)</f>
        <v>8.5846323325734983E-3</v>
      </c>
      <c r="R59" s="561"/>
      <c r="S59" s="355">
        <v>4516</v>
      </c>
      <c r="T59" s="462">
        <v>9.6766230763449895E-2</v>
      </c>
      <c r="U59" s="462">
        <v>1.4857135414864799E-2</v>
      </c>
      <c r="V59" s="435" t="str">
        <f t="shared" si="101"/>
        <v>(0.068, 0.126)</v>
      </c>
      <c r="W59" s="355">
        <v>3928</v>
      </c>
      <c r="X59" s="462">
        <v>5.6450886001773601E-2</v>
      </c>
      <c r="Y59" s="462">
        <v>2.83559262097598E-2</v>
      </c>
      <c r="Z59" s="435" t="str">
        <f t="shared" si="102"/>
        <v>(0.001, 0.112)</v>
      </c>
      <c r="AA59" s="526">
        <f t="shared" si="103"/>
        <v>0.58337382324801657</v>
      </c>
      <c r="AB59" s="462">
        <v>0.30641856814427698</v>
      </c>
      <c r="AC59" s="340" t="s">
        <v>1581</v>
      </c>
      <c r="AD59" s="500">
        <f t="shared" si="77"/>
        <v>4.0315344761676294E-2</v>
      </c>
      <c r="AE59" s="501">
        <f t="shared" si="104"/>
        <v>3.2012388601117735E-2</v>
      </c>
      <c r="AF59" s="484"/>
      <c r="AG59" s="512">
        <f t="shared" si="72"/>
        <v>152754</v>
      </c>
      <c r="AH59" s="308">
        <f t="shared" si="105"/>
        <v>9.7185264345484038E-2</v>
      </c>
      <c r="AI59" s="308">
        <f t="shared" si="106"/>
        <v>2.5412784363147392E-3</v>
      </c>
      <c r="AJ59" s="513" t="str">
        <f t="shared" si="107"/>
        <v>(0.092, 0.102)</v>
      </c>
      <c r="AK59" s="512">
        <f t="shared" si="73"/>
        <v>43425</v>
      </c>
      <c r="AL59" s="308">
        <f t="shared" si="108"/>
        <v>6.1431859603860932E-2</v>
      </c>
      <c r="AM59" s="308">
        <f t="shared" si="109"/>
        <v>7.8665931033257593E-3</v>
      </c>
      <c r="AN59" s="513" t="str">
        <f t="shared" si="110"/>
        <v>(0.046, 0.077)</v>
      </c>
      <c r="AO59" s="540">
        <f t="shared" si="89"/>
        <v>0.6324437078815518</v>
      </c>
      <c r="AP59" s="528">
        <f t="shared" si="90"/>
        <v>8.2725642690386583E-2</v>
      </c>
      <c r="AQ59" s="540">
        <f t="shared" si="93"/>
        <v>3.5683811144917414E-2</v>
      </c>
      <c r="AR59" s="308">
        <f t="shared" si="94"/>
        <v>8.2916686065849787E-3</v>
      </c>
      <c r="AS59" s="474" t="str">
        <f t="shared" si="0"/>
        <v>1.7E-05</v>
      </c>
      <c r="AT59" s="550">
        <v>1.3114290000000001E-4</v>
      </c>
      <c r="AU59" s="475"/>
      <c r="AV59"/>
      <c r="AW59"/>
      <c r="AX59"/>
      <c r="AY59"/>
    </row>
    <row r="60" spans="1:51">
      <c r="A60" s="452"/>
      <c r="B60" s="456" t="s">
        <v>527</v>
      </c>
      <c r="C60" s="553" t="s">
        <v>1729</v>
      </c>
      <c r="E60" s="355">
        <v>143597</v>
      </c>
      <c r="F60" s="462">
        <v>0.12498087980122601</v>
      </c>
      <c r="G60" s="462">
        <v>2.6267609388697199E-3</v>
      </c>
      <c r="H60" s="435" t="str">
        <f t="shared" si="111"/>
        <v>(0.120, 0.130)</v>
      </c>
      <c r="I60" s="355">
        <v>38427</v>
      </c>
      <c r="J60" s="462">
        <v>0.13012705004370101</v>
      </c>
      <c r="K60" s="462">
        <v>8.7102958892323005E-3</v>
      </c>
      <c r="L60" s="435" t="str">
        <f t="shared" si="112"/>
        <v>(0.113, 0.147)</v>
      </c>
      <c r="M60" s="526">
        <f t="shared" si="113"/>
        <v>1.0411756602342668</v>
      </c>
      <c r="N60" s="462">
        <v>7.3047729581832796E-2</v>
      </c>
      <c r="O60" s="435" t="s">
        <v>1399</v>
      </c>
      <c r="P60" s="491">
        <f t="shared" ref="P60:P61" si="116">IF(C60="Continuous",F60-J60,IF(C60="Binary",LN(F60)-LN(J60)))</f>
        <v>-5.1461702424750039E-3</v>
      </c>
      <c r="Q60" s="494">
        <f t="shared" ref="Q60:Q61" si="117">SQRT(G60^2 + K60^2)</f>
        <v>9.0977539815027351E-3</v>
      </c>
      <c r="R60" s="561"/>
      <c r="S60" s="355">
        <v>3119</v>
      </c>
      <c r="T60" s="462">
        <v>2.1327249687580999E-2</v>
      </c>
      <c r="U60" s="462">
        <v>1.80126262166217E-2</v>
      </c>
      <c r="V60" s="435" t="str">
        <f t="shared" si="101"/>
        <v>(-0.014, 0.057)</v>
      </c>
      <c r="W60" s="355">
        <v>2926</v>
      </c>
      <c r="X60" s="462">
        <v>-2.1998704198896601E-2</v>
      </c>
      <c r="Y60" s="462">
        <v>3.1563701639080899E-2</v>
      </c>
      <c r="Z60" s="435" t="str">
        <f t="shared" si="102"/>
        <v>(-0.084, 0.040)</v>
      </c>
      <c r="AA60" s="526">
        <f t="shared" si="103"/>
        <v>-1.03148340836965</v>
      </c>
      <c r="AB60" s="462">
        <v>1.7173396088211199</v>
      </c>
      <c r="AC60" s="340" t="s">
        <v>1582</v>
      </c>
      <c r="AD60" s="500">
        <f t="shared" si="77"/>
        <v>4.33259538864776E-2</v>
      </c>
      <c r="AE60" s="501">
        <f t="shared" si="104"/>
        <v>3.6341738598760595E-2</v>
      </c>
      <c r="AF60" s="484"/>
      <c r="AG60" s="512">
        <f t="shared" si="72"/>
        <v>146716</v>
      </c>
      <c r="AH60" s="308">
        <f t="shared" si="105"/>
        <v>0.1204628784716954</v>
      </c>
      <c r="AI60" s="308">
        <f t="shared" si="106"/>
        <v>2.5992682387475092E-3</v>
      </c>
      <c r="AJ60" s="513" t="str">
        <f t="shared" si="107"/>
        <v>(0.115, 0.126)</v>
      </c>
      <c r="AK60" s="512">
        <f t="shared" si="73"/>
        <v>41353</v>
      </c>
      <c r="AL60" s="308">
        <f t="shared" si="108"/>
        <v>0.11936194001066751</v>
      </c>
      <c r="AM60" s="308">
        <f t="shared" si="109"/>
        <v>8.3964516958079695E-3</v>
      </c>
      <c r="AN60" s="513" t="str">
        <f t="shared" si="110"/>
        <v>(0.103, 0.136)</v>
      </c>
      <c r="AO60" s="540">
        <f t="shared" si="89"/>
        <v>1.0374324527551928</v>
      </c>
      <c r="AP60" s="528">
        <f t="shared" si="90"/>
        <v>7.2981737934225785E-2</v>
      </c>
      <c r="AQ60" s="540">
        <f t="shared" si="93"/>
        <v>-2.287587494214237E-3</v>
      </c>
      <c r="AR60" s="308">
        <f t="shared" si="94"/>
        <v>8.8254134172573023E-3</v>
      </c>
      <c r="AS60" s="474" t="str">
        <f t="shared" si="0"/>
        <v>8.0E-01</v>
      </c>
      <c r="AT60" s="550">
        <v>0.93913040000000003</v>
      </c>
      <c r="AU60" s="475"/>
      <c r="AV60"/>
      <c r="AW60"/>
      <c r="AX60"/>
      <c r="AY60"/>
    </row>
    <row r="61" spans="1:51">
      <c r="A61" s="452"/>
      <c r="B61" s="456" t="s">
        <v>535</v>
      </c>
      <c r="C61" s="553" t="s">
        <v>1729</v>
      </c>
      <c r="E61" s="355">
        <v>56530</v>
      </c>
      <c r="F61" s="462">
        <v>0.114328068889747</v>
      </c>
      <c r="G61" s="462">
        <v>4.1714378601168398E-3</v>
      </c>
      <c r="H61" s="435" t="str">
        <f t="shared" si="111"/>
        <v>(0.106, 0.123)</v>
      </c>
      <c r="I61" s="355">
        <v>16142</v>
      </c>
      <c r="J61" s="462">
        <v>0.12605858134346801</v>
      </c>
      <c r="K61" s="462">
        <v>1.3565886523328701E-2</v>
      </c>
      <c r="L61" s="435" t="str">
        <f t="shared" si="112"/>
        <v>(0.099, 0.153)</v>
      </c>
      <c r="M61" s="526">
        <f t="shared" si="113"/>
        <v>1.102603958657199</v>
      </c>
      <c r="N61" s="462">
        <v>0.12529198274817899</v>
      </c>
      <c r="O61" s="435" t="s">
        <v>1400</v>
      </c>
      <c r="P61" s="491">
        <f t="shared" si="116"/>
        <v>-1.1730512453721004E-2</v>
      </c>
      <c r="Q61" s="494">
        <f t="shared" si="117"/>
        <v>1.4192750648998501E-2</v>
      </c>
      <c r="R61" s="561"/>
      <c r="S61" s="355">
        <v>4328</v>
      </c>
      <c r="T61" s="462">
        <v>9.3178559570797598E-2</v>
      </c>
      <c r="U61" s="462">
        <v>1.5221058061928401E-2</v>
      </c>
      <c r="V61" s="435" t="str">
        <f t="shared" si="101"/>
        <v>(0.063, 0.123)</v>
      </c>
      <c r="W61" s="355">
        <v>3825</v>
      </c>
      <c r="X61" s="462">
        <v>0.142317942144812</v>
      </c>
      <c r="Y61" s="462">
        <v>2.8767103622200502E-2</v>
      </c>
      <c r="Z61" s="435" t="str">
        <f t="shared" si="102"/>
        <v>(0.086, 0.199)</v>
      </c>
      <c r="AA61" s="526">
        <f t="shared" si="103"/>
        <v>1.5273679138244032</v>
      </c>
      <c r="AB61" s="462">
        <v>0.39694533841900798</v>
      </c>
      <c r="AC61" s="340" t="s">
        <v>1583</v>
      </c>
      <c r="AD61" s="500">
        <f t="shared" si="77"/>
        <v>-4.9139382574014401E-2</v>
      </c>
      <c r="AE61" s="501">
        <f t="shared" si="104"/>
        <v>3.2545765612979775E-2</v>
      </c>
      <c r="AF61" s="484"/>
      <c r="AG61" s="512">
        <f t="shared" si="72"/>
        <v>60858</v>
      </c>
      <c r="AH61" s="308">
        <f t="shared" si="105"/>
        <v>0.11270591323552438</v>
      </c>
      <c r="AI61" s="308">
        <f t="shared" si="106"/>
        <v>4.0230912470637838E-3</v>
      </c>
      <c r="AJ61" s="513" t="str">
        <f t="shared" si="107"/>
        <v>(0.105, 0.121)</v>
      </c>
      <c r="AK61" s="512">
        <f t="shared" si="73"/>
        <v>19967</v>
      </c>
      <c r="AL61" s="308">
        <f t="shared" si="108"/>
        <v>0.12901659242427022</v>
      </c>
      <c r="AM61" s="308">
        <f t="shared" si="109"/>
        <v>1.2269992629119608E-2</v>
      </c>
      <c r="AN61" s="513" t="str">
        <f t="shared" si="110"/>
        <v>(0.105, 0.153)</v>
      </c>
      <c r="AO61" s="540">
        <f t="shared" si="89"/>
        <v>1.1410885322716473</v>
      </c>
      <c r="AP61" s="528">
        <f t="shared" si="90"/>
        <v>0.11948137660558011</v>
      </c>
      <c r="AQ61" s="540">
        <f t="shared" si="93"/>
        <v>-1.7707872393405107E-2</v>
      </c>
      <c r="AR61" s="308">
        <f t="shared" si="94"/>
        <v>1.3009538813278343E-2</v>
      </c>
      <c r="AS61" s="474" t="str">
        <f t="shared" si="0"/>
        <v>1.7E-01</v>
      </c>
      <c r="AT61" s="550">
        <v>0.4172727</v>
      </c>
      <c r="AU61" s="475"/>
      <c r="AV61"/>
      <c r="AW61"/>
      <c r="AX61"/>
      <c r="AY61"/>
    </row>
    <row r="62" spans="1:51">
      <c r="A62" s="452"/>
      <c r="B62" s="452"/>
      <c r="C62" s="557"/>
      <c r="E62" s="444"/>
      <c r="F62" s="463"/>
      <c r="G62" s="350"/>
      <c r="H62" s="445"/>
      <c r="I62" s="444"/>
      <c r="J62" s="463"/>
      <c r="K62" s="340"/>
      <c r="L62" s="435"/>
      <c r="M62" s="531"/>
      <c r="N62" s="463"/>
      <c r="O62" s="445"/>
      <c r="P62" s="492"/>
      <c r="Q62" s="493"/>
      <c r="R62" s="561"/>
      <c r="S62" s="444"/>
      <c r="T62" s="463"/>
      <c r="U62" s="350"/>
      <c r="V62" s="445"/>
      <c r="W62" s="443"/>
      <c r="X62" s="462"/>
      <c r="Y62" s="340"/>
      <c r="Z62" s="435"/>
      <c r="AA62" s="462"/>
      <c r="AB62" s="462"/>
      <c r="AC62" s="340"/>
      <c r="AD62" s="502"/>
      <c r="AE62" s="503"/>
      <c r="AF62" s="484"/>
      <c r="AG62" s="514"/>
      <c r="AH62" s="478"/>
      <c r="AI62" s="478" t="str">
        <f t="shared" si="106"/>
        <v/>
      </c>
      <c r="AJ62" s="515"/>
      <c r="AK62" s="514"/>
      <c r="AL62" s="478" t="str">
        <f t="shared" si="108"/>
        <v/>
      </c>
      <c r="AM62" s="478"/>
      <c r="AN62" s="503"/>
      <c r="AO62" s="531"/>
      <c r="AP62" s="542"/>
      <c r="AQ62" s="543" t="str">
        <f>IF(AND(P62=0,AD62=0),"",
 IF(P62=0,AD62,
  IF(AD62=0,P62,
   (P62/Q62^2 + AD62/AE62^2)/(1/Q62^2 + 1/AE62^2))))</f>
        <v/>
      </c>
      <c r="AR62" s="478" t="str">
        <f>IF(AND(P62=0,AD62=0),"",
 IF(P62=0,AE62,
  IF(AD62=0,Q62,
   SQRT(1/(1/Q62^2 + 1/AE62^2)))))</f>
        <v/>
      </c>
      <c r="AS62" s="547" t="str">
        <f t="shared" si="0"/>
        <v/>
      </c>
      <c r="AT62" s="551"/>
      <c r="AU62" s="475"/>
    </row>
    <row r="63" spans="1:51">
      <c r="A63" s="454" t="s">
        <v>565</v>
      </c>
      <c r="B63" s="459"/>
      <c r="C63" s="509"/>
      <c r="E63" s="343"/>
      <c r="F63" s="522"/>
      <c r="G63" s="343"/>
      <c r="H63" s="343"/>
      <c r="I63" s="343"/>
      <c r="J63" s="522"/>
      <c r="K63" s="343"/>
      <c r="L63" s="343"/>
      <c r="M63" s="522"/>
      <c r="N63" s="522"/>
      <c r="O63" s="343"/>
      <c r="P63" s="448"/>
      <c r="Q63" s="448"/>
      <c r="R63" s="561"/>
      <c r="S63" s="350"/>
      <c r="T63" s="462"/>
      <c r="U63" s="340"/>
      <c r="V63" s="340"/>
      <c r="W63" s="347"/>
      <c r="X63" s="464"/>
      <c r="Y63" s="347"/>
      <c r="Z63" s="343"/>
      <c r="AA63" s="464"/>
      <c r="AB63" s="464"/>
      <c r="AC63" s="343"/>
      <c r="AD63" s="446"/>
      <c r="AE63" s="308"/>
      <c r="AF63" s="484"/>
      <c r="AG63" s="11"/>
      <c r="AH63" s="308"/>
      <c r="AI63" s="308" t="str">
        <f t="shared" si="106"/>
        <v/>
      </c>
      <c r="AJ63" s="125"/>
      <c r="AK63" s="11"/>
      <c r="AL63" s="308" t="str">
        <f t="shared" si="108"/>
        <v/>
      </c>
      <c r="AM63" s="308"/>
      <c r="AN63" s="308"/>
      <c r="AO63" s="464"/>
      <c r="AP63" s="464"/>
      <c r="AQ63" s="308" t="str">
        <f>IF(AND(P63=0,AD63=0),"",
 IF(P63=0,AD63,
  IF(AD63=0,P63,
   (P63/Q63^2 + AD63/AE63^2)/(1/Q63^2 + 1/AE63^2))))</f>
        <v/>
      </c>
      <c r="AR63" s="308" t="str">
        <f>IF(AND(P63=0,AD63=0),"",
 IF(P63=0,AE63,
  IF(AD63=0,Q63,
   SQRT(1/(1/Q63^2 + 1/AE63^2)))))</f>
        <v/>
      </c>
      <c r="AS63" s="474" t="str">
        <f t="shared" si="0"/>
        <v/>
      </c>
    </row>
    <row r="64" spans="1:51">
      <c r="A64" s="452"/>
      <c r="B64" s="456" t="s">
        <v>193</v>
      </c>
      <c r="C64" s="558" t="s">
        <v>1730</v>
      </c>
      <c r="E64" s="368">
        <v>23249</v>
      </c>
      <c r="F64" s="464">
        <v>1.17408894999092</v>
      </c>
      <c r="G64" s="464">
        <v>5.4194662994882903E-2</v>
      </c>
      <c r="H64" s="435" t="str">
        <f>"(" &amp; TEXT(
    IF(C64="Continuous", F64 - _xlfn.NORM.S.INV(0.975)*G64,
        IF(C64="Binary", EXP(LN(F64) - _xlfn.NORM.S.INV(0.975)*G64), "NA")
    ), "0.000"
) &amp; ", " &amp; TEXT(
    IF(C64="Continuous", F64 + _xlfn.NORM.S.INV(0.975)*G64,
        IF(C64="Binary", EXP(LN(F64) + _xlfn.NORM.S.INV(0.975)*G64), "NA")
    ), "0.000"
) &amp; ")"</f>
        <v>(1.056, 1.306)</v>
      </c>
      <c r="I64" s="355">
        <v>6823</v>
      </c>
      <c r="J64" s="462">
        <v>1.3622723043915499</v>
      </c>
      <c r="K64" s="462">
        <v>0.187494834650619</v>
      </c>
      <c r="L64" s="435" t="str">
        <f>"(" &amp; TEXT(
    IF(C64="Continuous", J64 - _xlfn.NORM.S.INV(0.975)*K64,
        IF(C64="Binary", EXP(LN(J64) - _xlfn.NORM.S.INV(0.975)*K64), "NA")
    ), "0.000"
) &amp; ", " &amp; TEXT(
    IF(C64="Continuous", J64 + _xlfn.NORM.S.INV(0.975)*K64,
        IF(C64="Binary", EXP(LN(J64) + _xlfn.NORM.S.INV(0.975)*K64), "NA")
    ), "0.000"
) &amp; ")"</f>
        <v>(0.943, 1.967)</v>
      </c>
      <c r="M64" s="526">
        <f>IF(C64="Continuous",J64/F64,IF(C64="Binary",LN(J64)/LN(F64),""))</f>
        <v>1.9262840704427548</v>
      </c>
      <c r="N64" s="462">
        <v>1.3371244766113499</v>
      </c>
      <c r="O64" s="340" t="s">
        <v>1510</v>
      </c>
      <c r="P64" s="495">
        <f>IF(C64="Continuous",F64-J64,IF(C64="Binary",LN(F64)-LN(J64)))</f>
        <v>-0.14866163240901398</v>
      </c>
      <c r="Q64" s="496">
        <f>SQRT(G64^2 + K64^2)</f>
        <v>0.19517011686677826</v>
      </c>
      <c r="R64" s="561"/>
      <c r="S64" s="605" t="s">
        <v>776</v>
      </c>
      <c r="T64" s="605"/>
      <c r="U64" s="605"/>
      <c r="V64" s="605"/>
      <c r="W64" s="606" t="s">
        <v>776</v>
      </c>
      <c r="X64" s="605"/>
      <c r="Y64" s="605"/>
      <c r="Z64" s="607"/>
      <c r="AA64" s="605" t="s">
        <v>776</v>
      </c>
      <c r="AB64" s="605"/>
      <c r="AC64" s="605"/>
      <c r="AD64" s="584" t="s">
        <v>776</v>
      </c>
      <c r="AE64" s="586"/>
      <c r="AF64" s="484"/>
      <c r="AG64" s="510">
        <f t="shared" ref="AG64:AG70" si="118">IF(AND(E64="NA", S64="NA"), "NA", IF(E64="NA", S64, IF(S64="NA", E64, E64 + S64)))</f>
        <v>23249</v>
      </c>
      <c r="AH64" s="477">
        <f t="shared" ref="AH64:AH70" si="119">IF(AND(F64=0,T64=0),"", IF(F64=0,T64,
IF(T64=0,F64,EXP((LN(F64)/G64^2+LN(T64)/U64^2)/(1/G64^2+1/U64^2)))))</f>
        <v>1.17408894999092</v>
      </c>
      <c r="AI64" s="477">
        <f t="shared" si="106"/>
        <v>5.4194662994882903E-2</v>
      </c>
      <c r="AJ64" s="511" t="str">
        <f t="shared" ref="AJ64:AJ70" si="120">"(" &amp; TEXT(
    IF(C64="Continuous", AH64 - _xlfn.NORM.S.INV(0.975)*AI64,
        IF(C64="Binary", EXP(LN(AH64) - _xlfn.NORM.S.INV(0.975)*AI64), "NA")
    ), "0.000"
) &amp; ", " &amp; TEXT(
    IF(C64="Continuous", AH64 + _xlfn.NORM.S.INV(0.975)*AI64,
        IF(C64="Binary", EXP(LN(AH64) + _xlfn.NORM.S.INV(0.975)*AI64), "NA")
    ), "0.000"
) &amp; ")"</f>
        <v>(1.056, 1.306)</v>
      </c>
      <c r="AK64" s="510">
        <f t="shared" ref="AK64:AK70" si="121">IF(AND(I64="NA", W64="NA"), "NA", IF(I64="NA", W64, IF(W64="NA", I64, I64 + W64)))</f>
        <v>6823</v>
      </c>
      <c r="AL64" s="477">
        <f t="shared" si="108"/>
        <v>1.3622723043915499</v>
      </c>
      <c r="AM64" s="477">
        <f t="shared" ref="AM64:AM70" si="122">IF(AND(J64=0,X64=0),"",
 IF(J64=0,Y64,
  IF(X64=0,K64,
   SQRT(1/(1/K64^2 + 1/Y64^2)))))</f>
        <v>0.187494834650619</v>
      </c>
      <c r="AN64" s="511" t="str">
        <f t="shared" ref="AN64:AN70" si="123">"(" &amp; TEXT(
    IF(C64="Continuous", AL64 - _xlfn.NORM.S.INV(0.975)*AM64,
        IF(C64="Binary", EXP(LN(AL64) - _xlfn.NORM.S.INV(0.975)*AM64), "NA")
    ), "0.000"
) &amp; ", " &amp; TEXT(
    IF(C64="Continuous", AL64 + _xlfn.NORM.S.INV(0.975)*AM64,
        IF(C64="Binary", EXP(LN(AL64) + _xlfn.NORM.S.INV(0.975)*AM64), "NA")
    ), "0.000"
) &amp; ")"</f>
        <v>(0.943, 1.967)</v>
      </c>
      <c r="AO64" s="537">
        <f>IF(AND(M64="NA",AA64="NA"),"",
 IF(M64="NA",AA64,
  IF(AA64="NA",M64,
   (M64/N64^2 + AA64/AB64^2)/(1/N64^2 + 1/AB64^2))))</f>
        <v>1.9262840704427548</v>
      </c>
      <c r="AP64" s="527">
        <f>IF(AND(M64="NA",AA64="NA"),"",
 IF(M64="NA",AB64,
  IF(AA64="NA",N64,
   SQRT(1/(1/N64^2 + 1/AB64^2)))))</f>
        <v>1.3371244766113499</v>
      </c>
      <c r="AQ64" s="537">
        <f t="shared" ref="AQ64" si="124">IF(AND(P64="NA",AD64="NA"),"NA",
 IF(P64="NA",AD64,
  IF(AD64="NA",P64,
   (P64/Q64^2 + AD64/AE64^2)/(1/Q64^2 + 1/AE64^2))))</f>
        <v>-0.14866163240901398</v>
      </c>
      <c r="AR64" s="477">
        <f t="shared" ref="AR64" si="125">IF(AND(P64="NA",AD64="NA"),"",
 IF(P64="NA",AE64,
  IF(AD64="NA",Q64,
   SQRT(1/(1/Q64^2 + 1/AE64^2)))))</f>
        <v>0.19517011686677826</v>
      </c>
      <c r="AS64" s="548" t="str">
        <f t="shared" si="0"/>
        <v>4.5E-01</v>
      </c>
      <c r="AT64" s="552">
        <v>0.73636360000000001</v>
      </c>
      <c r="AU64" s="475"/>
      <c r="AV64"/>
      <c r="AW64"/>
      <c r="AX64"/>
      <c r="AY64"/>
    </row>
    <row r="65" spans="1:51">
      <c r="A65" s="452"/>
      <c r="B65" s="456" t="s">
        <v>218</v>
      </c>
      <c r="C65" s="554" t="s">
        <v>1730</v>
      </c>
      <c r="E65" s="355">
        <v>22960</v>
      </c>
      <c r="F65" s="462">
        <v>1.27179983290502</v>
      </c>
      <c r="G65" s="462">
        <v>0.12627520893813601</v>
      </c>
      <c r="H65" s="435" t="str">
        <f t="shared" ref="H65:H70" si="126">"(" &amp; TEXT(
    IF(C65="Continuous", F65 - _xlfn.NORM.S.INV(0.975)*G65,
        IF(C65="Binary", EXP(LN(F65) - _xlfn.NORM.S.INV(0.975)*G65), "NA")
    ), "0.000"
) &amp; ", " &amp; TEXT(
    IF(C65="Continuous", F65 + _xlfn.NORM.S.INV(0.975)*G65,
        IF(C65="Binary", EXP(LN(F65) + _xlfn.NORM.S.INV(0.975)*G65), "NA")
    ), "0.000"
) &amp; ")"</f>
        <v>(0.993, 1.629)</v>
      </c>
      <c r="I65" s="355">
        <v>6748</v>
      </c>
      <c r="J65" s="462">
        <v>1.38426778496004</v>
      </c>
      <c r="K65" s="462">
        <v>0.53925949220926594</v>
      </c>
      <c r="L65" s="435" t="str">
        <f t="shared" ref="L65:L70" si="127">"(" &amp; TEXT(
    IF(C65="Continuous", J65 - _xlfn.NORM.S.INV(0.975)*K65,
        IF(C65="Binary", EXP(LN(J65) - _xlfn.NORM.S.INV(0.975)*K65), "NA")
    ), "0.000"
) &amp; ", " &amp; TEXT(
    IF(C65="Continuous", J65 + _xlfn.NORM.S.INV(0.975)*K65,
        IF(C65="Binary", EXP(LN(J65) + _xlfn.NORM.S.INV(0.975)*K65), "NA")
    ), "0.000"
) &amp; ")"</f>
        <v>(0.481, 3.983)</v>
      </c>
      <c r="M65" s="526">
        <f t="shared" ref="M65:M70" si="128">IF(C65="Continuous",J65/F65,IF(C65="Binary",LN(J65)/LN(F65),""))</f>
        <v>1.3524399939965179</v>
      </c>
      <c r="N65" s="462">
        <v>2.35265372836189</v>
      </c>
      <c r="O65" s="340" t="s">
        <v>1414</v>
      </c>
      <c r="P65" s="491">
        <f t="shared" ref="P65" si="129">IF(C65="Continuous",F65-J65,IF(C65="Binary",LN(F65)-LN(J65)))</f>
        <v>-8.4738236255706617E-2</v>
      </c>
      <c r="Q65" s="494">
        <f t="shared" ref="Q65" si="130">SQRT(G65^2 + K65^2)</f>
        <v>0.55384675527637173</v>
      </c>
      <c r="R65" s="561"/>
      <c r="S65" s="601" t="s">
        <v>776</v>
      </c>
      <c r="T65" s="601"/>
      <c r="U65" s="601"/>
      <c r="V65" s="601"/>
      <c r="W65" s="600" t="s">
        <v>776</v>
      </c>
      <c r="X65" s="601"/>
      <c r="Y65" s="601"/>
      <c r="Z65" s="602"/>
      <c r="AA65" s="601" t="s">
        <v>776</v>
      </c>
      <c r="AB65" s="601"/>
      <c r="AC65" s="601"/>
      <c r="AD65" s="579" t="s">
        <v>776</v>
      </c>
      <c r="AE65" s="580"/>
      <c r="AF65" s="484"/>
      <c r="AG65" s="512">
        <f t="shared" si="118"/>
        <v>22960</v>
      </c>
      <c r="AH65" s="308">
        <f t="shared" si="119"/>
        <v>1.27179983290502</v>
      </c>
      <c r="AI65" s="308">
        <f t="shared" si="106"/>
        <v>0.12627520893813601</v>
      </c>
      <c r="AJ65" s="513" t="str">
        <f t="shared" si="120"/>
        <v>(0.993, 1.629)</v>
      </c>
      <c r="AK65" s="512">
        <f t="shared" si="121"/>
        <v>6748</v>
      </c>
      <c r="AL65" s="308">
        <f t="shared" si="108"/>
        <v>1.38426778496004</v>
      </c>
      <c r="AM65" s="308">
        <f t="shared" si="122"/>
        <v>0.53925949220926594</v>
      </c>
      <c r="AN65" s="513" t="str">
        <f t="shared" si="123"/>
        <v>(0.481, 3.983)</v>
      </c>
      <c r="AO65" s="540">
        <f t="shared" ref="AO65:AO66" si="131">IF(AND(M65="NA",AA65="NA"),"",
 IF(M65="NA",AA65,
  IF(AA65="NA",M65,
   (M65/N65^2 + AA65/AB65^2)/(1/N65^2 + 1/AB65^2))))</f>
        <v>1.3524399939965179</v>
      </c>
      <c r="AP65" s="528">
        <f t="shared" ref="AP65:AP66" si="132">IF(AND(M65="NA",AA65="NA"),"",
 IF(M65="NA",AB65,
  IF(AA65="NA",N65,
   SQRT(1/(1/N65^2 + 1/AB65^2)))))</f>
        <v>2.35265372836189</v>
      </c>
      <c r="AQ65" s="540">
        <f t="shared" ref="AQ65:AQ79" si="133">IF(AND(P65="NA",AD65="NA"),"NA",
 IF(P65="NA",AD65,
  IF(AD65="NA",P65,
   (P65/Q65^2 + AD65/AE65^2)/(1/Q65^2 + 1/AE65^2))))</f>
        <v>-8.4738236255706617E-2</v>
      </c>
      <c r="AR65" s="308">
        <f t="shared" ref="AR65:AR79" si="134">IF(AND(P65="NA",AD65="NA"),"",
 IF(P65="NA",AE65,
  IF(AD65="NA",Q65,
   SQRT(1/(1/Q65^2 + 1/AE65^2)))))</f>
        <v>0.55384675527637173</v>
      </c>
      <c r="AS65" s="474" t="str">
        <f t="shared" si="0"/>
        <v>8.8E-01</v>
      </c>
      <c r="AT65" s="550">
        <v>1</v>
      </c>
      <c r="AU65" s="475"/>
      <c r="AV65"/>
      <c r="AW65"/>
      <c r="AX65"/>
      <c r="AY65"/>
    </row>
    <row r="66" spans="1:51">
      <c r="A66" s="452"/>
      <c r="B66" s="456" t="s">
        <v>221</v>
      </c>
      <c r="C66" s="554" t="s">
        <v>1730</v>
      </c>
      <c r="E66" s="355">
        <v>23041</v>
      </c>
      <c r="F66" s="462">
        <v>1.2987068926424401</v>
      </c>
      <c r="G66" s="462">
        <v>8.3386835322232594E-2</v>
      </c>
      <c r="H66" s="435" t="str">
        <f t="shared" si="126"/>
        <v>(1.103, 1.529)</v>
      </c>
      <c r="I66" s="355">
        <v>6769</v>
      </c>
      <c r="J66" s="462">
        <v>1.14196514997674</v>
      </c>
      <c r="K66" s="462">
        <v>0.30935005021655998</v>
      </c>
      <c r="L66" s="435" t="str">
        <f t="shared" si="127"/>
        <v>(0.623, 2.094)</v>
      </c>
      <c r="M66" s="526">
        <f t="shared" si="128"/>
        <v>0.50790475464019358</v>
      </c>
      <c r="N66" s="462">
        <v>1.19461647316435</v>
      </c>
      <c r="O66" s="340" t="s">
        <v>1511</v>
      </c>
      <c r="P66" s="491">
        <f t="shared" ref="P66:P70" si="135">IF(C66="Continuous",F66-J66,IF(C66="Binary",LN(F66)-LN(J66)))</f>
        <v>0.12861847734947993</v>
      </c>
      <c r="Q66" s="494">
        <f t="shared" ref="Q66:Q70" si="136">SQRT(G66^2 + K66^2)</f>
        <v>0.32039166324054891</v>
      </c>
      <c r="R66" s="561"/>
      <c r="S66" s="601" t="s">
        <v>776</v>
      </c>
      <c r="T66" s="601"/>
      <c r="U66" s="601"/>
      <c r="V66" s="601"/>
      <c r="W66" s="600" t="s">
        <v>776</v>
      </c>
      <c r="X66" s="601"/>
      <c r="Y66" s="601"/>
      <c r="Z66" s="602"/>
      <c r="AA66" s="601" t="s">
        <v>776</v>
      </c>
      <c r="AB66" s="601"/>
      <c r="AC66" s="601"/>
      <c r="AD66" s="579" t="s">
        <v>776</v>
      </c>
      <c r="AE66" s="580"/>
      <c r="AF66" s="484"/>
      <c r="AG66" s="512">
        <f t="shared" si="118"/>
        <v>23041</v>
      </c>
      <c r="AH66" s="308">
        <f t="shared" si="119"/>
        <v>1.2987068926424401</v>
      </c>
      <c r="AI66" s="308">
        <f t="shared" si="106"/>
        <v>8.3386835322232594E-2</v>
      </c>
      <c r="AJ66" s="513" t="str">
        <f t="shared" si="120"/>
        <v>(1.103, 1.529)</v>
      </c>
      <c r="AK66" s="512">
        <f t="shared" si="121"/>
        <v>6769</v>
      </c>
      <c r="AL66" s="308">
        <f t="shared" si="108"/>
        <v>1.14196514997674</v>
      </c>
      <c r="AM66" s="308">
        <f t="shared" si="122"/>
        <v>0.30935005021655998</v>
      </c>
      <c r="AN66" s="513" t="str">
        <f t="shared" si="123"/>
        <v>(0.623, 2.094)</v>
      </c>
      <c r="AO66" s="540">
        <f t="shared" si="131"/>
        <v>0.50790475464019358</v>
      </c>
      <c r="AP66" s="528">
        <f t="shared" si="132"/>
        <v>1.19461647316435</v>
      </c>
      <c r="AQ66" s="540">
        <f t="shared" si="133"/>
        <v>0.12861847734947993</v>
      </c>
      <c r="AR66" s="308">
        <f t="shared" si="134"/>
        <v>0.32039166324054891</v>
      </c>
      <c r="AS66" s="474" t="str">
        <f t="shared" si="0"/>
        <v>6.9E-01</v>
      </c>
      <c r="AT66" s="550">
        <v>0.876</v>
      </c>
      <c r="AU66" s="475"/>
      <c r="AV66"/>
      <c r="AW66"/>
      <c r="AX66"/>
      <c r="AY66"/>
    </row>
    <row r="67" spans="1:51">
      <c r="A67" s="452"/>
      <c r="B67" s="456" t="s">
        <v>224</v>
      </c>
      <c r="C67" s="554" t="s">
        <v>1730</v>
      </c>
      <c r="E67" s="355">
        <v>24146</v>
      </c>
      <c r="F67" s="462">
        <v>1.7668173816108299</v>
      </c>
      <c r="G67" s="462">
        <v>3.0454713337878199E-2</v>
      </c>
      <c r="H67" s="435" t="str">
        <f t="shared" si="126"/>
        <v>(1.664, 1.875)</v>
      </c>
      <c r="I67" s="355">
        <v>7055</v>
      </c>
      <c r="J67" s="462">
        <v>1.9920617164012899</v>
      </c>
      <c r="K67" s="462">
        <v>0.104504767972824</v>
      </c>
      <c r="L67" s="435" t="str">
        <f t="shared" si="127"/>
        <v>(1.623, 2.445)</v>
      </c>
      <c r="M67" s="526">
        <f t="shared" si="128"/>
        <v>1.2108126361439711</v>
      </c>
      <c r="N67" s="462">
        <v>0.19470069845657201</v>
      </c>
      <c r="O67" s="340" t="s">
        <v>1512</v>
      </c>
      <c r="P67" s="491">
        <f t="shared" si="135"/>
        <v>-0.11999030221463325</v>
      </c>
      <c r="Q67" s="494">
        <f t="shared" si="136"/>
        <v>0.10885189981597068</v>
      </c>
      <c r="R67" s="561"/>
      <c r="S67" s="601" t="s">
        <v>776</v>
      </c>
      <c r="T67" s="601"/>
      <c r="U67" s="601"/>
      <c r="V67" s="601"/>
      <c r="W67" s="600" t="s">
        <v>776</v>
      </c>
      <c r="X67" s="601"/>
      <c r="Y67" s="601"/>
      <c r="Z67" s="602"/>
      <c r="AA67" s="601" t="s">
        <v>776</v>
      </c>
      <c r="AB67" s="601"/>
      <c r="AC67" s="601"/>
      <c r="AD67" s="579" t="s">
        <v>776</v>
      </c>
      <c r="AE67" s="580"/>
      <c r="AF67" s="484"/>
      <c r="AG67" s="512">
        <f t="shared" si="118"/>
        <v>24146</v>
      </c>
      <c r="AH67" s="308">
        <f t="shared" si="119"/>
        <v>1.7668173816108299</v>
      </c>
      <c r="AI67" s="308">
        <f t="shared" si="106"/>
        <v>3.0454713337878199E-2</v>
      </c>
      <c r="AJ67" s="513" t="str">
        <f t="shared" si="120"/>
        <v>(1.664, 1.875)</v>
      </c>
      <c r="AK67" s="512">
        <f t="shared" si="121"/>
        <v>7055</v>
      </c>
      <c r="AL67" s="308">
        <f t="shared" si="108"/>
        <v>1.9920617164012899</v>
      </c>
      <c r="AM67" s="308">
        <f t="shared" si="122"/>
        <v>0.104504767972824</v>
      </c>
      <c r="AN67" s="513" t="str">
        <f t="shared" si="123"/>
        <v>(1.623, 2.445)</v>
      </c>
      <c r="AO67" s="540">
        <f t="shared" ref="AO67:AO70" si="137">IF(AND(M67="NA",AA67="NA"),"",
 IF(M67="NA",AA67,
  IF(AA67="NA",M67,
   (M67/N67^2 + AA67/AB67^2)/(1/N67^2 + 1/AB67^2))))</f>
        <v>1.2108126361439711</v>
      </c>
      <c r="AP67" s="528">
        <f t="shared" ref="AP67:AP70" si="138">IF(AND(M67="NA",AA67="NA"),"",
 IF(M67="NA",AB67,
  IF(AA67="NA",N67,
   SQRT(1/(1/N67^2 + 1/AB67^2)))))</f>
        <v>0.19470069845657201</v>
      </c>
      <c r="AQ67" s="540">
        <f t="shared" si="133"/>
        <v>-0.11999030221463325</v>
      </c>
      <c r="AR67" s="308">
        <f t="shared" si="134"/>
        <v>0.10885189981597068</v>
      </c>
      <c r="AS67" s="474" t="str">
        <f t="shared" si="0"/>
        <v>2.7E-01</v>
      </c>
      <c r="AT67" s="550">
        <v>0.50275860000000006</v>
      </c>
      <c r="AU67" s="475"/>
      <c r="AV67"/>
      <c r="AW67"/>
      <c r="AX67"/>
      <c r="AY67"/>
    </row>
    <row r="68" spans="1:51">
      <c r="A68" s="452"/>
      <c r="B68" s="456" t="s">
        <v>348</v>
      </c>
      <c r="C68" s="553" t="s">
        <v>1729</v>
      </c>
      <c r="E68" s="355">
        <v>134767</v>
      </c>
      <c r="F68" s="462">
        <v>0.14032346400495099</v>
      </c>
      <c r="G68" s="462">
        <v>2.6997934880289001E-3</v>
      </c>
      <c r="H68" s="435" t="str">
        <f t="shared" si="126"/>
        <v>(0.135, 0.146)</v>
      </c>
      <c r="I68" s="355">
        <v>36057</v>
      </c>
      <c r="J68" s="462">
        <v>0.123403804930101</v>
      </c>
      <c r="K68" s="462">
        <v>8.90403645019687E-3</v>
      </c>
      <c r="L68" s="435" t="str">
        <f t="shared" si="127"/>
        <v>(0.106, 0.141)</v>
      </c>
      <c r="M68" s="526">
        <f t="shared" si="128"/>
        <v>0.8794238782884306</v>
      </c>
      <c r="N68" s="462">
        <v>6.5670770385335697E-2</v>
      </c>
      <c r="O68" s="340" t="s">
        <v>1401</v>
      </c>
      <c r="P68" s="491">
        <f t="shared" si="135"/>
        <v>1.6919659074849991E-2</v>
      </c>
      <c r="Q68" s="494">
        <f t="shared" si="136"/>
        <v>9.304340384166828E-3</v>
      </c>
      <c r="R68" s="561"/>
      <c r="S68" s="354">
        <v>4330</v>
      </c>
      <c r="T68" s="462">
        <v>0.11772958961926901</v>
      </c>
      <c r="U68" s="462">
        <v>1.51241674491442E-2</v>
      </c>
      <c r="V68" s="435" t="str">
        <f t="shared" ref="V68:V69" si="139">"(" &amp; TEXT(
    IF(C68="Continuous", T68 - _xlfn.NORM.S.INV(0.975)*U68,
        IF(C68="Binary", EXP(LN(T68) - _xlfn.NORM.S.INV(0.975)*U68), "NA")
    ), "0.000"
) &amp; ", " &amp; TEXT(
    IF(C68="Continuous", T68 + _xlfn.NORM.S.INV(0.975)*U68,
        IF(C68="Binary", EXP(LN(T68) + _xlfn.NORM.S.INV(0.975)*U68), "NA")
    ), "0.000"
) &amp; ")"</f>
        <v>(0.088, 0.147)</v>
      </c>
      <c r="W68" s="355">
        <v>3824</v>
      </c>
      <c r="X68" s="462">
        <v>8.9938744376920607E-2</v>
      </c>
      <c r="Y68" s="462">
        <v>2.7322109378140599E-2</v>
      </c>
      <c r="Z68" s="435" t="str">
        <f t="shared" ref="Z68:Z69" si="140">"(" &amp; TEXT(
    IF(C68="Continuous", X68 - _xlfn.NORM.S.INV(0.975)*Y68,
        IF(C68="Binary", EXP(LN(X68) - _xlfn.NORM.S.INV(0.975)*Y68), "NA")
    ), "0.000"
) &amp; ", " &amp; TEXT(
    IF(C68="Continuous", X68 + _xlfn.NORM.S.INV(0.975)*Y68,
        IF(C68="Binary", EXP(LN(X68) + _xlfn.NORM.S.INV(0.975)*Y68), "NA")
    ), "0.000"
) &amp; ")"</f>
        <v>(0.036, 0.143)</v>
      </c>
      <c r="AA68" s="526">
        <f t="shared" ref="AA68:AA69" si="141">IF(C68="Continuous",X68/T68,IF(C68="Binary",LN(X68)/LN(T68),""))</f>
        <v>0.76394341191350057</v>
      </c>
      <c r="AB68" s="462">
        <v>0.25197294983902702</v>
      </c>
      <c r="AC68" s="340" t="s">
        <v>1584</v>
      </c>
      <c r="AD68" s="500">
        <f t="shared" ref="AD68:AD69" si="142">IF(C68="Continuous",T68-X68,IF(C68="Binary",LN(T68)-LN(X68),"NA"))</f>
        <v>2.77908452423484E-2</v>
      </c>
      <c r="AE68" s="501">
        <f t="shared" ref="AE68:AE69" si="143">SQRT(U68^2 + Y68^2)</f>
        <v>3.1228802441029203E-2</v>
      </c>
      <c r="AF68" s="484"/>
      <c r="AG68" s="512">
        <f t="shared" si="118"/>
        <v>139097</v>
      </c>
      <c r="AH68" s="308">
        <f t="shared" si="119"/>
        <v>0.1395647574292477</v>
      </c>
      <c r="AI68" s="308">
        <f t="shared" si="106"/>
        <v>2.6577800643381214E-3</v>
      </c>
      <c r="AJ68" s="513" t="str">
        <f t="shared" si="120"/>
        <v>(0.134, 0.145)</v>
      </c>
      <c r="AK68" s="512">
        <f t="shared" si="121"/>
        <v>39881</v>
      </c>
      <c r="AL68" s="308">
        <f t="shared" si="108"/>
        <v>0.1201908741984808</v>
      </c>
      <c r="AM68" s="308">
        <f t="shared" si="122"/>
        <v>8.4658213457141779E-3</v>
      </c>
      <c r="AN68" s="513" t="str">
        <f t="shared" si="123"/>
        <v>(0.104, 0.137)</v>
      </c>
      <c r="AO68" s="540">
        <f t="shared" si="137"/>
        <v>0.87207867654058158</v>
      </c>
      <c r="AP68" s="528">
        <f t="shared" si="138"/>
        <v>6.3547946340844694E-2</v>
      </c>
      <c r="AQ68" s="540">
        <f t="shared" si="133"/>
        <v>1.7806001977407063E-2</v>
      </c>
      <c r="AR68" s="308">
        <f t="shared" si="134"/>
        <v>8.9169791149961153E-3</v>
      </c>
      <c r="AS68" s="474" t="str">
        <f t="shared" si="0"/>
        <v>4.6E-02</v>
      </c>
      <c r="AT68" s="550">
        <v>0.19107689999999999</v>
      </c>
      <c r="AU68" s="475"/>
      <c r="AV68"/>
      <c r="AW68"/>
      <c r="AX68"/>
      <c r="AY68"/>
    </row>
    <row r="69" spans="1:51">
      <c r="A69" s="452"/>
      <c r="B69" s="456" t="s">
        <v>391</v>
      </c>
      <c r="C69" s="554" t="s">
        <v>1730</v>
      </c>
      <c r="E69" s="355">
        <v>148531</v>
      </c>
      <c r="F69" s="462">
        <v>1.2899188501744101</v>
      </c>
      <c r="G69" s="462">
        <v>5.8894709059970603E-3</v>
      </c>
      <c r="H69" s="435" t="str">
        <f t="shared" si="126"/>
        <v>(1.275, 1.305)</v>
      </c>
      <c r="I69" s="355">
        <v>39571</v>
      </c>
      <c r="J69" s="462">
        <v>1.2188405427664</v>
      </c>
      <c r="K69" s="462">
        <v>1.9607097088829999E-2</v>
      </c>
      <c r="L69" s="435" t="str">
        <f t="shared" si="127"/>
        <v>(1.173, 1.267)</v>
      </c>
      <c r="M69" s="526">
        <f t="shared" si="128"/>
        <v>0.77736102127981499</v>
      </c>
      <c r="N69" s="462">
        <v>7.9089350630503E-2</v>
      </c>
      <c r="O69" s="340" t="s">
        <v>1402</v>
      </c>
      <c r="P69" s="491">
        <f t="shared" si="135"/>
        <v>5.667927748224097E-2</v>
      </c>
      <c r="Q69" s="494">
        <f t="shared" si="136"/>
        <v>2.0472521188251134E-2</v>
      </c>
      <c r="R69" s="561"/>
      <c r="S69" s="354">
        <v>1136</v>
      </c>
      <c r="T69" s="462">
        <v>1.1092006192732999</v>
      </c>
      <c r="U69" s="462">
        <v>6.4597467344165799E-2</v>
      </c>
      <c r="V69" s="435" t="str">
        <f t="shared" si="139"/>
        <v>(0.977, 1.259)</v>
      </c>
      <c r="W69" s="355">
        <v>945</v>
      </c>
      <c r="X69" s="462">
        <v>1.3134136913749399</v>
      </c>
      <c r="Y69" s="462">
        <v>0.12761327397090699</v>
      </c>
      <c r="Z69" s="435" t="str">
        <f t="shared" si="140"/>
        <v>(1.023, 1.687)</v>
      </c>
      <c r="AA69" s="526">
        <f t="shared" si="141"/>
        <v>2.6305547043540844</v>
      </c>
      <c r="AB69" s="462">
        <v>2.0504687237087702</v>
      </c>
      <c r="AC69" s="340" t="s">
        <v>1585</v>
      </c>
      <c r="AD69" s="500">
        <f t="shared" si="142"/>
        <v>-0.16899002603043545</v>
      </c>
      <c r="AE69" s="501">
        <f t="shared" si="143"/>
        <v>0.14303139683598959</v>
      </c>
      <c r="AF69" s="484"/>
      <c r="AG69" s="512">
        <f t="shared" si="118"/>
        <v>149667</v>
      </c>
      <c r="AH69" s="308">
        <f t="shared" si="119"/>
        <v>1.2883147840799449</v>
      </c>
      <c r="AI69" s="308">
        <f t="shared" si="106"/>
        <v>5.8651449098677602E-3</v>
      </c>
      <c r="AJ69" s="513" t="str">
        <f t="shared" si="120"/>
        <v>(1.274, 1.303)</v>
      </c>
      <c r="AK69" s="512">
        <f t="shared" si="121"/>
        <v>40516</v>
      </c>
      <c r="AL69" s="308">
        <f t="shared" si="108"/>
        <v>1.2209429437574375</v>
      </c>
      <c r="AM69" s="308">
        <f t="shared" si="122"/>
        <v>1.9379686344801274E-2</v>
      </c>
      <c r="AN69" s="513" t="str">
        <f t="shared" si="123"/>
        <v>(1.175, 1.268)</v>
      </c>
      <c r="AO69" s="540">
        <f t="shared" si="137"/>
        <v>0.78011401290984572</v>
      </c>
      <c r="AP69" s="528">
        <f t="shared" si="138"/>
        <v>7.903058363683009E-2</v>
      </c>
      <c r="AQ69" s="540">
        <f t="shared" si="133"/>
        <v>5.2148790573487813E-2</v>
      </c>
      <c r="AR69" s="308">
        <f t="shared" si="134"/>
        <v>2.0265978407405582E-2</v>
      </c>
      <c r="AS69" s="474" t="str">
        <f t="shared" si="0"/>
        <v>1.0E-02</v>
      </c>
      <c r="AT69" s="550">
        <v>4.9090910000000001E-2</v>
      </c>
      <c r="AU69" s="475"/>
      <c r="AV69"/>
      <c r="AW69"/>
      <c r="AX69"/>
      <c r="AY69"/>
    </row>
    <row r="70" spans="1:51">
      <c r="A70" s="452"/>
      <c r="B70" s="456" t="s">
        <v>439</v>
      </c>
      <c r="C70" s="554" t="s">
        <v>1730</v>
      </c>
      <c r="E70" s="355">
        <v>23366</v>
      </c>
      <c r="F70" s="462">
        <v>2.3224162251431602</v>
      </c>
      <c r="G70" s="462">
        <v>4.9023693062318303E-2</v>
      </c>
      <c r="H70" s="435" t="str">
        <f t="shared" si="126"/>
        <v>(2.110, 2.557)</v>
      </c>
      <c r="I70" s="355">
        <v>6858</v>
      </c>
      <c r="J70" s="462">
        <v>3.0696657445249098</v>
      </c>
      <c r="K70" s="462">
        <v>0.16455028080857401</v>
      </c>
      <c r="L70" s="435" t="str">
        <f t="shared" si="127"/>
        <v>(2.223, 4.238)</v>
      </c>
      <c r="M70" s="526">
        <f t="shared" si="128"/>
        <v>1.3310679673602737</v>
      </c>
      <c r="N70" s="462">
        <v>0.210081714988919</v>
      </c>
      <c r="O70" s="340" t="s">
        <v>1513</v>
      </c>
      <c r="P70" s="491">
        <f t="shared" si="135"/>
        <v>-0.27896055759376004</v>
      </c>
      <c r="Q70" s="494">
        <f t="shared" si="136"/>
        <v>0.17169775011819158</v>
      </c>
      <c r="R70" s="561"/>
      <c r="S70" s="601" t="s">
        <v>776</v>
      </c>
      <c r="T70" s="601"/>
      <c r="U70" s="601"/>
      <c r="V70" s="602"/>
      <c r="W70" s="600" t="s">
        <v>776</v>
      </c>
      <c r="X70" s="601"/>
      <c r="Y70" s="601"/>
      <c r="Z70" s="602"/>
      <c r="AA70" s="601" t="s">
        <v>776</v>
      </c>
      <c r="AB70" s="601"/>
      <c r="AC70" s="601"/>
      <c r="AD70" s="579" t="s">
        <v>776</v>
      </c>
      <c r="AE70" s="580"/>
      <c r="AF70" s="484"/>
      <c r="AG70" s="512">
        <f t="shared" si="118"/>
        <v>23366</v>
      </c>
      <c r="AH70" s="308">
        <f t="shared" si="119"/>
        <v>2.3224162251431602</v>
      </c>
      <c r="AI70" s="308">
        <f t="shared" si="106"/>
        <v>4.9023693062318303E-2</v>
      </c>
      <c r="AJ70" s="513" t="str">
        <f t="shared" si="120"/>
        <v>(2.110, 2.557)</v>
      </c>
      <c r="AK70" s="512">
        <f t="shared" si="121"/>
        <v>6858</v>
      </c>
      <c r="AL70" s="308">
        <f t="shared" si="108"/>
        <v>3.0696657445249098</v>
      </c>
      <c r="AM70" s="308">
        <f t="shared" si="122"/>
        <v>0.16455028080857401</v>
      </c>
      <c r="AN70" s="513" t="str">
        <f t="shared" si="123"/>
        <v>(2.223, 4.238)</v>
      </c>
      <c r="AO70" s="540">
        <f t="shared" si="137"/>
        <v>1.3310679673602737</v>
      </c>
      <c r="AP70" s="528">
        <f t="shared" si="138"/>
        <v>0.210081714988919</v>
      </c>
      <c r="AQ70" s="540">
        <f t="shared" si="133"/>
        <v>-0.27896055759376004</v>
      </c>
      <c r="AR70" s="308">
        <f t="shared" si="134"/>
        <v>0.17169775011819158</v>
      </c>
      <c r="AS70" s="474" t="str">
        <f t="shared" ref="AS70:AS79" si="144">IF(OR(AR70&lt;=0,AR70="",AQ70=""),"",
  IFERROR(TEXT(2*(1-_xlfn.NORM.S.DIST(ABS(AQ70/AR70),TRUE)),"0.0E+00"),
  "&lt;1E-308"))</f>
        <v>1.0E-01</v>
      </c>
      <c r="AT70" s="550">
        <v>0.3</v>
      </c>
      <c r="AU70" s="475"/>
      <c r="AV70"/>
      <c r="AW70"/>
      <c r="AX70"/>
      <c r="AY70"/>
    </row>
    <row r="71" spans="1:51">
      <c r="A71" s="452"/>
      <c r="B71" s="452"/>
      <c r="C71" s="557"/>
      <c r="E71" s="444"/>
      <c r="F71" s="463"/>
      <c r="G71" s="350"/>
      <c r="H71" s="445"/>
      <c r="I71" s="443"/>
      <c r="J71" s="462"/>
      <c r="K71" s="340"/>
      <c r="L71" s="435"/>
      <c r="M71" s="462"/>
      <c r="N71" s="462"/>
      <c r="O71" s="340"/>
      <c r="P71" s="492"/>
      <c r="Q71" s="493"/>
      <c r="R71" s="561"/>
      <c r="S71" s="340"/>
      <c r="T71" s="462"/>
      <c r="U71" s="340"/>
      <c r="V71" s="445"/>
      <c r="W71" s="443"/>
      <c r="X71" s="462"/>
      <c r="Y71" s="340"/>
      <c r="Z71" s="435"/>
      <c r="AA71" s="462"/>
      <c r="AB71" s="462"/>
      <c r="AC71" s="340"/>
      <c r="AD71" s="502"/>
      <c r="AE71" s="503"/>
      <c r="AF71" s="484"/>
      <c r="AG71" s="514"/>
      <c r="AH71" s="478"/>
      <c r="AI71" s="478" t="str">
        <f t="shared" si="106"/>
        <v/>
      </c>
      <c r="AJ71" s="515"/>
      <c r="AK71" s="514"/>
      <c r="AL71" s="478" t="str">
        <f t="shared" si="108"/>
        <v/>
      </c>
      <c r="AM71" s="478"/>
      <c r="AN71" s="503"/>
      <c r="AO71" s="531"/>
      <c r="AP71" s="542"/>
      <c r="AQ71" s="543"/>
      <c r="AR71" s="478"/>
      <c r="AS71" s="547" t="str">
        <f t="shared" si="144"/>
        <v/>
      </c>
      <c r="AT71" s="551"/>
      <c r="AU71" s="475"/>
    </row>
    <row r="72" spans="1:51">
      <c r="A72" s="454" t="s">
        <v>566</v>
      </c>
      <c r="B72" s="459"/>
      <c r="C72" s="509"/>
      <c r="E72" s="343"/>
      <c r="F72" s="522"/>
      <c r="G72" s="343"/>
      <c r="H72" s="343"/>
      <c r="I72" s="343"/>
      <c r="J72" s="522"/>
      <c r="K72" s="343"/>
      <c r="L72" s="343"/>
      <c r="M72" s="522"/>
      <c r="N72" s="522"/>
      <c r="O72" s="343"/>
      <c r="P72" s="448"/>
      <c r="Q72" s="448"/>
      <c r="R72" s="561"/>
      <c r="S72" s="343"/>
      <c r="T72" s="522"/>
      <c r="U72" s="340"/>
      <c r="V72" s="340"/>
      <c r="W72" s="343"/>
      <c r="X72" s="522"/>
      <c r="Y72" s="343"/>
      <c r="Z72" s="343"/>
      <c r="AA72" s="522"/>
      <c r="AB72" s="522"/>
      <c r="AC72" s="343"/>
      <c r="AD72" s="446"/>
      <c r="AE72" s="308"/>
      <c r="AF72" s="484"/>
      <c r="AG72" s="11"/>
      <c r="AH72" s="308"/>
      <c r="AI72" s="308" t="str">
        <f t="shared" si="106"/>
        <v/>
      </c>
      <c r="AJ72" s="125"/>
      <c r="AK72" s="11"/>
      <c r="AL72" s="308" t="str">
        <f t="shared" si="108"/>
        <v/>
      </c>
      <c r="AM72" s="308"/>
      <c r="AN72" s="308"/>
      <c r="AO72" s="522"/>
      <c r="AP72" s="522"/>
      <c r="AQ72" s="540"/>
      <c r="AR72" s="308"/>
      <c r="AS72" s="474" t="str">
        <f t="shared" si="144"/>
        <v/>
      </c>
    </row>
    <row r="73" spans="1:51">
      <c r="A73" s="452"/>
      <c r="B73" s="456" t="s">
        <v>159</v>
      </c>
      <c r="C73" s="556" t="s">
        <v>1729</v>
      </c>
      <c r="E73" s="368">
        <v>40698</v>
      </c>
      <c r="F73" s="464">
        <v>0.103828292746991</v>
      </c>
      <c r="G73" s="464">
        <v>4.9467272048060798E-3</v>
      </c>
      <c r="H73" s="435" t="str">
        <f>"(" &amp; TEXT(
    IF(C73="Continuous", F73 - _xlfn.NORM.S.INV(0.975)*G73,
        IF(C73="Binary", EXP(LN(F73) - _xlfn.NORM.S.INV(0.975)*G73), "NA")
    ), "0.000"
) &amp; ", " &amp; TEXT(
    IF(C73="Continuous", F73 + _xlfn.NORM.S.INV(0.975)*G73,
        IF(C73="Binary", EXP(LN(F73) + _xlfn.NORM.S.INV(0.975)*G73), "NA")
    ), "0.000"
) &amp; ")"</f>
        <v>(0.094, 0.114)</v>
      </c>
      <c r="I73" s="355">
        <v>11854</v>
      </c>
      <c r="J73" s="462">
        <v>9.9114379863895805E-2</v>
      </c>
      <c r="K73" s="462">
        <v>1.5628264879201E-2</v>
      </c>
      <c r="L73" s="435" t="str">
        <f>"(" &amp; TEXT(
    IF(C73="Continuous", J73 - _xlfn.NORM.S.INV(0.975)*K73,
        IF(C73="Binary", EXP(LN(J73) - _xlfn.NORM.S.INV(0.975)*K73), "NA")
    ), "0.000"
) &amp; ", " &amp; TEXT(
    IF(C73="Continuous", J73 + _xlfn.NORM.S.INV(0.975)*K73,
        IF(C73="Binary", EXP(LN(J73) + _xlfn.NORM.S.INV(0.975)*K73), "NA")
    ), "0.000"
) &amp; ")"</f>
        <v>(0.068, 0.130)</v>
      </c>
      <c r="M73" s="526">
        <f>IF(C73="Continuous",J73/F73,IF(C73="Binary",LN(J73)/LN(F73),""))</f>
        <v>0.95459895604195222</v>
      </c>
      <c r="N73" s="462">
        <v>0.15724126268431399</v>
      </c>
      <c r="O73" s="340" t="s">
        <v>1403</v>
      </c>
      <c r="P73" s="495">
        <f>IF(C73="Continuous",F73-J73,IF(C73="Binary",LN(F73)-LN(J73)))</f>
        <v>4.7139128830951949E-3</v>
      </c>
      <c r="Q73" s="496">
        <f>SQRT(G73^2 + K73^2)</f>
        <v>1.6392460863861653E-2</v>
      </c>
      <c r="R73" s="561"/>
      <c r="S73" s="367">
        <v>3586</v>
      </c>
      <c r="T73" s="464">
        <v>7.2782353319699594E-2</v>
      </c>
      <c r="U73" s="464">
        <v>1.68786933608275E-2</v>
      </c>
      <c r="V73" s="436" t="str">
        <f>"(" &amp; TEXT(
    IF(C73="Continuous", T73 - _xlfn.NORM.S.INV(0.975)*U73,
        IF(C73="Binary", EXP(LN(T73) - _xlfn.NORM.S.INV(0.975)*U73), "NA")
    ), "0.000"
) &amp; ", " &amp; TEXT(
    IF(C73="Continuous", T73 + _xlfn.NORM.S.INV(0.975)*U73,
        IF(C73="Binary", EXP(LN(T73) + _xlfn.NORM.S.INV(0.975)*U73), "NA")
    ), "0.000"
) &amp; ")"</f>
        <v>(0.040, 0.106)</v>
      </c>
      <c r="W73" s="368">
        <v>3068</v>
      </c>
      <c r="X73" s="464">
        <v>4.2861482953532197E-2</v>
      </c>
      <c r="Y73" s="464">
        <v>2.8547419459943098E-2</v>
      </c>
      <c r="Z73" s="436" t="str">
        <f>"(" &amp; TEXT(
    IF(C73="Continuous", X73 - _xlfn.NORM.S.INV(0.975)*Y73,
        IF(C73="Binary", EXP(LN(X73) - _xlfn.NORM.S.INV(0.975)*Y73), "NA")
    ), "0.000"
) &amp; ", " &amp; TEXT(
    IF(C73="Continuous", X73 + _xlfn.NORM.S.INV(0.975)*Y73,
        IF(C73="Binary", EXP(LN(X73) + _xlfn.NORM.S.INV(0.975)*Y73), "NA")
    ), "0.000"
) &amp; ")"</f>
        <v>(-0.013, 0.099)</v>
      </c>
      <c r="AA73" s="526">
        <f>IF(C73="Continuous",X73/T73,IF(C73="Binary",LN(X73)/LN(T73),""))</f>
        <v>0.58889938286635635</v>
      </c>
      <c r="AB73" s="462">
        <v>0.41532587021846601</v>
      </c>
      <c r="AC73" s="340" t="s">
        <v>1586</v>
      </c>
      <c r="AD73" s="504">
        <f t="shared" ref="AD73:AD79" si="145">IF(C73="Continuous",T73-X73,IF(C73="Binary",LN(T73)-LN(X73),"NA"))</f>
        <v>2.9920870366167397E-2</v>
      </c>
      <c r="AE73" s="505">
        <f t="shared" ref="AE73:AE79" si="146">SQRT(U73^2 + Y73^2)</f>
        <v>3.3163917853456036E-2</v>
      </c>
      <c r="AF73" s="484"/>
      <c r="AG73" s="510">
        <f t="shared" ref="AG73:AG79" si="147">IF(AND(E73="NA", S73="NA"), "NA", IF(E73="NA", S73, IF(S73="NA", E73, E73 + S73)))</f>
        <v>44284</v>
      </c>
      <c r="AH73" s="477">
        <f t="shared" ref="AH73:AH79" si="148">IF(AND(F73=0,T73=0),"", IF(F73=0,T73,
IF(T73=0,F73,EXP((LN(F73)/G73^2+LN(T73)/U73^2)/(1/G73^2+1/U73^2)))))</f>
        <v>0.10095121551502576</v>
      </c>
      <c r="AI73" s="477">
        <f t="shared" si="106"/>
        <v>4.7470567588999875E-3</v>
      </c>
      <c r="AJ73" s="511" t="str">
        <f t="shared" ref="AJ73:AJ79" si="149">"(" &amp; TEXT(
    IF(C73="Continuous", AH73 - _xlfn.NORM.S.INV(0.975)*AI73,
        IF(C73="Binary", EXP(LN(AH73) - _xlfn.NORM.S.INV(0.975)*AI73), "NA")
    ), "0.000"
) &amp; ", " &amp; TEXT(
    IF(C73="Continuous", AH73 + _xlfn.NORM.S.INV(0.975)*AI73,
        IF(C73="Binary", EXP(LN(AH73) + _xlfn.NORM.S.INV(0.975)*AI73), "NA")
    ), "0.000"
) &amp; ")"</f>
        <v>(0.092, 0.110)</v>
      </c>
      <c r="AK73" s="510">
        <f t="shared" ref="AK73:AK79" si="150">IF(AND(I73="NA", W73="NA"), "NA", IF(I73="NA", W73, IF(W73="NA", I73, I73 + W73)))</f>
        <v>14922</v>
      </c>
      <c r="AL73" s="477">
        <f t="shared" si="108"/>
        <v>8.6142905528714606E-2</v>
      </c>
      <c r="AM73" s="477">
        <f t="shared" ref="AM73:AM79" si="151">IF(AND(J73=0,X73=0),"",
 IF(J73=0,Y73,
  IF(X73=0,K73,
   SQRT(1/(1/K73^2 + 1/Y73^2)))))</f>
        <v>1.3708472980946842E-2</v>
      </c>
      <c r="AN73" s="511" t="str">
        <f t="shared" ref="AN73:AN79" si="152">"(" &amp; TEXT(
    IF(C73="Continuous", AL73 - _xlfn.NORM.S.INV(0.975)*AM73,
        IF(C73="Binary", EXP(LN(AL73) - _xlfn.NORM.S.INV(0.975)*AM73), "NA")
    ), "0.000"
) &amp; ", " &amp; TEXT(
    IF(C73="Continuous", AL73 + _xlfn.NORM.S.INV(0.975)*AM73,
        IF(C73="Binary", EXP(LN(AL73) + _xlfn.NORM.S.INV(0.975)*AM73), "NA")
    ), "0.000"
) &amp; ")"</f>
        <v>(0.059, 0.113)</v>
      </c>
      <c r="AO73" s="537">
        <f>IF(AND(M73="NA",AA73="NA"),"",
 IF(M73="NA",AA73,
  IF(AA73="NA",M73,
   (M73/N73^2 + AA73/AB73^2)/(1/N73^2 + 1/AB73^2))))</f>
        <v>0.9087525096671264</v>
      </c>
      <c r="AP73" s="527">
        <f>IF(AND(M73="NA",AA73="NA"),"",
 IF(M73="NA",AB73,
  IF(AA73="NA",N73,
   SQRT(1/(1/N73^2 + 1/AB73^2)))))</f>
        <v>0.14705493253045099</v>
      </c>
      <c r="AQ73" s="537">
        <f t="shared" si="133"/>
        <v>9.6632320620371678E-3</v>
      </c>
      <c r="AR73" s="477">
        <f t="shared" si="134"/>
        <v>1.4695296307862945E-2</v>
      </c>
      <c r="AS73" s="548" t="str">
        <f t="shared" si="144"/>
        <v>5.1E-01</v>
      </c>
      <c r="AT73" s="552">
        <v>0.81</v>
      </c>
      <c r="AU73" s="475"/>
      <c r="AV73"/>
      <c r="AW73"/>
      <c r="AX73"/>
      <c r="AY73"/>
    </row>
    <row r="74" spans="1:51">
      <c r="A74" s="452"/>
      <c r="B74" s="456" t="s">
        <v>171</v>
      </c>
      <c r="C74" s="553" t="s">
        <v>1729</v>
      </c>
      <c r="E74" s="355">
        <v>48487</v>
      </c>
      <c r="F74" s="462">
        <v>8.4412782927996199E-2</v>
      </c>
      <c r="G74" s="462">
        <v>4.5523282722862704E-3</v>
      </c>
      <c r="H74" s="435" t="str">
        <f t="shared" ref="H74:H79" si="153">"(" &amp; TEXT(
    IF(C74="Continuous", F74 - _xlfn.NORM.S.INV(0.975)*G74,
        IF(C74="Binary", EXP(LN(F74) - _xlfn.NORM.S.INV(0.975)*G74), "NA")
    ), "0.000"
) &amp; ", " &amp; TEXT(
    IF(C74="Continuous", F74 + _xlfn.NORM.S.INV(0.975)*G74,
        IF(C74="Binary", EXP(LN(F74) + _xlfn.NORM.S.INV(0.975)*G74), "NA")
    ), "0.000"
) &amp; ")"</f>
        <v>(0.075, 0.093)</v>
      </c>
      <c r="I74" s="355">
        <v>12405</v>
      </c>
      <c r="J74" s="462">
        <v>6.8561875103169703E-2</v>
      </c>
      <c r="K74" s="462">
        <v>1.56659859283329E-2</v>
      </c>
      <c r="L74" s="435" t="str">
        <f t="shared" ref="L74:L79" si="154">"(" &amp; TEXT(
    IF(C74="Continuous", J74 - _xlfn.NORM.S.INV(0.975)*K74,
        IF(C74="Binary", EXP(LN(J74) - _xlfn.NORM.S.INV(0.975)*K74), "NA")
    ), "0.000"
) &amp; ", " &amp; TEXT(
    IF(C74="Continuous", J74 + _xlfn.NORM.S.INV(0.975)*K74,
        IF(C74="Binary", EXP(LN(J74) + _xlfn.NORM.S.INV(0.975)*K74), "NA")
    ), "0.000"
) &amp; ")"</f>
        <v>(0.038, 0.099)</v>
      </c>
      <c r="M74" s="526">
        <f t="shared" ref="M74:M79" si="155">IF(C74="Continuous",J74/F74,IF(C74="Binary",LN(J74)/LN(F74),""))</f>
        <v>0.81222147552761925</v>
      </c>
      <c r="N74" s="462">
        <v>0.190686950203421</v>
      </c>
      <c r="O74" s="340" t="s">
        <v>1404</v>
      </c>
      <c r="P74" s="491">
        <f t="shared" ref="P74" si="156">IF(C74="Continuous",F74-J74,IF(C74="Binary",LN(F74)-LN(J74)))</f>
        <v>1.5850907824826496E-2</v>
      </c>
      <c r="Q74" s="494">
        <f t="shared" ref="Q74" si="157">SQRT(G74^2 + K74^2)</f>
        <v>1.6314006491520754E-2</v>
      </c>
      <c r="R74" s="561"/>
      <c r="S74" s="354">
        <v>2422</v>
      </c>
      <c r="T74" s="462">
        <v>8.6211428949740002E-2</v>
      </c>
      <c r="U74" s="462">
        <v>2.05045945935757E-2</v>
      </c>
      <c r="V74" s="435" t="str">
        <f>"(" &amp; TEXT(
    IF(C74="Continuous", T74 - _xlfn.NORM.S.INV(0.975)*U74,
        IF(C74="Binary", EXP(LN(T74) - _xlfn.NORM.S.INV(0.975)*U74), "NA")
    ), "0.000"
) &amp; ", " &amp; TEXT(
    IF(C74="Continuous", T74 + _xlfn.NORM.S.INV(0.975)*U74,
        IF(C74="Binary", EXP(LN(T74) + _xlfn.NORM.S.INV(0.975)*U74), "NA")
    ), "0.000"
) &amp; ")"</f>
        <v>(0.046, 0.126)</v>
      </c>
      <c r="W74" s="355">
        <v>2053</v>
      </c>
      <c r="X74" s="462">
        <v>6.0581982279002598E-2</v>
      </c>
      <c r="Y74" s="462">
        <v>3.7321359829267098E-2</v>
      </c>
      <c r="Z74" s="435" t="str">
        <f t="shared" ref="Z74" si="158">"(" &amp; TEXT(
    IF(C74="Continuous", X74 - _xlfn.NORM.S.INV(0.975)*Y74,
        IF(C74="Binary", EXP(LN(X74) - _xlfn.NORM.S.INV(0.975)*Y74), "NA")
    ), "0.000"
) &amp; ", " &amp; TEXT(
    IF(C74="Continuous", X74 + _xlfn.NORM.S.INV(0.975)*Y74,
        IF(C74="Binary", EXP(LN(X74) + _xlfn.NORM.S.INV(0.975)*Y74), "NA")
    ), "0.000"
) &amp; ")"</f>
        <v>(-0.013, 0.134)</v>
      </c>
      <c r="AA74" s="526">
        <f>IF(C74="Continuous",X74/T74,IF(C74="Binary",LN(X74)/LN(T74),""))</f>
        <v>0.70271404867121512</v>
      </c>
      <c r="AB74" s="462">
        <v>0.464048000746071</v>
      </c>
      <c r="AC74" s="340" t="s">
        <v>1587</v>
      </c>
      <c r="AD74" s="500">
        <f t="shared" si="145"/>
        <v>2.5629446670737403E-2</v>
      </c>
      <c r="AE74" s="501">
        <f t="shared" si="146"/>
        <v>4.2583122231143709E-2</v>
      </c>
      <c r="AF74" s="484"/>
      <c r="AG74" s="512">
        <f t="shared" si="147"/>
        <v>50909</v>
      </c>
      <c r="AH74" s="308">
        <f t="shared" si="148"/>
        <v>8.4496428582931618E-2</v>
      </c>
      <c r="AI74" s="308">
        <f t="shared" si="106"/>
        <v>4.4441188525908178E-3</v>
      </c>
      <c r="AJ74" s="513" t="str">
        <f t="shared" si="149"/>
        <v>(0.076, 0.093)</v>
      </c>
      <c r="AK74" s="512">
        <f t="shared" si="150"/>
        <v>14458</v>
      </c>
      <c r="AL74" s="308">
        <f t="shared" si="108"/>
        <v>6.7366464146824456E-2</v>
      </c>
      <c r="AM74" s="308">
        <f t="shared" si="151"/>
        <v>1.4444999991253317E-2</v>
      </c>
      <c r="AN74" s="513" t="str">
        <f t="shared" si="152"/>
        <v>(0.039, 0.096)</v>
      </c>
      <c r="AO74" s="540">
        <f t="shared" ref="AO74" si="159">IF(AND(M74="NA",AA74="NA"),"",
 IF(M74="NA",AA74,
  IF(AA74="NA",M74,
   (M74/N74^2 + AA74/AB74^2)/(1/N74^2 + 1/AB74^2))))</f>
        <v>0.79640175707469907</v>
      </c>
      <c r="AP74" s="528">
        <f t="shared" ref="AP74" si="160">IF(AND(M74="NA",AA74="NA"),"",
 IF(M74="NA",AB74,
  IF(AA74="NA",N74,
   SQRT(1/(1/N74^2 + 1/AB74^2)))))</f>
        <v>0.17637640803522145</v>
      </c>
      <c r="AQ74" s="540">
        <f t="shared" si="133"/>
        <v>1.7102442118066222E-2</v>
      </c>
      <c r="AR74" s="308">
        <f t="shared" si="134"/>
        <v>1.5234278668385361E-2</v>
      </c>
      <c r="AS74" s="474" t="str">
        <f t="shared" si="144"/>
        <v>2.6E-01</v>
      </c>
      <c r="AT74" s="550">
        <v>0.50275860000000006</v>
      </c>
      <c r="AU74" s="475"/>
      <c r="AV74"/>
      <c r="AW74"/>
      <c r="AX74"/>
      <c r="AY74"/>
    </row>
    <row r="75" spans="1:51">
      <c r="A75" s="452"/>
      <c r="B75" s="456" t="s">
        <v>303</v>
      </c>
      <c r="C75" s="554" t="s">
        <v>1730</v>
      </c>
      <c r="E75" s="355">
        <v>44599</v>
      </c>
      <c r="F75" s="462">
        <v>1.33798839829696</v>
      </c>
      <c r="G75" s="462">
        <v>1.2219227875688099E-2</v>
      </c>
      <c r="H75" s="435" t="str">
        <f t="shared" si="153"/>
        <v>(1.306, 1.370)</v>
      </c>
      <c r="I75" s="355">
        <v>13031</v>
      </c>
      <c r="J75" s="462">
        <v>1.20257199704657</v>
      </c>
      <c r="K75" s="462">
        <v>3.9560489425122997E-2</v>
      </c>
      <c r="L75" s="435" t="str">
        <f t="shared" si="154"/>
        <v>(1.113, 1.300)</v>
      </c>
      <c r="M75" s="526">
        <f t="shared" si="155"/>
        <v>0.63352787169477198</v>
      </c>
      <c r="N75" s="462">
        <v>0.13822253576549901</v>
      </c>
      <c r="O75" s="340" t="s">
        <v>1417</v>
      </c>
      <c r="P75" s="491">
        <f t="shared" ref="P75:P79" si="161">IF(C75="Continuous",F75-J75,IF(C75="Binary",LN(F75)-LN(J75)))</f>
        <v>0.10670469673014074</v>
      </c>
      <c r="Q75" s="494">
        <f t="shared" ref="Q75:Q79" si="162">SQRT(G75^2 + K75^2)</f>
        <v>4.1404611499605469E-2</v>
      </c>
      <c r="R75" s="561"/>
      <c r="S75" s="601" t="s">
        <v>776</v>
      </c>
      <c r="T75" s="601"/>
      <c r="U75" s="601"/>
      <c r="V75" s="602"/>
      <c r="W75" s="600" t="s">
        <v>776</v>
      </c>
      <c r="X75" s="601"/>
      <c r="Y75" s="601"/>
      <c r="Z75" s="602"/>
      <c r="AA75" s="601" t="s">
        <v>776</v>
      </c>
      <c r="AB75" s="601"/>
      <c r="AC75" s="601"/>
      <c r="AD75" s="579" t="s">
        <v>776</v>
      </c>
      <c r="AE75" s="580"/>
      <c r="AF75" s="484"/>
      <c r="AG75" s="512">
        <f t="shared" si="147"/>
        <v>44599</v>
      </c>
      <c r="AH75" s="308">
        <f t="shared" si="148"/>
        <v>1.33798839829696</v>
      </c>
      <c r="AI75" s="308">
        <f t="shared" si="106"/>
        <v>1.2219227875688099E-2</v>
      </c>
      <c r="AJ75" s="513" t="str">
        <f t="shared" si="149"/>
        <v>(1.306, 1.370)</v>
      </c>
      <c r="AK75" s="512">
        <f t="shared" si="150"/>
        <v>13031</v>
      </c>
      <c r="AL75" s="308">
        <f t="shared" si="108"/>
        <v>1.20257199704657</v>
      </c>
      <c r="AM75" s="308">
        <f t="shared" si="151"/>
        <v>3.9560489425122997E-2</v>
      </c>
      <c r="AN75" s="513" t="str">
        <f t="shared" si="152"/>
        <v>(1.113, 1.300)</v>
      </c>
      <c r="AO75" s="540">
        <f t="shared" ref="AO75:AO79" si="163">IF(AND(M75="NA",AA75="NA"),"",
 IF(M75="NA",AA75,
  IF(AA75="NA",M75,
   (M75/N75^2 + AA75/AB75^2)/(1/N75^2 + 1/AB75^2))))</f>
        <v>0.63352787169477198</v>
      </c>
      <c r="AP75" s="528">
        <f t="shared" ref="AP75:AP79" si="164">IF(AND(M75="NA",AA75="NA"),"",
 IF(M75="NA",AB75,
  IF(AA75="NA",N75,
   SQRT(1/(1/N75^2 + 1/AB75^2)))))</f>
        <v>0.13822253576549901</v>
      </c>
      <c r="AQ75" s="540">
        <f t="shared" si="133"/>
        <v>0.10670469673014074</v>
      </c>
      <c r="AR75" s="308">
        <f t="shared" si="134"/>
        <v>4.1404611499605469E-2</v>
      </c>
      <c r="AS75" s="474" t="str">
        <f t="shared" si="144"/>
        <v>1.0E-02</v>
      </c>
      <c r="AT75" s="550">
        <v>4.9090910000000001E-2</v>
      </c>
      <c r="AU75" s="475"/>
      <c r="AV75"/>
      <c r="AW75"/>
      <c r="AX75"/>
      <c r="AY75"/>
    </row>
    <row r="76" spans="1:51">
      <c r="A76" s="452"/>
      <c r="B76" s="456" t="s">
        <v>589</v>
      </c>
      <c r="C76" s="553" t="s">
        <v>1729</v>
      </c>
      <c r="E76" s="355">
        <v>46309</v>
      </c>
      <c r="F76" s="462">
        <v>0.132019201857623</v>
      </c>
      <c r="G76" s="462">
        <v>4.6293155175855397E-3</v>
      </c>
      <c r="H76" s="435" t="str">
        <f t="shared" si="153"/>
        <v>(0.123, 0.141)</v>
      </c>
      <c r="I76" s="355">
        <v>12012</v>
      </c>
      <c r="J76" s="462">
        <v>0.12481329223254101</v>
      </c>
      <c r="K76" s="462">
        <v>1.4366543482325999E-2</v>
      </c>
      <c r="L76" s="435" t="str">
        <f t="shared" si="154"/>
        <v>(0.097, 0.153)</v>
      </c>
      <c r="M76" s="526">
        <f t="shared" si="155"/>
        <v>0.94541771557706233</v>
      </c>
      <c r="N76" s="462">
        <v>0.113759255489831</v>
      </c>
      <c r="O76" s="340" t="s">
        <v>1405</v>
      </c>
      <c r="P76" s="491">
        <f t="shared" si="161"/>
        <v>7.2059096250819965E-3</v>
      </c>
      <c r="Q76" s="494">
        <f t="shared" si="162"/>
        <v>1.5093976738782988E-2</v>
      </c>
      <c r="R76" s="561"/>
      <c r="S76" s="354">
        <v>1692</v>
      </c>
      <c r="T76" s="462">
        <v>0.156595341885478</v>
      </c>
      <c r="U76" s="462">
        <v>2.42504424247591E-2</v>
      </c>
      <c r="V76" s="435" t="str">
        <f>"(" &amp; TEXT(
    IF(C76="Continuous", T76 - _xlfn.NORM.S.INV(0.975)*U76,
        IF(C76="Binary", EXP(LN(T76) - _xlfn.NORM.S.INV(0.975)*U76), "NA")
    ), "0.000"
) &amp; ", " &amp; TEXT(
    IF(C76="Continuous", T76 + _xlfn.NORM.S.INV(0.975)*U76,
        IF(C76="Binary", EXP(LN(T76) + _xlfn.NORM.S.INV(0.975)*U76), "NA")
    ), "0.000"
) &amp; ")"</f>
        <v>(0.109, 0.204)</v>
      </c>
      <c r="W76" s="355">
        <v>1136</v>
      </c>
      <c r="X76" s="462">
        <v>0.144493133619365</v>
      </c>
      <c r="Y76" s="462">
        <v>5.0457124674095001E-2</v>
      </c>
      <c r="Z76" s="435" t="str">
        <f t="shared" ref="Z76:Z79" si="165">"(" &amp; TEXT(
    IF(C76="Continuous", X76 - _xlfn.NORM.S.INV(0.975)*Y76,
        IF(C76="Binary", EXP(LN(X76) - _xlfn.NORM.S.INV(0.975)*Y76), "NA")
    ), "0.000"
) &amp; ", " &amp; TEXT(
    IF(C76="Continuous", X76 + _xlfn.NORM.S.INV(0.975)*Y76,
        IF(C76="Binary", EXP(LN(X76) + _xlfn.NORM.S.INV(0.975)*Y76), "NA")
    ), "0.000"
) &amp; ")"</f>
        <v>(0.046, 0.243)</v>
      </c>
      <c r="AA76" s="526">
        <f>IF(C76="Continuous",X76/T76,IF(C76="Binary",LN(X76)/LN(T76),""))</f>
        <v>0.92271667777344468</v>
      </c>
      <c r="AB76" s="462">
        <v>0.35247659323472402</v>
      </c>
      <c r="AC76" s="340" t="s">
        <v>1588</v>
      </c>
      <c r="AD76" s="500">
        <f t="shared" si="145"/>
        <v>1.2102208266112996E-2</v>
      </c>
      <c r="AE76" s="501">
        <f t="shared" si="146"/>
        <v>5.5982188133135012E-2</v>
      </c>
      <c r="AF76" s="484"/>
      <c r="AG76" s="512">
        <f t="shared" si="147"/>
        <v>48001</v>
      </c>
      <c r="AH76" s="308">
        <f t="shared" si="148"/>
        <v>0.13281402246431015</v>
      </c>
      <c r="AI76" s="308">
        <f t="shared" si="106"/>
        <v>4.5472038093001292E-3</v>
      </c>
      <c r="AJ76" s="513" t="str">
        <f t="shared" si="149"/>
        <v>(0.124, 0.142)</v>
      </c>
      <c r="AK76" s="512">
        <f t="shared" si="150"/>
        <v>13148</v>
      </c>
      <c r="AL76" s="308">
        <f t="shared" si="108"/>
        <v>0.12628909190159604</v>
      </c>
      <c r="AM76" s="308">
        <f t="shared" si="151"/>
        <v>1.3817370589916207E-2</v>
      </c>
      <c r="AN76" s="513" t="str">
        <f t="shared" si="152"/>
        <v>(0.099, 0.153)</v>
      </c>
      <c r="AO76" s="540">
        <f t="shared" si="163"/>
        <v>0.94327617901935801</v>
      </c>
      <c r="AP76" s="528">
        <f t="shared" si="164"/>
        <v>0.1082605359074609</v>
      </c>
      <c r="AQ76" s="540">
        <f t="shared" si="133"/>
        <v>7.5377269427989117E-3</v>
      </c>
      <c r="AR76" s="308">
        <f t="shared" si="134"/>
        <v>1.4573552978858813E-2</v>
      </c>
      <c r="AS76" s="474" t="str">
        <f t="shared" si="144"/>
        <v>6.1E-01</v>
      </c>
      <c r="AT76" s="550">
        <v>0.86926829999999999</v>
      </c>
      <c r="AU76" s="475"/>
      <c r="AV76"/>
      <c r="AW76"/>
      <c r="AX76"/>
      <c r="AY76"/>
    </row>
    <row r="77" spans="1:51">
      <c r="A77" s="452"/>
      <c r="B77" s="456" t="s">
        <v>364</v>
      </c>
      <c r="C77" s="553" t="s">
        <v>1729</v>
      </c>
      <c r="E77" s="355">
        <v>128516</v>
      </c>
      <c r="F77" s="462">
        <v>0.14984086127148499</v>
      </c>
      <c r="G77" s="462">
        <v>2.83139021548095E-3</v>
      </c>
      <c r="H77" s="435" t="str">
        <f t="shared" si="153"/>
        <v>(0.144, 0.155)</v>
      </c>
      <c r="I77" s="355">
        <v>34160</v>
      </c>
      <c r="J77" s="462">
        <v>0.13862869458865301</v>
      </c>
      <c r="K77" s="462">
        <v>9.0301393949776803E-3</v>
      </c>
      <c r="L77" s="435" t="str">
        <f t="shared" si="154"/>
        <v>(0.121, 0.156)</v>
      </c>
      <c r="M77" s="526">
        <f t="shared" si="155"/>
        <v>0.92517283611632795</v>
      </c>
      <c r="N77" s="462">
        <v>6.2749311510192501E-2</v>
      </c>
      <c r="O77" s="340" t="s">
        <v>1406</v>
      </c>
      <c r="P77" s="491">
        <f t="shared" si="161"/>
        <v>1.1212166682831981E-2</v>
      </c>
      <c r="Q77" s="494">
        <f t="shared" si="162"/>
        <v>9.4636244666115709E-3</v>
      </c>
      <c r="R77" s="561"/>
      <c r="S77" s="354">
        <v>3586</v>
      </c>
      <c r="T77" s="462">
        <v>0.116331207347504</v>
      </c>
      <c r="U77" s="462">
        <v>1.6745485387595099E-2</v>
      </c>
      <c r="V77" s="435" t="str">
        <f t="shared" ref="V77:V79" si="166">"(" &amp; TEXT(
    IF(C77="Continuous", T77 - _xlfn.NORM.S.INV(0.975)*U77,
        IF(C77="Binary", EXP(LN(T77) - _xlfn.NORM.S.INV(0.975)*U77), "NA")
    ), "0.000"
) &amp; ", " &amp; TEXT(
    IF(C77="Continuous", T77 + _xlfn.NORM.S.INV(0.975)*U77,
        IF(C77="Binary", EXP(LN(T77) + _xlfn.NORM.S.INV(0.975)*U77), "NA")
    ), "0.000"
) &amp; ")"</f>
        <v>(0.084, 0.149)</v>
      </c>
      <c r="W77" s="355">
        <v>3236</v>
      </c>
      <c r="X77" s="462">
        <v>7.5854304557106303E-2</v>
      </c>
      <c r="Y77" s="462">
        <v>2.6557282658121E-2</v>
      </c>
      <c r="Z77" s="435" t="str">
        <f t="shared" si="165"/>
        <v>(0.024, 0.128)</v>
      </c>
      <c r="AA77" s="526">
        <f t="shared" ref="AA77:AA79" si="167">IF(C77="Continuous",X77/T77,IF(C77="Binary",LN(X77)/LN(T77),""))</f>
        <v>0.65205464884856479</v>
      </c>
      <c r="AB77" s="462">
        <v>0.24683263061105701</v>
      </c>
      <c r="AC77" s="340" t="s">
        <v>1589</v>
      </c>
      <c r="AD77" s="500">
        <f t="shared" si="145"/>
        <v>4.0476902790397701E-2</v>
      </c>
      <c r="AE77" s="501">
        <f t="shared" si="146"/>
        <v>3.1395868248059261E-2</v>
      </c>
      <c r="AF77" s="484"/>
      <c r="AG77" s="512">
        <f t="shared" si="147"/>
        <v>132102</v>
      </c>
      <c r="AH77" s="308">
        <f t="shared" si="148"/>
        <v>0.14879031994530068</v>
      </c>
      <c r="AI77" s="308">
        <f t="shared" si="106"/>
        <v>2.7917641083662608E-3</v>
      </c>
      <c r="AJ77" s="513" t="str">
        <f t="shared" si="149"/>
        <v>(0.143, 0.154)</v>
      </c>
      <c r="AK77" s="512">
        <f t="shared" si="150"/>
        <v>37396</v>
      </c>
      <c r="AL77" s="308">
        <f t="shared" si="108"/>
        <v>0.1321230696617611</v>
      </c>
      <c r="AM77" s="308">
        <f t="shared" si="151"/>
        <v>8.549424781886146E-3</v>
      </c>
      <c r="AN77" s="513" t="str">
        <f t="shared" si="152"/>
        <v>(0.115, 0.149)</v>
      </c>
      <c r="AO77" s="540">
        <f t="shared" si="163"/>
        <v>0.90859354317143348</v>
      </c>
      <c r="AP77" s="528">
        <f t="shared" si="164"/>
        <v>6.0814937356632341E-2</v>
      </c>
      <c r="AQ77" s="540">
        <f t="shared" si="133"/>
        <v>1.364967341314321E-2</v>
      </c>
      <c r="AR77" s="308">
        <f t="shared" si="134"/>
        <v>9.0609368486531585E-3</v>
      </c>
      <c r="AS77" s="474" t="str">
        <f t="shared" si="144"/>
        <v>1.3E-01</v>
      </c>
      <c r="AT77" s="550">
        <v>0.35099999999999998</v>
      </c>
      <c r="AU77" s="475"/>
      <c r="AV77"/>
      <c r="AW77"/>
      <c r="AX77"/>
      <c r="AY77"/>
    </row>
    <row r="78" spans="1:51">
      <c r="A78" s="452"/>
      <c r="B78" s="456" t="s">
        <v>372</v>
      </c>
      <c r="C78" s="554" t="s">
        <v>1730</v>
      </c>
      <c r="E78" s="355">
        <v>148596</v>
      </c>
      <c r="F78" s="462">
        <v>1.61313343624647</v>
      </c>
      <c r="G78" s="462">
        <v>5.7444950486875796E-3</v>
      </c>
      <c r="H78" s="435" t="str">
        <f t="shared" si="153"/>
        <v>(1.595, 1.631)</v>
      </c>
      <c r="I78" s="355">
        <v>39578</v>
      </c>
      <c r="J78" s="462">
        <v>1.5879569596301999</v>
      </c>
      <c r="K78" s="462">
        <v>1.89066917811565E-2</v>
      </c>
      <c r="L78" s="435" t="str">
        <f t="shared" si="154"/>
        <v>(1.530, 1.648)</v>
      </c>
      <c r="M78" s="526">
        <f t="shared" si="155"/>
        <v>0.96710378743049408</v>
      </c>
      <c r="N78" s="462">
        <v>4.1210571150268903E-2</v>
      </c>
      <c r="O78" s="340" t="s">
        <v>1415</v>
      </c>
      <c r="P78" s="491">
        <f t="shared" si="161"/>
        <v>1.5730262280579943E-2</v>
      </c>
      <c r="Q78" s="494">
        <f t="shared" si="162"/>
        <v>1.9760116838522156E-2</v>
      </c>
      <c r="R78" s="561"/>
      <c r="S78" s="354">
        <v>4353</v>
      </c>
      <c r="T78" s="462">
        <v>1.53834137755821</v>
      </c>
      <c r="U78" s="462">
        <v>3.3212525603123398E-2</v>
      </c>
      <c r="V78" s="435" t="str">
        <f t="shared" si="166"/>
        <v>(1.441, 1.642)</v>
      </c>
      <c r="W78" s="355">
        <v>3831</v>
      </c>
      <c r="X78" s="462">
        <v>1.60895775299487</v>
      </c>
      <c r="Y78" s="462">
        <v>6.37498440897456E-2</v>
      </c>
      <c r="Z78" s="435" t="str">
        <f t="shared" si="165"/>
        <v>(1.420, 1.823)</v>
      </c>
      <c r="AA78" s="526">
        <f t="shared" si="167"/>
        <v>1.1042054828391832</v>
      </c>
      <c r="AB78" s="462">
        <v>0.17075685951701</v>
      </c>
      <c r="AC78" s="340" t="s">
        <v>1590</v>
      </c>
      <c r="AD78" s="500">
        <f t="shared" si="145"/>
        <v>-4.4881802526207937E-2</v>
      </c>
      <c r="AE78" s="501">
        <f t="shared" si="146"/>
        <v>7.1882643791147519E-2</v>
      </c>
      <c r="AF78" s="484"/>
      <c r="AG78" s="512">
        <f t="shared" si="147"/>
        <v>152949</v>
      </c>
      <c r="AH78" s="308">
        <f t="shared" si="148"/>
        <v>1.6109105240815669</v>
      </c>
      <c r="AI78" s="308">
        <f t="shared" si="106"/>
        <v>5.6604506622792254E-3</v>
      </c>
      <c r="AJ78" s="513" t="str">
        <f t="shared" si="149"/>
        <v>(1.593, 1.629)</v>
      </c>
      <c r="AK78" s="512">
        <f t="shared" si="150"/>
        <v>43409</v>
      </c>
      <c r="AL78" s="308">
        <f t="shared" si="108"/>
        <v>1.5896445661745378</v>
      </c>
      <c r="AM78" s="308">
        <f t="shared" si="151"/>
        <v>1.8126317418208523E-2</v>
      </c>
      <c r="AN78" s="513" t="str">
        <f t="shared" si="152"/>
        <v>(1.534, 1.647)</v>
      </c>
      <c r="AO78" s="540">
        <f t="shared" si="163"/>
        <v>0.97464979824071785</v>
      </c>
      <c r="AP78" s="528">
        <f t="shared" si="164"/>
        <v>4.0060416264677386E-2</v>
      </c>
      <c r="AQ78" s="540">
        <f t="shared" si="133"/>
        <v>1.1471801709522913E-2</v>
      </c>
      <c r="AR78" s="308">
        <f t="shared" si="134"/>
        <v>1.9053326846921206E-2</v>
      </c>
      <c r="AS78" s="474" t="str">
        <f t="shared" si="144"/>
        <v>5.5E-01</v>
      </c>
      <c r="AT78" s="550">
        <v>0.84</v>
      </c>
      <c r="AU78" s="475"/>
      <c r="AV78"/>
      <c r="AW78"/>
      <c r="AX78"/>
      <c r="AY78"/>
    </row>
    <row r="79" spans="1:51">
      <c r="A79" s="460"/>
      <c r="B79" s="461" t="s">
        <v>431</v>
      </c>
      <c r="C79" s="555" t="s">
        <v>1730</v>
      </c>
      <c r="D79" s="439"/>
      <c r="E79" s="421">
        <v>68808</v>
      </c>
      <c r="F79" s="463">
        <v>1.3442616877485001</v>
      </c>
      <c r="G79" s="463">
        <v>9.5255253496379193E-3</v>
      </c>
      <c r="H79" s="445" t="str">
        <f t="shared" si="153"/>
        <v>(1.319, 1.370)</v>
      </c>
      <c r="I79" s="421">
        <v>17508</v>
      </c>
      <c r="J79" s="463">
        <v>1.3164553176648499</v>
      </c>
      <c r="K79" s="463">
        <v>3.3165702864037902E-2</v>
      </c>
      <c r="L79" s="445" t="str">
        <f t="shared" si="154"/>
        <v>(1.234, 1.405)</v>
      </c>
      <c r="M79" s="531">
        <f t="shared" si="155"/>
        <v>0.92934754003962339</v>
      </c>
      <c r="N79" s="463">
        <v>0.116499089120416</v>
      </c>
      <c r="O79" s="350" t="s">
        <v>1416</v>
      </c>
      <c r="P79" s="492">
        <f t="shared" si="161"/>
        <v>2.090217216272916E-2</v>
      </c>
      <c r="Q79" s="493">
        <f t="shared" si="162"/>
        <v>3.4506513582978016E-2</v>
      </c>
      <c r="R79" s="563"/>
      <c r="S79" s="420">
        <v>3980</v>
      </c>
      <c r="T79" s="463">
        <v>1.27492608022465</v>
      </c>
      <c r="U79" s="463">
        <v>6.1715758052401502E-2</v>
      </c>
      <c r="V79" s="445" t="str">
        <f t="shared" si="166"/>
        <v>(1.130, 1.439)</v>
      </c>
      <c r="W79" s="421">
        <v>3561</v>
      </c>
      <c r="X79" s="463">
        <v>1.1385618432931399</v>
      </c>
      <c r="Y79" s="463">
        <v>0.11888981615956699</v>
      </c>
      <c r="Z79" s="445" t="str">
        <f t="shared" si="165"/>
        <v>(0.902, 1.437)</v>
      </c>
      <c r="AA79" s="526">
        <f t="shared" si="167"/>
        <v>0.53426195543203781</v>
      </c>
      <c r="AB79" s="463">
        <v>0.50795935257416902</v>
      </c>
      <c r="AC79" s="350" t="s">
        <v>1591</v>
      </c>
      <c r="AD79" s="502">
        <f t="shared" si="145"/>
        <v>0.11312227561251878</v>
      </c>
      <c r="AE79" s="503">
        <f t="shared" si="146"/>
        <v>0.13395380986906716</v>
      </c>
      <c r="AF79" s="484"/>
      <c r="AG79" s="514">
        <f t="shared" si="147"/>
        <v>72788</v>
      </c>
      <c r="AH79" s="478">
        <f t="shared" si="148"/>
        <v>1.3426063045193022</v>
      </c>
      <c r="AI79" s="478">
        <f t="shared" si="106"/>
        <v>9.4140526078006562E-3</v>
      </c>
      <c r="AJ79" s="515" t="str">
        <f t="shared" si="149"/>
        <v>(1.318, 1.368)</v>
      </c>
      <c r="AK79" s="514">
        <f t="shared" si="150"/>
        <v>21069</v>
      </c>
      <c r="AL79" s="478">
        <f t="shared" si="108"/>
        <v>1.302728422058937</v>
      </c>
      <c r="AM79" s="478">
        <f t="shared" si="151"/>
        <v>3.1945976160568657E-2</v>
      </c>
      <c r="AN79" s="515" t="str">
        <f t="shared" si="152"/>
        <v>(1.224, 1.387)</v>
      </c>
      <c r="AO79" s="543">
        <f t="shared" si="163"/>
        <v>0.90960446091076375</v>
      </c>
      <c r="AP79" s="542">
        <f t="shared" si="164"/>
        <v>0.11355096047641872</v>
      </c>
      <c r="AQ79" s="543">
        <f t="shared" si="133"/>
        <v>2.6640887410363606E-2</v>
      </c>
      <c r="AR79" s="478">
        <f t="shared" si="134"/>
        <v>3.3415626310980197E-2</v>
      </c>
      <c r="AS79" s="547" t="str">
        <f t="shared" si="144"/>
        <v>4.3E-01</v>
      </c>
      <c r="AT79" s="551">
        <v>0.72562499999999996</v>
      </c>
      <c r="AU79" s="475"/>
      <c r="AV79"/>
      <c r="AW79"/>
      <c r="AX79"/>
      <c r="AY79"/>
    </row>
    <row r="80" spans="1:51" ht="44.1" customHeight="1">
      <c r="A80" s="578" t="s">
        <v>1732</v>
      </c>
      <c r="B80" s="578"/>
      <c r="C80" s="578"/>
      <c r="D80" s="578"/>
      <c r="E80" s="578"/>
      <c r="F80" s="578"/>
      <c r="G80" s="578"/>
      <c r="H80" s="578"/>
      <c r="I80" s="578"/>
      <c r="J80" s="578"/>
      <c r="K80" s="578"/>
      <c r="L80" s="578"/>
      <c r="M80" s="578"/>
      <c r="N80" s="578"/>
      <c r="O80" s="578"/>
      <c r="P80" s="578"/>
      <c r="Q80" s="578"/>
      <c r="R80" s="578"/>
      <c r="S80" s="578"/>
      <c r="T80" s="578"/>
      <c r="U80" s="578"/>
      <c r="V80" s="578"/>
      <c r="W80" s="578"/>
      <c r="X80" s="578"/>
      <c r="Y80" s="578"/>
      <c r="Z80" s="578"/>
      <c r="AA80" s="578"/>
      <c r="AB80" s="578"/>
      <c r="AC80" s="578"/>
      <c r="AD80" s="578"/>
      <c r="AE80" s="578"/>
      <c r="AF80" s="578"/>
      <c r="AG80" s="578"/>
      <c r="AH80" s="578"/>
      <c r="AI80" s="578"/>
      <c r="AJ80" s="578"/>
      <c r="AK80" s="578"/>
      <c r="AL80" s="578"/>
      <c r="AM80" s="578"/>
      <c r="AN80" s="578"/>
      <c r="AO80" s="578"/>
      <c r="AP80" s="578"/>
      <c r="AQ80" s="578"/>
      <c r="AR80" s="578"/>
      <c r="AS80" s="578"/>
      <c r="AT80" s="578"/>
      <c r="AU80" s="475"/>
      <c r="AV80" s="476"/>
    </row>
    <row r="81" spans="47:47">
      <c r="AU81" s="475"/>
    </row>
    <row r="82" spans="47:47">
      <c r="AU82" s="475"/>
    </row>
    <row r="83" spans="47:47">
      <c r="AU83" s="475"/>
    </row>
    <row r="84" spans="47:47">
      <c r="AU84" s="475"/>
    </row>
    <row r="85" spans="47:47">
      <c r="AU85" s="475"/>
    </row>
    <row r="86" spans="47:47">
      <c r="AU86" s="475"/>
    </row>
    <row r="87" spans="47:47">
      <c r="AU87" s="475"/>
    </row>
  </sheetData>
  <mergeCells count="184">
    <mergeCell ref="AH2:AT2"/>
    <mergeCell ref="S65:V65"/>
    <mergeCell ref="E49:H49"/>
    <mergeCell ref="I49:L49"/>
    <mergeCell ref="E50:H50"/>
    <mergeCell ref="I50:L50"/>
    <mergeCell ref="M49:O49"/>
    <mergeCell ref="E55:H55"/>
    <mergeCell ref="I55:L55"/>
    <mergeCell ref="E54:H54"/>
    <mergeCell ref="I54:L54"/>
    <mergeCell ref="M50:O50"/>
    <mergeCell ref="M54:O54"/>
    <mergeCell ref="M55:O55"/>
    <mergeCell ref="S43:V43"/>
    <mergeCell ref="W43:Z43"/>
    <mergeCell ref="W55:Z55"/>
    <mergeCell ref="S53:V53"/>
    <mergeCell ref="W53:Z53"/>
    <mergeCell ref="S54:V54"/>
    <mergeCell ref="S50:V50"/>
    <mergeCell ref="S52:V52"/>
    <mergeCell ref="W54:Z54"/>
    <mergeCell ref="S55:V55"/>
    <mergeCell ref="W65:Z65"/>
    <mergeCell ref="S64:V64"/>
    <mergeCell ref="S75:V75"/>
    <mergeCell ref="W75:Z75"/>
    <mergeCell ref="W66:Z66"/>
    <mergeCell ref="S67:V67"/>
    <mergeCell ref="W67:Z67"/>
    <mergeCell ref="S70:V70"/>
    <mergeCell ref="AA23:AC23"/>
    <mergeCell ref="AA24:AC24"/>
    <mergeCell ref="AA41:AC41"/>
    <mergeCell ref="AA42:AC42"/>
    <mergeCell ref="AA52:AC52"/>
    <mergeCell ref="AA29:AC29"/>
    <mergeCell ref="AA40:AC40"/>
    <mergeCell ref="AA43:AC43"/>
    <mergeCell ref="W29:Z29"/>
    <mergeCell ref="W52:Z52"/>
    <mergeCell ref="W50:Z50"/>
    <mergeCell ref="AA65:AC65"/>
    <mergeCell ref="AA66:AC66"/>
    <mergeCell ref="AA67:AC67"/>
    <mergeCell ref="AA75:AC75"/>
    <mergeCell ref="AA70:AC70"/>
    <mergeCell ref="AA48:AC48"/>
    <mergeCell ref="AA50:AC50"/>
    <mergeCell ref="AA53:AC53"/>
    <mergeCell ref="AA54:AC54"/>
    <mergeCell ref="AA55:AC55"/>
    <mergeCell ref="AA64:AC64"/>
    <mergeCell ref="M3:O3"/>
    <mergeCell ref="AA13:AC13"/>
    <mergeCell ref="E2:Q2"/>
    <mergeCell ref="S2:AE2"/>
    <mergeCell ref="A2:B3"/>
    <mergeCell ref="C2:C3"/>
    <mergeCell ref="S23:V23"/>
    <mergeCell ref="W23:Z23"/>
    <mergeCell ref="S29:V29"/>
    <mergeCell ref="I58:L58"/>
    <mergeCell ref="P57:Q57"/>
    <mergeCell ref="AA15:AC15"/>
    <mergeCell ref="AA20:AC20"/>
    <mergeCell ref="S12:V12"/>
    <mergeCell ref="W12:Z12"/>
    <mergeCell ref="S13:V13"/>
    <mergeCell ref="W13:Z13"/>
    <mergeCell ref="M20:O20"/>
    <mergeCell ref="M57:O57"/>
    <mergeCell ref="M58:O58"/>
    <mergeCell ref="AD75:AE75"/>
    <mergeCell ref="AD70:AE70"/>
    <mergeCell ref="W70:Z70"/>
    <mergeCell ref="S66:V66"/>
    <mergeCell ref="W64:Z64"/>
    <mergeCell ref="E24:H24"/>
    <mergeCell ref="I24:L24"/>
    <mergeCell ref="S24:V24"/>
    <mergeCell ref="W24:Z24"/>
    <mergeCell ref="W42:Z42"/>
    <mergeCell ref="E48:H48"/>
    <mergeCell ref="I48:L48"/>
    <mergeCell ref="S48:V48"/>
    <mergeCell ref="W48:Z48"/>
    <mergeCell ref="W40:Z40"/>
    <mergeCell ref="S41:V41"/>
    <mergeCell ref="W41:Z41"/>
    <mergeCell ref="S40:V40"/>
    <mergeCell ref="S42:V42"/>
    <mergeCell ref="M48:O48"/>
    <mergeCell ref="M24:O24"/>
    <mergeCell ref="E57:H57"/>
    <mergeCell ref="I57:L57"/>
    <mergeCell ref="E58:H58"/>
    <mergeCell ref="P3:Q3"/>
    <mergeCell ref="AD3:AE3"/>
    <mergeCell ref="AQ3:AT3"/>
    <mergeCell ref="E23:H23"/>
    <mergeCell ref="I23:L23"/>
    <mergeCell ref="M23:O23"/>
    <mergeCell ref="S15:V15"/>
    <mergeCell ref="W15:Z15"/>
    <mergeCell ref="AA3:AC3"/>
    <mergeCell ref="AA9:AC9"/>
    <mergeCell ref="AA10:AC10"/>
    <mergeCell ref="E20:H20"/>
    <mergeCell ref="I20:L20"/>
    <mergeCell ref="S20:V20"/>
    <mergeCell ref="W20:Z20"/>
    <mergeCell ref="S9:V9"/>
    <mergeCell ref="W9:Z9"/>
    <mergeCell ref="S10:V10"/>
    <mergeCell ref="W10:Z10"/>
    <mergeCell ref="AA12:AC12"/>
    <mergeCell ref="E3:H3"/>
    <mergeCell ref="I3:L3"/>
    <mergeCell ref="S3:V3"/>
    <mergeCell ref="W3:Z3"/>
    <mergeCell ref="AD9:AE9"/>
    <mergeCell ref="AD10:AE10"/>
    <mergeCell ref="AD12:AE12"/>
    <mergeCell ref="AD13:AE13"/>
    <mergeCell ref="AD15:AE15"/>
    <mergeCell ref="AD29:AE29"/>
    <mergeCell ref="AD67:AE67"/>
    <mergeCell ref="AD66:AE66"/>
    <mergeCell ref="AD65:AE65"/>
    <mergeCell ref="AD64:AE64"/>
    <mergeCell ref="AD55:AE55"/>
    <mergeCell ref="AD54:AE54"/>
    <mergeCell ref="AD53:AE53"/>
    <mergeCell ref="AD52:AE52"/>
    <mergeCell ref="AD50:AE50"/>
    <mergeCell ref="AO3:AP3"/>
    <mergeCell ref="AO20:AP20"/>
    <mergeCell ref="AO23:AP23"/>
    <mergeCell ref="AO24:AP24"/>
    <mergeCell ref="AO48:AP48"/>
    <mergeCell ref="AO50:AP50"/>
    <mergeCell ref="AO54:AP54"/>
    <mergeCell ref="AO55:AP55"/>
    <mergeCell ref="AG54:AJ54"/>
    <mergeCell ref="AG48:AJ48"/>
    <mergeCell ref="AG55:AJ55"/>
    <mergeCell ref="AK3:AN3"/>
    <mergeCell ref="AK20:AN20"/>
    <mergeCell ref="AK23:AN23"/>
    <mergeCell ref="AK24:AN24"/>
    <mergeCell ref="AK48:AN48"/>
    <mergeCell ref="AK50:AN50"/>
    <mergeCell ref="AK54:AN54"/>
    <mergeCell ref="AK55:AN55"/>
    <mergeCell ref="AG3:AJ3"/>
    <mergeCell ref="AG20:AJ20"/>
    <mergeCell ref="AG23:AJ23"/>
    <mergeCell ref="AG24:AJ24"/>
    <mergeCell ref="A80:AT80"/>
    <mergeCell ref="P58:Q58"/>
    <mergeCell ref="P20:Q20"/>
    <mergeCell ref="P23:Q23"/>
    <mergeCell ref="P24:Q24"/>
    <mergeCell ref="AQ54:AT54"/>
    <mergeCell ref="AQ55:AT55"/>
    <mergeCell ref="AQ48:AT48"/>
    <mergeCell ref="AQ20:AT20"/>
    <mergeCell ref="AQ23:AT23"/>
    <mergeCell ref="AQ24:AT24"/>
    <mergeCell ref="P48:Q48"/>
    <mergeCell ref="P49:Q49"/>
    <mergeCell ref="P50:Q50"/>
    <mergeCell ref="P54:Q54"/>
    <mergeCell ref="P55:Q55"/>
    <mergeCell ref="AD48:AE48"/>
    <mergeCell ref="AD43:AE43"/>
    <mergeCell ref="AD40:AE40"/>
    <mergeCell ref="AD41:AE41"/>
    <mergeCell ref="AD42:AE42"/>
    <mergeCell ref="AD24:AE24"/>
    <mergeCell ref="AD23:AE23"/>
    <mergeCell ref="AD20:AE2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DEAC6-3F9B-4D10-9598-5F4D7AE35E9B}">
  <dimension ref="A1:J23"/>
  <sheetViews>
    <sheetView zoomScale="140" zoomScaleNormal="140" workbookViewId="0">
      <selection activeCell="B16" sqref="B16:B17"/>
    </sheetView>
  </sheetViews>
  <sheetFormatPr defaultColWidth="8.7890625" defaultRowHeight="10.199999999999999"/>
  <cols>
    <col min="1" max="1" width="8.7890625" style="82"/>
    <col min="2" max="2" width="15.15625" style="82" customWidth="1"/>
    <col min="3" max="3" width="8.7890625" style="82" customWidth="1"/>
    <col min="4" max="4" width="11.734375" style="82" customWidth="1"/>
    <col min="5" max="5" width="5.734375" style="82" customWidth="1"/>
    <col min="6" max="6" width="10" style="82" bestFit="1" customWidth="1"/>
    <col min="7" max="7" width="13.47265625" style="82" bestFit="1" customWidth="1"/>
    <col min="8" max="8" width="7" style="82" bestFit="1" customWidth="1"/>
    <col min="9" max="9" width="11.15625" style="82" customWidth="1"/>
    <col min="10" max="10" width="15" style="82" bestFit="1" customWidth="1"/>
    <col min="11" max="16384" width="8.7890625" style="82"/>
  </cols>
  <sheetData>
    <row r="1" spans="1:10">
      <c r="A1" s="196" t="s">
        <v>1684</v>
      </c>
      <c r="B1" s="291"/>
    </row>
    <row r="2" spans="1:10">
      <c r="A2" s="196"/>
      <c r="B2" s="291"/>
    </row>
    <row r="3" spans="1:10">
      <c r="A3" s="196" t="s">
        <v>1713</v>
      </c>
      <c r="B3" s="291"/>
    </row>
    <row r="4" spans="1:10">
      <c r="A4" s="467" t="s">
        <v>0</v>
      </c>
      <c r="B4" s="467" t="s">
        <v>1686</v>
      </c>
      <c r="C4" s="467" t="s">
        <v>1685</v>
      </c>
      <c r="D4" s="157" t="s">
        <v>1714</v>
      </c>
      <c r="E4" s="157" t="s">
        <v>571</v>
      </c>
      <c r="F4" s="469" t="s">
        <v>1374</v>
      </c>
      <c r="G4" s="157" t="s">
        <v>1715</v>
      </c>
      <c r="H4" s="157" t="s">
        <v>571</v>
      </c>
      <c r="I4" s="157" t="s">
        <v>1374</v>
      </c>
    </row>
    <row r="5" spans="1:10">
      <c r="A5" s="616" t="s">
        <v>1314</v>
      </c>
      <c r="B5" s="612" t="s">
        <v>1688</v>
      </c>
      <c r="C5" s="204" t="s">
        <v>1690</v>
      </c>
      <c r="D5" s="468">
        <v>0.22730264112479101</v>
      </c>
      <c r="E5" s="468">
        <v>1.17618197053804E-2</v>
      </c>
      <c r="F5" s="470" t="s">
        <v>1697</v>
      </c>
      <c r="G5" s="575">
        <v>1.0529999999999999</v>
      </c>
      <c r="H5" s="575">
        <v>7.1999999999999995E-2</v>
      </c>
      <c r="I5" s="575" t="s">
        <v>1719</v>
      </c>
      <c r="J5" s="465"/>
    </row>
    <row r="6" spans="1:10">
      <c r="A6" s="616"/>
      <c r="B6" s="613"/>
      <c r="C6" s="209" t="s">
        <v>1687</v>
      </c>
      <c r="D6" s="292">
        <v>0.215872850933332</v>
      </c>
      <c r="E6" s="292">
        <v>1.2250027453407799E-2</v>
      </c>
      <c r="F6" s="401" t="s">
        <v>1695</v>
      </c>
      <c r="G6" s="568"/>
      <c r="H6" s="568"/>
      <c r="I6" s="568"/>
      <c r="J6" s="465"/>
    </row>
    <row r="7" spans="1:10">
      <c r="A7" s="616"/>
      <c r="B7" s="614" t="s">
        <v>1689</v>
      </c>
      <c r="C7" s="82" t="s">
        <v>1690</v>
      </c>
      <c r="D7" s="283">
        <v>0.23059655512065799</v>
      </c>
      <c r="E7" s="283">
        <v>8.8326534992775006E-3</v>
      </c>
      <c r="F7" s="400" t="s">
        <v>1698</v>
      </c>
      <c r="G7" s="575">
        <v>1.028</v>
      </c>
      <c r="H7" s="575">
        <v>4.3999999999999997E-2</v>
      </c>
      <c r="I7" s="575" t="s">
        <v>1720</v>
      </c>
    </row>
    <row r="8" spans="1:10" ht="10.5" customHeight="1">
      <c r="A8" s="613"/>
      <c r="B8" s="615"/>
      <c r="C8" s="209" t="s">
        <v>1687</v>
      </c>
      <c r="D8" s="292">
        <v>0.22420835021416</v>
      </c>
      <c r="E8" s="292">
        <v>9.1178955588152606E-3</v>
      </c>
      <c r="F8" s="401" t="s">
        <v>1696</v>
      </c>
      <c r="G8" s="568"/>
      <c r="H8" s="568"/>
      <c r="I8" s="568"/>
    </row>
    <row r="9" spans="1:10">
      <c r="A9" s="612" t="s">
        <v>1315</v>
      </c>
      <c r="B9" s="612" t="s">
        <v>1688</v>
      </c>
      <c r="C9" s="204" t="s">
        <v>1691</v>
      </c>
      <c r="D9" s="468">
        <v>0.34028635991413198</v>
      </c>
      <c r="E9" s="468">
        <v>1.08733798935678E-2</v>
      </c>
      <c r="F9" s="470" t="s">
        <v>1699</v>
      </c>
      <c r="G9" s="617">
        <v>1.1222101747331099</v>
      </c>
      <c r="H9" s="617">
        <v>6.0231533844126099E-2</v>
      </c>
      <c r="I9" s="575" t="s">
        <v>1703</v>
      </c>
    </row>
    <row r="10" spans="1:10">
      <c r="A10" s="616"/>
      <c r="B10" s="613"/>
      <c r="C10" s="209" t="s">
        <v>1692</v>
      </c>
      <c r="D10" s="292">
        <v>0.30322872450792199</v>
      </c>
      <c r="E10" s="292">
        <v>1.27503682153772E-2</v>
      </c>
      <c r="F10" s="401" t="s">
        <v>1701</v>
      </c>
      <c r="G10" s="618"/>
      <c r="H10" s="618"/>
      <c r="I10" s="568"/>
    </row>
    <row r="11" spans="1:10">
      <c r="A11" s="616"/>
      <c r="B11" s="616" t="s">
        <v>1689</v>
      </c>
      <c r="C11" s="82" t="s">
        <v>1691</v>
      </c>
      <c r="D11" s="283">
        <v>0.33923969949737698</v>
      </c>
      <c r="E11" s="283">
        <v>6.5325079621482603E-3</v>
      </c>
      <c r="F11" s="400" t="s">
        <v>1700</v>
      </c>
      <c r="G11" s="582">
        <v>1.1348264415228999</v>
      </c>
      <c r="H11" s="582">
        <v>3.5600724431391201E-2</v>
      </c>
      <c r="I11" s="567" t="s">
        <v>1704</v>
      </c>
    </row>
    <row r="12" spans="1:10">
      <c r="A12" s="613"/>
      <c r="B12" s="613"/>
      <c r="C12" s="209" t="s">
        <v>1692</v>
      </c>
      <c r="D12" s="292">
        <v>0.29893531476243101</v>
      </c>
      <c r="E12" s="292">
        <v>7.6342440999617404E-3</v>
      </c>
      <c r="F12" s="401" t="s">
        <v>1702</v>
      </c>
      <c r="G12" s="618"/>
      <c r="H12" s="618"/>
      <c r="I12" s="568"/>
    </row>
    <row r="14" spans="1:10">
      <c r="A14" s="196" t="s">
        <v>1716</v>
      </c>
      <c r="B14" s="291"/>
    </row>
    <row r="15" spans="1:10" ht="11.7">
      <c r="A15" s="467" t="s">
        <v>0</v>
      </c>
      <c r="B15" s="467" t="s">
        <v>1686</v>
      </c>
      <c r="C15" s="467" t="s">
        <v>1685</v>
      </c>
      <c r="D15" s="157" t="s">
        <v>1717</v>
      </c>
      <c r="E15" s="157" t="s">
        <v>571</v>
      </c>
      <c r="F15" s="157" t="s">
        <v>1374</v>
      </c>
      <c r="G15" s="157" t="s">
        <v>1718</v>
      </c>
      <c r="H15" s="157" t="s">
        <v>571</v>
      </c>
      <c r="I15" s="157" t="s">
        <v>1374</v>
      </c>
    </row>
    <row r="16" spans="1:10">
      <c r="A16" s="616" t="s">
        <v>1314</v>
      </c>
      <c r="B16" s="616" t="s">
        <v>1688</v>
      </c>
      <c r="C16" s="82" t="s">
        <v>1690</v>
      </c>
      <c r="D16" s="468">
        <v>7.0169999999999996E-2</v>
      </c>
      <c r="E16" s="468">
        <v>3.7299999999999998E-3</v>
      </c>
      <c r="F16" s="466" t="s">
        <v>1708</v>
      </c>
      <c r="G16" s="617">
        <f>1/0.87422</f>
        <v>1.1438768273432316</v>
      </c>
      <c r="H16" s="619">
        <v>0.15139</v>
      </c>
      <c r="I16" s="619" t="s">
        <v>1721</v>
      </c>
    </row>
    <row r="17" spans="1:9">
      <c r="A17" s="616"/>
      <c r="B17" s="613"/>
      <c r="C17" s="209" t="s">
        <v>1687</v>
      </c>
      <c r="D17" s="292">
        <v>2.1819999999999999E-2</v>
      </c>
      <c r="E17" s="292">
        <v>1.99E-3</v>
      </c>
      <c r="F17" s="386" t="s">
        <v>1705</v>
      </c>
      <c r="G17" s="618"/>
      <c r="H17" s="620"/>
      <c r="I17" s="620"/>
    </row>
    <row r="18" spans="1:9" ht="10.45" customHeight="1">
      <c r="A18" s="616"/>
      <c r="B18" s="614" t="s">
        <v>1689</v>
      </c>
      <c r="C18" s="82" t="s">
        <v>1690</v>
      </c>
      <c r="D18" s="283">
        <v>2.496E-2</v>
      </c>
      <c r="E18" s="283">
        <v>2.0699999999999998E-3</v>
      </c>
      <c r="F18" s="132" t="s">
        <v>1707</v>
      </c>
      <c r="G18" s="582">
        <f>1/0.91213</f>
        <v>1.0963349522546129</v>
      </c>
      <c r="H18" s="577">
        <v>8.8400000000000006E-2</v>
      </c>
      <c r="I18" s="577" t="s">
        <v>1722</v>
      </c>
    </row>
    <row r="19" spans="1:9">
      <c r="A19" s="613"/>
      <c r="B19" s="615"/>
      <c r="C19" s="209" t="s">
        <v>1687</v>
      </c>
      <c r="D19" s="283">
        <v>6.4000000000000001E-2</v>
      </c>
      <c r="E19" s="283">
        <v>3.6800000000000001E-3</v>
      </c>
      <c r="F19" s="132" t="s">
        <v>1706</v>
      </c>
      <c r="G19" s="618"/>
      <c r="H19" s="620"/>
      <c r="I19" s="620"/>
    </row>
    <row r="20" spans="1:9">
      <c r="A20" s="612" t="s">
        <v>1315</v>
      </c>
      <c r="B20" s="612" t="s">
        <v>1688</v>
      </c>
      <c r="C20" s="204" t="s">
        <v>1691</v>
      </c>
      <c r="D20" s="468">
        <v>3.712E-2</v>
      </c>
      <c r="E20" s="468">
        <v>2.5999999999999999E-3</v>
      </c>
      <c r="F20" s="466" t="s">
        <v>1709</v>
      </c>
      <c r="G20" s="617">
        <v>1.2041299999999999</v>
      </c>
      <c r="H20" s="617">
        <v>0.14903</v>
      </c>
      <c r="I20" s="575" t="s">
        <v>1723</v>
      </c>
    </row>
    <row r="21" spans="1:9">
      <c r="A21" s="616"/>
      <c r="B21" s="613"/>
      <c r="C21" s="209" t="s">
        <v>1692</v>
      </c>
      <c r="D21" s="292">
        <v>3.083E-2</v>
      </c>
      <c r="E21" s="292">
        <v>2.8900000000000002E-3</v>
      </c>
      <c r="F21" s="386" t="s">
        <v>1711</v>
      </c>
      <c r="G21" s="618"/>
      <c r="H21" s="618"/>
      <c r="I21" s="568"/>
    </row>
    <row r="22" spans="1:9">
      <c r="A22" s="616"/>
      <c r="B22" s="616" t="s">
        <v>1689</v>
      </c>
      <c r="C22" s="82" t="s">
        <v>1691</v>
      </c>
      <c r="D22" s="468">
        <v>0.11407</v>
      </c>
      <c r="E22" s="468">
        <v>4.5399999999999998E-3</v>
      </c>
      <c r="F22" s="466" t="s">
        <v>1710</v>
      </c>
      <c r="G22" s="617">
        <v>1.26667</v>
      </c>
      <c r="H22" s="617">
        <v>8.838E-2</v>
      </c>
      <c r="I22" s="575" t="s">
        <v>1724</v>
      </c>
    </row>
    <row r="23" spans="1:9">
      <c r="A23" s="613"/>
      <c r="B23" s="613"/>
      <c r="C23" s="209" t="s">
        <v>1692</v>
      </c>
      <c r="D23" s="292">
        <v>9.0050000000000005E-2</v>
      </c>
      <c r="E23" s="292">
        <v>4.9699999999999996E-3</v>
      </c>
      <c r="F23" s="386" t="s">
        <v>1712</v>
      </c>
      <c r="G23" s="618"/>
      <c r="H23" s="618"/>
      <c r="I23" s="568"/>
    </row>
  </sheetData>
  <mergeCells count="36">
    <mergeCell ref="G16:G17"/>
    <mergeCell ref="H16:H17"/>
    <mergeCell ref="I16:I17"/>
    <mergeCell ref="G18:G19"/>
    <mergeCell ref="H18:H19"/>
    <mergeCell ref="I18:I19"/>
    <mergeCell ref="G20:G21"/>
    <mergeCell ref="H20:H21"/>
    <mergeCell ref="I20:I21"/>
    <mergeCell ref="G22:G23"/>
    <mergeCell ref="H22:H23"/>
    <mergeCell ref="I22:I23"/>
    <mergeCell ref="G5:G6"/>
    <mergeCell ref="H5:H6"/>
    <mergeCell ref="I5:I6"/>
    <mergeCell ref="A9:A12"/>
    <mergeCell ref="B9:B10"/>
    <mergeCell ref="B11:B12"/>
    <mergeCell ref="G9:G10"/>
    <mergeCell ref="G11:G12"/>
    <mergeCell ref="H9:H10"/>
    <mergeCell ref="H11:H12"/>
    <mergeCell ref="I11:I12"/>
    <mergeCell ref="I7:I8"/>
    <mergeCell ref="I9:I10"/>
    <mergeCell ref="H7:H8"/>
    <mergeCell ref="G7:G8"/>
    <mergeCell ref="A5:A8"/>
    <mergeCell ref="B5:B6"/>
    <mergeCell ref="B7:B8"/>
    <mergeCell ref="B20:B21"/>
    <mergeCell ref="A16:A19"/>
    <mergeCell ref="A20:A23"/>
    <mergeCell ref="B16:B17"/>
    <mergeCell ref="B18:B19"/>
    <mergeCell ref="B22:B2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32E86-6EF1-43A0-85C4-3D89E931ED5E}">
  <dimension ref="A1:S59"/>
  <sheetViews>
    <sheetView zoomScaleNormal="100" workbookViewId="0">
      <pane xSplit="1" topLeftCell="B1" activePane="topRight" state="frozen"/>
      <selection pane="topRight" activeCell="E5" sqref="E5"/>
    </sheetView>
  </sheetViews>
  <sheetFormatPr defaultColWidth="8.7890625" defaultRowHeight="14.4"/>
  <cols>
    <col min="1" max="1" width="13.15625" customWidth="1"/>
    <col min="2" max="2" width="8.7890625" customWidth="1"/>
    <col min="3" max="3" width="11.15625" customWidth="1"/>
    <col min="5" max="5" width="7.47265625" customWidth="1"/>
    <col min="6" max="6" width="20.15625" customWidth="1"/>
    <col min="7" max="7" width="5.15625" customWidth="1"/>
    <col min="9" max="9" width="11.47265625" customWidth="1"/>
    <col min="10" max="10" width="24.47265625" customWidth="1"/>
    <col min="12" max="12" width="22.15625" customWidth="1"/>
    <col min="13" max="13" width="10.47265625" customWidth="1"/>
    <col min="15" max="16" width="6.47265625" customWidth="1"/>
    <col min="17" max="17" width="70.47265625" customWidth="1"/>
  </cols>
  <sheetData>
    <row r="1" spans="1:19">
      <c r="A1" s="223" t="s">
        <v>1543</v>
      </c>
      <c r="B1" s="223"/>
      <c r="C1" s="224"/>
      <c r="D1" s="225"/>
      <c r="E1" s="226"/>
      <c r="F1" s="225"/>
      <c r="G1" s="225"/>
      <c r="H1" s="225"/>
      <c r="I1" s="225"/>
      <c r="J1" s="225"/>
      <c r="K1" s="225"/>
      <c r="L1" s="225"/>
      <c r="M1" s="225"/>
      <c r="N1" s="225"/>
      <c r="O1" s="225"/>
      <c r="P1" s="225"/>
    </row>
    <row r="2" spans="1:19">
      <c r="A2" s="569" t="s">
        <v>804</v>
      </c>
      <c r="B2" s="636" t="s">
        <v>805</v>
      </c>
      <c r="C2" s="632" t="s">
        <v>806</v>
      </c>
      <c r="D2" s="639" t="s">
        <v>807</v>
      </c>
      <c r="E2" s="641" t="s">
        <v>1273</v>
      </c>
      <c r="F2" s="632" t="s">
        <v>808</v>
      </c>
      <c r="G2" s="227" t="s">
        <v>1244</v>
      </c>
      <c r="H2" s="228"/>
      <c r="I2" s="228"/>
      <c r="J2" s="229"/>
      <c r="K2" s="230" t="s">
        <v>1247</v>
      </c>
      <c r="L2" s="231"/>
      <c r="M2" s="227" t="s">
        <v>809</v>
      </c>
      <c r="N2" s="228"/>
      <c r="O2" s="228"/>
      <c r="P2" s="231"/>
    </row>
    <row r="3" spans="1:19" ht="20.399999999999999">
      <c r="A3" s="570"/>
      <c r="B3" s="637"/>
      <c r="C3" s="638"/>
      <c r="D3" s="640"/>
      <c r="E3" s="642"/>
      <c r="F3" s="633"/>
      <c r="G3" s="232" t="s">
        <v>810</v>
      </c>
      <c r="H3" s="232" t="s">
        <v>811</v>
      </c>
      <c r="I3" s="233" t="s">
        <v>812</v>
      </c>
      <c r="J3" s="234" t="s">
        <v>813</v>
      </c>
      <c r="K3" s="232" t="s">
        <v>811</v>
      </c>
      <c r="L3" s="235" t="s">
        <v>813</v>
      </c>
      <c r="M3" s="232" t="s">
        <v>814</v>
      </c>
      <c r="N3" s="232" t="s">
        <v>815</v>
      </c>
      <c r="O3" s="232" t="s">
        <v>816</v>
      </c>
      <c r="P3" s="236" t="s">
        <v>817</v>
      </c>
    </row>
    <row r="4" spans="1:19" ht="91.8">
      <c r="A4" s="8" t="s">
        <v>1676</v>
      </c>
      <c r="B4" s="237" t="s">
        <v>9</v>
      </c>
      <c r="C4" s="246" t="s">
        <v>1248</v>
      </c>
      <c r="D4" s="428" t="s">
        <v>678</v>
      </c>
      <c r="E4" s="247">
        <v>6267</v>
      </c>
      <c r="F4" s="241" t="s">
        <v>1249</v>
      </c>
      <c r="G4" s="136">
        <v>0.01</v>
      </c>
      <c r="H4" s="136">
        <v>0.97</v>
      </c>
      <c r="I4" s="243" t="s">
        <v>1243</v>
      </c>
      <c r="J4" s="241" t="s">
        <v>822</v>
      </c>
      <c r="K4" s="242">
        <v>0.98</v>
      </c>
      <c r="L4" s="241" t="s">
        <v>1250</v>
      </c>
      <c r="M4" s="135" t="s">
        <v>1245</v>
      </c>
      <c r="N4" s="136" t="s">
        <v>1246</v>
      </c>
      <c r="O4" s="136" t="s">
        <v>49</v>
      </c>
      <c r="P4" s="252" t="s">
        <v>827</v>
      </c>
      <c r="R4" s="307"/>
      <c r="S4" s="307"/>
    </row>
    <row r="5" spans="1:19" ht="91.8">
      <c r="A5" s="122" t="s">
        <v>1680</v>
      </c>
      <c r="B5" s="237" t="s">
        <v>9</v>
      </c>
      <c r="C5" s="246" t="s">
        <v>1681</v>
      </c>
      <c r="D5" s="239" t="s">
        <v>683</v>
      </c>
      <c r="E5" s="240">
        <v>5393</v>
      </c>
      <c r="F5" s="241" t="s">
        <v>1251</v>
      </c>
      <c r="G5" s="136">
        <v>0.01</v>
      </c>
      <c r="H5" s="136">
        <v>0.97</v>
      </c>
      <c r="I5" s="243" t="s">
        <v>1243</v>
      </c>
      <c r="J5" s="241" t="s">
        <v>822</v>
      </c>
      <c r="K5" s="136">
        <v>0.98</v>
      </c>
      <c r="L5" s="241" t="s">
        <v>1250</v>
      </c>
      <c r="M5" s="135" t="s">
        <v>1245</v>
      </c>
      <c r="N5" s="136" t="s">
        <v>1246</v>
      </c>
      <c r="O5" s="136" t="s">
        <v>49</v>
      </c>
      <c r="P5" s="252" t="s">
        <v>827</v>
      </c>
    </row>
    <row r="6" spans="1:19" ht="61.2">
      <c r="A6" s="122" t="s">
        <v>1677</v>
      </c>
      <c r="B6" s="122"/>
      <c r="C6" s="246" t="s">
        <v>1240</v>
      </c>
      <c r="D6" s="249" t="s">
        <v>682</v>
      </c>
      <c r="E6" s="247">
        <v>17284</v>
      </c>
      <c r="F6" s="241" t="s">
        <v>1241</v>
      </c>
      <c r="G6" s="136">
        <v>0.01</v>
      </c>
      <c r="H6" s="136">
        <v>0.97</v>
      </c>
      <c r="I6" s="243" t="s">
        <v>1243</v>
      </c>
      <c r="J6" s="241" t="s">
        <v>822</v>
      </c>
      <c r="K6" s="136">
        <v>0.98</v>
      </c>
      <c r="L6" s="241" t="s">
        <v>1242</v>
      </c>
      <c r="M6" s="135" t="s">
        <v>1245</v>
      </c>
      <c r="N6" s="136" t="s">
        <v>1246</v>
      </c>
      <c r="O6" s="136" t="s">
        <v>49</v>
      </c>
      <c r="P6" s="252" t="s">
        <v>827</v>
      </c>
      <c r="R6" s="307"/>
    </row>
    <row r="7" spans="1:19" ht="71.400000000000006">
      <c r="A7" s="122" t="s">
        <v>818</v>
      </c>
      <c r="B7" s="237" t="s">
        <v>9</v>
      </c>
      <c r="C7" s="238" t="s">
        <v>819</v>
      </c>
      <c r="D7" s="239" t="s">
        <v>684</v>
      </c>
      <c r="E7" s="240">
        <v>5689</v>
      </c>
      <c r="F7" s="241" t="s">
        <v>820</v>
      </c>
      <c r="G7" s="135">
        <v>0.01</v>
      </c>
      <c r="H7" s="242">
        <v>0.98</v>
      </c>
      <c r="I7" s="243" t="s">
        <v>821</v>
      </c>
      <c r="J7" s="241" t="s">
        <v>822</v>
      </c>
      <c r="K7" s="135" t="s">
        <v>823</v>
      </c>
      <c r="L7" s="241" t="s">
        <v>824</v>
      </c>
      <c r="M7" s="244" t="s">
        <v>825</v>
      </c>
      <c r="N7" s="244" t="s">
        <v>826</v>
      </c>
      <c r="O7" s="135">
        <v>1.1000000000000001</v>
      </c>
      <c r="P7" s="245" t="s">
        <v>827</v>
      </c>
    </row>
    <row r="8" spans="1:19" ht="134.19999999999999" customHeight="1">
      <c r="A8" s="122" t="s">
        <v>73</v>
      </c>
      <c r="B8" s="429" t="s">
        <v>1534</v>
      </c>
      <c r="C8" s="246" t="s">
        <v>1270</v>
      </c>
      <c r="D8" s="249" t="s">
        <v>1678</v>
      </c>
      <c r="E8" s="240">
        <v>17450</v>
      </c>
      <c r="F8" s="241" t="s">
        <v>1355</v>
      </c>
      <c r="G8" s="135">
        <v>0.01</v>
      </c>
      <c r="H8" s="242" t="s">
        <v>1359</v>
      </c>
      <c r="I8" s="243" t="s">
        <v>1356</v>
      </c>
      <c r="J8" s="241" t="s">
        <v>1358</v>
      </c>
      <c r="K8" s="135" t="s">
        <v>1357</v>
      </c>
      <c r="L8" s="241" t="s">
        <v>1361</v>
      </c>
      <c r="M8" s="244" t="s">
        <v>1360</v>
      </c>
      <c r="N8" s="244" t="s">
        <v>826</v>
      </c>
      <c r="O8" s="135">
        <v>1.1000000000000001</v>
      </c>
      <c r="P8" s="245" t="s">
        <v>827</v>
      </c>
    </row>
    <row r="9" spans="1:19" ht="61.2">
      <c r="A9" s="122" t="s">
        <v>828</v>
      </c>
      <c r="B9" s="237" t="s">
        <v>9</v>
      </c>
      <c r="C9" s="246" t="s">
        <v>829</v>
      </c>
      <c r="D9" s="239" t="s">
        <v>1427</v>
      </c>
      <c r="E9" s="247">
        <v>887</v>
      </c>
      <c r="F9" s="241" t="s">
        <v>830</v>
      </c>
      <c r="G9" s="136">
        <v>0.01</v>
      </c>
      <c r="H9" s="136">
        <v>0.95</v>
      </c>
      <c r="I9" s="243" t="s">
        <v>821</v>
      </c>
      <c r="J9" s="241" t="s">
        <v>822</v>
      </c>
      <c r="K9" s="135" t="s">
        <v>823</v>
      </c>
      <c r="L9" s="241" t="s">
        <v>831</v>
      </c>
      <c r="M9" s="135" t="s">
        <v>825</v>
      </c>
      <c r="N9" s="244" t="s">
        <v>826</v>
      </c>
      <c r="O9" s="135">
        <v>1.1000000000000001</v>
      </c>
      <c r="P9" s="245" t="s">
        <v>827</v>
      </c>
    </row>
    <row r="10" spans="1:19" ht="102">
      <c r="A10" s="122" t="s">
        <v>76</v>
      </c>
      <c r="B10" s="237" t="s">
        <v>9</v>
      </c>
      <c r="C10" s="246" t="s">
        <v>832</v>
      </c>
      <c r="D10" s="239" t="s">
        <v>860</v>
      </c>
      <c r="E10" s="240">
        <v>210407</v>
      </c>
      <c r="F10" s="241" t="s">
        <v>1420</v>
      </c>
      <c r="G10" s="369" t="s">
        <v>49</v>
      </c>
      <c r="H10" s="369" t="s">
        <v>49</v>
      </c>
      <c r="I10" s="243" t="s">
        <v>49</v>
      </c>
      <c r="J10" s="370" t="s">
        <v>49</v>
      </c>
      <c r="K10" s="369" t="s">
        <v>49</v>
      </c>
      <c r="L10" s="241" t="s">
        <v>1419</v>
      </c>
      <c r="M10" s="244" t="s">
        <v>833</v>
      </c>
      <c r="N10" s="244" t="s">
        <v>834</v>
      </c>
      <c r="O10" s="371" t="s">
        <v>835</v>
      </c>
      <c r="P10" s="245" t="s">
        <v>836</v>
      </c>
    </row>
    <row r="11" spans="1:19" ht="71.400000000000006">
      <c r="A11" s="122" t="s">
        <v>79</v>
      </c>
      <c r="B11" s="237" t="s">
        <v>9</v>
      </c>
      <c r="C11" s="246" t="s">
        <v>837</v>
      </c>
      <c r="D11" s="239" t="s">
        <v>865</v>
      </c>
      <c r="E11" s="240">
        <v>7310</v>
      </c>
      <c r="F11" s="248" t="s">
        <v>838</v>
      </c>
      <c r="G11" s="135">
        <v>0.01</v>
      </c>
      <c r="H11" s="242">
        <v>0.98</v>
      </c>
      <c r="I11" s="243" t="s">
        <v>821</v>
      </c>
      <c r="J11" s="241" t="s">
        <v>822</v>
      </c>
      <c r="K11" s="242">
        <v>0.95</v>
      </c>
      <c r="L11" s="241" t="s">
        <v>824</v>
      </c>
      <c r="M11" s="244" t="s">
        <v>825</v>
      </c>
      <c r="N11" s="244" t="s">
        <v>826</v>
      </c>
      <c r="O11" s="135">
        <v>1.1000000000000001</v>
      </c>
      <c r="P11" s="245" t="s">
        <v>827</v>
      </c>
    </row>
    <row r="12" spans="1:19" ht="71.400000000000006">
      <c r="A12" s="122" t="s">
        <v>839</v>
      </c>
      <c r="B12" s="237" t="s">
        <v>9</v>
      </c>
      <c r="C12" s="246" t="s">
        <v>840</v>
      </c>
      <c r="D12" s="239" t="s">
        <v>870</v>
      </c>
      <c r="E12" s="240">
        <v>2316</v>
      </c>
      <c r="F12" s="241" t="s">
        <v>1364</v>
      </c>
      <c r="G12" s="136">
        <v>0.01</v>
      </c>
      <c r="H12" s="136">
        <v>0.95</v>
      </c>
      <c r="I12" s="243" t="s">
        <v>821</v>
      </c>
      <c r="J12" s="241" t="s">
        <v>822</v>
      </c>
      <c r="K12" s="135" t="s">
        <v>823</v>
      </c>
      <c r="L12" s="241" t="s">
        <v>841</v>
      </c>
      <c r="M12" s="135" t="s">
        <v>825</v>
      </c>
      <c r="N12" s="244" t="s">
        <v>826</v>
      </c>
      <c r="O12" s="135">
        <v>1.1000000000000001</v>
      </c>
      <c r="P12" s="245" t="s">
        <v>827</v>
      </c>
    </row>
    <row r="13" spans="1:19" ht="81.7" customHeight="1">
      <c r="A13" s="122" t="s">
        <v>1434</v>
      </c>
      <c r="B13" s="237" t="s">
        <v>9</v>
      </c>
      <c r="C13" s="122" t="s">
        <v>1279</v>
      </c>
      <c r="D13" s="239" t="s">
        <v>1431</v>
      </c>
      <c r="E13" s="240">
        <v>500348</v>
      </c>
      <c r="F13" s="241" t="s">
        <v>1514</v>
      </c>
      <c r="G13" s="136" t="s">
        <v>49</v>
      </c>
      <c r="H13" s="136">
        <v>0.98</v>
      </c>
      <c r="I13" s="243" t="s">
        <v>1243</v>
      </c>
      <c r="J13" s="241" t="s">
        <v>1518</v>
      </c>
      <c r="K13" s="135">
        <v>0.95</v>
      </c>
      <c r="L13" s="241" t="s">
        <v>1517</v>
      </c>
      <c r="M13" s="135" t="s">
        <v>1519</v>
      </c>
      <c r="N13" s="621" t="s">
        <v>1515</v>
      </c>
      <c r="O13" s="621"/>
      <c r="P13" s="245" t="s">
        <v>1520</v>
      </c>
    </row>
    <row r="14" spans="1:19" ht="91.8">
      <c r="A14" s="122" t="s">
        <v>106</v>
      </c>
      <c r="B14" s="237" t="s">
        <v>9</v>
      </c>
      <c r="C14" s="246" t="s">
        <v>1271</v>
      </c>
      <c r="D14" s="249" t="s">
        <v>1436</v>
      </c>
      <c r="E14" s="240">
        <v>19966</v>
      </c>
      <c r="F14" s="241" t="s">
        <v>1363</v>
      </c>
      <c r="G14" s="136">
        <v>0.01</v>
      </c>
      <c r="H14" s="136">
        <v>0.98</v>
      </c>
      <c r="I14" s="243" t="s">
        <v>821</v>
      </c>
      <c r="J14" s="241" t="s">
        <v>822</v>
      </c>
      <c r="K14" s="135" t="s">
        <v>823</v>
      </c>
      <c r="L14" s="241" t="s">
        <v>1362</v>
      </c>
      <c r="M14" s="135" t="s">
        <v>825</v>
      </c>
      <c r="N14" s="244" t="s">
        <v>826</v>
      </c>
      <c r="O14" s="135">
        <v>1.1000000000000001</v>
      </c>
      <c r="P14" s="245" t="s">
        <v>827</v>
      </c>
    </row>
    <row r="15" spans="1:19" ht="30.6">
      <c r="A15" s="122" t="s">
        <v>85</v>
      </c>
      <c r="B15" s="237" t="s">
        <v>9</v>
      </c>
      <c r="C15" s="246" t="s">
        <v>842</v>
      </c>
      <c r="D15" s="249" t="s">
        <v>1437</v>
      </c>
      <c r="E15" s="247">
        <v>12670</v>
      </c>
      <c r="F15" s="241" t="s">
        <v>843</v>
      </c>
      <c r="G15" s="136" t="s">
        <v>49</v>
      </c>
      <c r="H15" s="136">
        <v>0.98</v>
      </c>
      <c r="I15" s="243" t="s">
        <v>844</v>
      </c>
      <c r="J15" s="250" t="s">
        <v>49</v>
      </c>
      <c r="K15" s="136">
        <v>0.98</v>
      </c>
      <c r="L15" s="241" t="s">
        <v>845</v>
      </c>
      <c r="M15" s="135" t="s">
        <v>846</v>
      </c>
      <c r="N15" s="135" t="s">
        <v>847</v>
      </c>
      <c r="O15" s="251" t="s">
        <v>848</v>
      </c>
      <c r="P15" s="252" t="s">
        <v>827</v>
      </c>
    </row>
    <row r="16" spans="1:19" ht="40.799999999999997">
      <c r="A16" s="122" t="s">
        <v>103</v>
      </c>
      <c r="B16" s="237" t="s">
        <v>9</v>
      </c>
      <c r="C16" s="246" t="s">
        <v>849</v>
      </c>
      <c r="D16" s="372" t="s">
        <v>1438</v>
      </c>
      <c r="E16" s="247">
        <v>7634</v>
      </c>
      <c r="F16" s="241" t="s">
        <v>850</v>
      </c>
      <c r="G16" s="136">
        <v>1E-3</v>
      </c>
      <c r="H16" s="136">
        <v>0.95</v>
      </c>
      <c r="I16" s="136" t="s">
        <v>49</v>
      </c>
      <c r="J16" s="241" t="s">
        <v>851</v>
      </c>
      <c r="K16" s="136" t="s">
        <v>49</v>
      </c>
      <c r="L16" s="250" t="s">
        <v>49</v>
      </c>
      <c r="M16" s="135" t="s">
        <v>825</v>
      </c>
      <c r="N16" s="136" t="s">
        <v>826</v>
      </c>
      <c r="O16" s="136">
        <v>1.1000000000000001</v>
      </c>
      <c r="P16" s="245" t="s">
        <v>827</v>
      </c>
    </row>
    <row r="17" spans="1:16" ht="42" customHeight="1">
      <c r="A17" s="9" t="s">
        <v>1239</v>
      </c>
      <c r="B17" s="327" t="s">
        <v>9</v>
      </c>
      <c r="C17" s="359" t="s">
        <v>1269</v>
      </c>
      <c r="D17" s="372" t="s">
        <v>1439</v>
      </c>
      <c r="E17" s="246">
        <v>1358</v>
      </c>
      <c r="F17" s="241" t="s">
        <v>1418</v>
      </c>
      <c r="G17" s="136" t="s">
        <v>49</v>
      </c>
      <c r="H17" s="136">
        <v>0.95</v>
      </c>
      <c r="I17" s="243" t="s">
        <v>1368</v>
      </c>
      <c r="J17" s="241" t="s">
        <v>822</v>
      </c>
      <c r="K17" s="136">
        <v>0.97</v>
      </c>
      <c r="L17" s="250" t="s">
        <v>1369</v>
      </c>
      <c r="M17" s="135" t="s">
        <v>825</v>
      </c>
      <c r="N17" s="136" t="s">
        <v>826</v>
      </c>
      <c r="O17" s="136">
        <v>1.1000000000000001</v>
      </c>
      <c r="P17" s="245" t="s">
        <v>827</v>
      </c>
    </row>
    <row r="18" spans="1:16" ht="81.599999999999994">
      <c r="A18" s="122" t="s">
        <v>1524</v>
      </c>
      <c r="B18" s="237" t="s">
        <v>9</v>
      </c>
      <c r="C18" s="246" t="s">
        <v>1272</v>
      </c>
      <c r="D18" s="428" t="s">
        <v>1440</v>
      </c>
      <c r="E18" s="240">
        <v>2495</v>
      </c>
      <c r="F18" s="241" t="s">
        <v>1365</v>
      </c>
      <c r="G18" s="136">
        <v>0.01</v>
      </c>
      <c r="H18" s="136">
        <v>0.9</v>
      </c>
      <c r="I18" s="243" t="s">
        <v>844</v>
      </c>
      <c r="J18" s="241" t="s">
        <v>822</v>
      </c>
      <c r="K18" s="135" t="s">
        <v>1366</v>
      </c>
      <c r="L18" s="241" t="s">
        <v>1370</v>
      </c>
      <c r="M18" s="135" t="s">
        <v>825</v>
      </c>
      <c r="N18" s="244" t="s">
        <v>826</v>
      </c>
      <c r="O18" s="135">
        <v>1.1000000000000001</v>
      </c>
      <c r="P18" s="245" t="s">
        <v>827</v>
      </c>
    </row>
    <row r="19" spans="1:16" ht="81.599999999999994">
      <c r="A19" s="616" t="s">
        <v>90</v>
      </c>
      <c r="B19" s="136" t="s">
        <v>852</v>
      </c>
      <c r="C19" s="623" t="s">
        <v>853</v>
      </c>
      <c r="D19" s="249" t="s">
        <v>1531</v>
      </c>
      <c r="E19" s="247">
        <v>9775</v>
      </c>
      <c r="F19" s="241" t="s">
        <v>854</v>
      </c>
      <c r="G19" s="136">
        <v>0.01</v>
      </c>
      <c r="H19" s="242">
        <v>0.98</v>
      </c>
      <c r="I19" s="243" t="s">
        <v>821</v>
      </c>
      <c r="J19" s="241" t="s">
        <v>822</v>
      </c>
      <c r="K19" s="135" t="s">
        <v>823</v>
      </c>
      <c r="L19" s="241" t="s">
        <v>855</v>
      </c>
      <c r="M19" s="135" t="s">
        <v>825</v>
      </c>
      <c r="N19" s="244" t="s">
        <v>826</v>
      </c>
      <c r="O19" s="135">
        <v>1.1000000000000001</v>
      </c>
      <c r="P19" s="245" t="s">
        <v>827</v>
      </c>
    </row>
    <row r="20" spans="1:16" ht="81.599999999999994">
      <c r="A20" s="616"/>
      <c r="B20" s="135" t="s">
        <v>1253</v>
      </c>
      <c r="C20" s="623"/>
      <c r="D20" s="249" t="s">
        <v>1531</v>
      </c>
      <c r="E20" s="247">
        <v>17319</v>
      </c>
      <c r="F20" s="241" t="s">
        <v>1260</v>
      </c>
      <c r="G20" s="135">
        <v>1E-4</v>
      </c>
      <c r="H20" s="242">
        <v>0.98</v>
      </c>
      <c r="I20" s="243" t="s">
        <v>821</v>
      </c>
      <c r="J20" s="241" t="s">
        <v>822</v>
      </c>
      <c r="K20" s="135" t="s">
        <v>823</v>
      </c>
      <c r="L20" s="241" t="s">
        <v>856</v>
      </c>
      <c r="M20" s="135" t="s">
        <v>825</v>
      </c>
      <c r="N20" s="244" t="s">
        <v>826</v>
      </c>
      <c r="O20" s="135">
        <v>1.1000000000000001</v>
      </c>
      <c r="P20" s="245" t="s">
        <v>827</v>
      </c>
    </row>
    <row r="21" spans="1:16" ht="102">
      <c r="A21" s="616"/>
      <c r="B21" s="135" t="s">
        <v>1252</v>
      </c>
      <c r="C21" s="623"/>
      <c r="D21" s="249" t="s">
        <v>1531</v>
      </c>
      <c r="E21" s="247">
        <v>15770</v>
      </c>
      <c r="F21" s="241" t="s">
        <v>857</v>
      </c>
      <c r="G21" s="135" t="s">
        <v>1254</v>
      </c>
      <c r="H21" s="135" t="s">
        <v>1256</v>
      </c>
      <c r="I21" s="243" t="s">
        <v>1255</v>
      </c>
      <c r="J21" s="241" t="s">
        <v>1259</v>
      </c>
      <c r="K21" s="135" t="s">
        <v>823</v>
      </c>
      <c r="L21" s="241" t="s">
        <v>1257</v>
      </c>
      <c r="M21" s="135" t="s">
        <v>1258</v>
      </c>
      <c r="N21" s="136" t="s">
        <v>1246</v>
      </c>
      <c r="O21" s="136" t="s">
        <v>1261</v>
      </c>
      <c r="P21" s="252" t="s">
        <v>827</v>
      </c>
    </row>
    <row r="22" spans="1:16" ht="30.6">
      <c r="A22" s="122" t="s">
        <v>858</v>
      </c>
      <c r="B22" s="237" t="s">
        <v>9</v>
      </c>
      <c r="C22" s="246" t="s">
        <v>859</v>
      </c>
      <c r="D22" s="239" t="s">
        <v>1443</v>
      </c>
      <c r="E22" s="247">
        <v>556</v>
      </c>
      <c r="F22" s="245" t="s">
        <v>861</v>
      </c>
      <c r="G22" s="136" t="s">
        <v>49</v>
      </c>
      <c r="H22" s="253">
        <v>0.98</v>
      </c>
      <c r="I22" s="136" t="s">
        <v>49</v>
      </c>
      <c r="J22" s="241" t="s">
        <v>49</v>
      </c>
      <c r="K22" s="135">
        <v>0.98</v>
      </c>
      <c r="L22" s="245" t="s">
        <v>862</v>
      </c>
      <c r="M22" s="244" t="s">
        <v>825</v>
      </c>
      <c r="N22" s="244" t="s">
        <v>826</v>
      </c>
      <c r="O22" s="135">
        <v>1.1000000000000001</v>
      </c>
      <c r="P22" s="245" t="s">
        <v>827</v>
      </c>
    </row>
    <row r="23" spans="1:16" ht="40.799999999999997">
      <c r="A23" s="122" t="s">
        <v>1274</v>
      </c>
      <c r="B23" s="237" t="s">
        <v>9</v>
      </c>
      <c r="C23" s="246" t="s">
        <v>1367</v>
      </c>
      <c r="D23" s="239" t="s">
        <v>1444</v>
      </c>
      <c r="E23" s="247">
        <v>5535</v>
      </c>
      <c r="F23" s="135" t="s">
        <v>1371</v>
      </c>
      <c r="G23" s="136">
        <v>1E-3</v>
      </c>
      <c r="H23" s="253">
        <v>0.98</v>
      </c>
      <c r="I23" s="243" t="s">
        <v>1243</v>
      </c>
      <c r="J23" s="241" t="s">
        <v>49</v>
      </c>
      <c r="K23" s="365">
        <v>0.98</v>
      </c>
      <c r="L23" s="245" t="s">
        <v>1372</v>
      </c>
      <c r="M23" s="244" t="s">
        <v>1373</v>
      </c>
      <c r="N23" s="244" t="s">
        <v>847</v>
      </c>
      <c r="O23" s="135" t="s">
        <v>848</v>
      </c>
      <c r="P23" s="245" t="s">
        <v>827</v>
      </c>
    </row>
    <row r="24" spans="1:16">
      <c r="A24" s="616" t="s">
        <v>863</v>
      </c>
      <c r="B24" s="237" t="s">
        <v>14</v>
      </c>
      <c r="C24" s="623" t="s">
        <v>864</v>
      </c>
      <c r="D24" s="634" t="s">
        <v>1446</v>
      </c>
      <c r="E24" s="247">
        <v>148661</v>
      </c>
      <c r="F24" s="635" t="s">
        <v>866</v>
      </c>
      <c r="G24" s="614" t="s">
        <v>1445</v>
      </c>
      <c r="H24" s="614"/>
      <c r="I24" s="614"/>
      <c r="J24" s="631"/>
      <c r="K24" s="629" t="s">
        <v>1445</v>
      </c>
      <c r="L24" s="630"/>
      <c r="M24" s="614" t="s">
        <v>867</v>
      </c>
      <c r="N24" s="614" t="s">
        <v>868</v>
      </c>
      <c r="O24" s="614"/>
      <c r="P24" s="630" t="s">
        <v>827</v>
      </c>
    </row>
    <row r="25" spans="1:16">
      <c r="A25" s="616"/>
      <c r="B25" s="237" t="s">
        <v>16</v>
      </c>
      <c r="C25" s="623"/>
      <c r="D25" s="634"/>
      <c r="E25" s="247">
        <v>148662</v>
      </c>
      <c r="F25" s="635"/>
      <c r="G25" s="614"/>
      <c r="H25" s="614"/>
      <c r="I25" s="614"/>
      <c r="J25" s="631"/>
      <c r="K25" s="629"/>
      <c r="L25" s="630"/>
      <c r="M25" s="614"/>
      <c r="N25" s="614"/>
      <c r="O25" s="614"/>
      <c r="P25" s="630"/>
    </row>
    <row r="26" spans="1:16" ht="14.5" customHeight="1">
      <c r="A26" s="616"/>
      <c r="B26" s="237" t="s">
        <v>18</v>
      </c>
      <c r="C26" s="623"/>
      <c r="D26" s="634"/>
      <c r="E26" s="247">
        <v>148662</v>
      </c>
      <c r="F26" s="635"/>
      <c r="G26" s="614"/>
      <c r="H26" s="614"/>
      <c r="I26" s="614"/>
      <c r="J26" s="631"/>
      <c r="K26" s="629"/>
      <c r="L26" s="630"/>
      <c r="M26" s="614"/>
      <c r="N26" s="614"/>
      <c r="O26" s="614"/>
      <c r="P26" s="630"/>
    </row>
    <row r="27" spans="1:16" ht="30.6">
      <c r="A27" s="140" t="s">
        <v>93</v>
      </c>
      <c r="B27" s="254" t="s">
        <v>9</v>
      </c>
      <c r="C27" s="255" t="s">
        <v>869</v>
      </c>
      <c r="D27" s="256" t="s">
        <v>1529</v>
      </c>
      <c r="E27" s="257">
        <v>8523</v>
      </c>
      <c r="F27" s="258" t="s">
        <v>871</v>
      </c>
      <c r="G27" s="624" t="s">
        <v>1532</v>
      </c>
      <c r="H27" s="625"/>
      <c r="I27" s="625"/>
      <c r="J27" s="626"/>
      <c r="K27" s="627" t="s">
        <v>1532</v>
      </c>
      <c r="L27" s="628"/>
      <c r="M27" s="260" t="s">
        <v>872</v>
      </c>
      <c r="N27" s="259" t="s">
        <v>847</v>
      </c>
      <c r="O27" s="261" t="s">
        <v>873</v>
      </c>
      <c r="P27" s="262" t="s">
        <v>827</v>
      </c>
    </row>
    <row r="28" spans="1:16" ht="28" customHeight="1">
      <c r="A28" s="622" t="s">
        <v>874</v>
      </c>
      <c r="B28" s="622"/>
      <c r="C28" s="622"/>
      <c r="D28" s="622"/>
      <c r="E28" s="622"/>
      <c r="F28" s="622"/>
      <c r="G28" s="622"/>
      <c r="H28" s="622"/>
      <c r="I28" s="622"/>
      <c r="J28" s="622"/>
      <c r="K28" s="622"/>
      <c r="L28" s="622"/>
      <c r="M28" s="622"/>
      <c r="N28" s="622"/>
      <c r="O28" s="622"/>
      <c r="P28" s="622"/>
    </row>
    <row r="29" spans="1:16" ht="11.5" customHeight="1">
      <c r="A29" s="427"/>
      <c r="B29" s="427"/>
      <c r="C29" s="427"/>
      <c r="D29" s="427"/>
      <c r="E29" s="427"/>
      <c r="F29" s="427"/>
      <c r="G29" s="427"/>
      <c r="H29" s="427"/>
      <c r="I29" s="427"/>
      <c r="J29" s="427"/>
      <c r="K29" s="427"/>
      <c r="L29" s="427"/>
      <c r="M29" s="427"/>
      <c r="N29" s="427"/>
      <c r="O29" s="427"/>
      <c r="P29" s="427"/>
    </row>
    <row r="30" spans="1:16" ht="15" customHeight="1">
      <c r="A30" s="121"/>
      <c r="B30" s="121"/>
      <c r="C30" s="121"/>
      <c r="D30" s="121"/>
      <c r="E30" s="121"/>
      <c r="F30" s="121"/>
      <c r="G30" s="121"/>
      <c r="H30" s="121"/>
      <c r="I30" s="121"/>
      <c r="J30" s="121"/>
      <c r="K30" s="121"/>
      <c r="L30" s="121"/>
      <c r="M30" s="121"/>
      <c r="N30" s="121"/>
      <c r="O30" s="121"/>
      <c r="P30" s="121"/>
    </row>
    <row r="32" spans="1:16" s="82" customFormat="1" ht="13" customHeight="1">
      <c r="A32" s="196" t="s">
        <v>975</v>
      </c>
    </row>
    <row r="33" spans="1:4" s="9" customFormat="1" ht="13" customHeight="1">
      <c r="A33" s="9" t="s">
        <v>678</v>
      </c>
      <c r="C33" s="9" t="s">
        <v>1453</v>
      </c>
    </row>
    <row r="34" spans="1:4" s="9" customFormat="1" ht="13" customHeight="1">
      <c r="A34" s="9" t="s">
        <v>683</v>
      </c>
      <c r="C34" s="9" t="s">
        <v>1433</v>
      </c>
    </row>
    <row r="35" spans="1:4" s="9" customFormat="1" ht="13" customHeight="1">
      <c r="A35" s="9" t="s">
        <v>682</v>
      </c>
      <c r="C35" s="9" t="s">
        <v>1451</v>
      </c>
    </row>
    <row r="36" spans="1:4" s="9" customFormat="1" ht="13" customHeight="1">
      <c r="A36" s="9" t="s">
        <v>684</v>
      </c>
      <c r="C36" s="9" t="s">
        <v>1421</v>
      </c>
    </row>
    <row r="37" spans="1:4" s="9" customFormat="1" ht="13" customHeight="1">
      <c r="A37" s="9" t="s">
        <v>685</v>
      </c>
      <c r="C37" s="9" t="s">
        <v>1527</v>
      </c>
      <c r="D37"/>
    </row>
    <row r="38" spans="1:4" s="9" customFormat="1" ht="13" customHeight="1">
      <c r="A38" s="9" t="s">
        <v>686</v>
      </c>
      <c r="C38" s="9" t="s">
        <v>1528</v>
      </c>
    </row>
    <row r="39" spans="1:4" s="9" customFormat="1" ht="13" customHeight="1">
      <c r="A39" s="9" t="s">
        <v>1425</v>
      </c>
      <c r="C39" s="9" t="s">
        <v>1533</v>
      </c>
    </row>
    <row r="40" spans="1:4" s="9" customFormat="1" ht="13" customHeight="1">
      <c r="A40" s="9" t="s">
        <v>1427</v>
      </c>
      <c r="C40" s="9" t="s">
        <v>1422</v>
      </c>
    </row>
    <row r="41" spans="1:4" s="9" customFormat="1" ht="13" customHeight="1">
      <c r="A41" s="9" t="s">
        <v>860</v>
      </c>
      <c r="C41" s="8" t="s">
        <v>1447</v>
      </c>
    </row>
    <row r="42" spans="1:4" s="9" customFormat="1" ht="13" customHeight="1">
      <c r="A42" s="9" t="s">
        <v>865</v>
      </c>
      <c r="C42" s="9" t="s">
        <v>1423</v>
      </c>
    </row>
    <row r="43" spans="1:4" s="9" customFormat="1" ht="13" customHeight="1">
      <c r="A43" s="9" t="s">
        <v>870</v>
      </c>
      <c r="C43" s="9" t="s">
        <v>1448</v>
      </c>
    </row>
    <row r="44" spans="1:4" s="9" customFormat="1" ht="13" customHeight="1">
      <c r="A44" s="9" t="s">
        <v>1431</v>
      </c>
      <c r="C44" s="9" t="s">
        <v>1516</v>
      </c>
    </row>
    <row r="45" spans="1:4" s="9" customFormat="1" ht="13" customHeight="1">
      <c r="A45" s="9" t="s">
        <v>1436</v>
      </c>
      <c r="C45" s="9" t="s">
        <v>1449</v>
      </c>
    </row>
    <row r="46" spans="1:4" s="9" customFormat="1" ht="13" customHeight="1">
      <c r="A46" s="9" t="s">
        <v>1437</v>
      </c>
      <c r="C46" s="9" t="s">
        <v>1435</v>
      </c>
    </row>
    <row r="47" spans="1:4" s="9" customFormat="1" ht="13" customHeight="1">
      <c r="A47" s="9" t="s">
        <v>1438</v>
      </c>
      <c r="C47" s="9" t="s">
        <v>1424</v>
      </c>
    </row>
    <row r="48" spans="1:4" s="9" customFormat="1" ht="13" customHeight="1">
      <c r="A48" s="9" t="s">
        <v>1439</v>
      </c>
      <c r="C48" s="9" t="s">
        <v>1452</v>
      </c>
    </row>
    <row r="49" spans="1:3" s="9" customFormat="1" ht="13" customHeight="1">
      <c r="A49" s="9" t="s">
        <v>1440</v>
      </c>
      <c r="C49" s="9" t="s">
        <v>1450</v>
      </c>
    </row>
    <row r="50" spans="1:3" s="9" customFormat="1" ht="13" customHeight="1">
      <c r="A50" s="9" t="s">
        <v>1441</v>
      </c>
      <c r="C50" s="9" t="s">
        <v>1426</v>
      </c>
    </row>
    <row r="51" spans="1:3" s="9" customFormat="1" ht="13" customHeight="1">
      <c r="A51" s="9" t="s">
        <v>1442</v>
      </c>
      <c r="C51" s="9" t="s">
        <v>1428</v>
      </c>
    </row>
    <row r="52" spans="1:3" s="9" customFormat="1" ht="13" customHeight="1">
      <c r="A52" s="9" t="s">
        <v>1443</v>
      </c>
      <c r="C52" s="9" t="s">
        <v>1455</v>
      </c>
    </row>
    <row r="53" spans="1:3" s="9" customFormat="1" ht="13" customHeight="1">
      <c r="A53" s="9" t="s">
        <v>1444</v>
      </c>
      <c r="C53" s="9" t="s">
        <v>1454</v>
      </c>
    </row>
    <row r="54" spans="1:3" s="9" customFormat="1" ht="13" customHeight="1">
      <c r="A54" s="9" t="s">
        <v>1446</v>
      </c>
      <c r="C54" s="9" t="s">
        <v>1429</v>
      </c>
    </row>
    <row r="55" spans="1:3" s="9" customFormat="1" ht="13" customHeight="1">
      <c r="A55" s="9" t="s">
        <v>1529</v>
      </c>
      <c r="C55" s="9" t="s">
        <v>1430</v>
      </c>
    </row>
    <row r="56" spans="1:3" s="9" customFormat="1" ht="13" customHeight="1">
      <c r="A56" s="9" t="s">
        <v>1530</v>
      </c>
      <c r="C56" s="9" t="s">
        <v>1432</v>
      </c>
    </row>
    <row r="59" spans="1:3" ht="109.5" customHeight="1"/>
  </sheetData>
  <mergeCells count="21">
    <mergeCell ref="F2:F3"/>
    <mergeCell ref="A24:A26"/>
    <mergeCell ref="C24:C26"/>
    <mergeCell ref="D24:D26"/>
    <mergeCell ref="F24:F26"/>
    <mergeCell ref="A2:A3"/>
    <mergeCell ref="B2:B3"/>
    <mergeCell ref="C2:C3"/>
    <mergeCell ref="D2:D3"/>
    <mergeCell ref="E2:E3"/>
    <mergeCell ref="N13:O13"/>
    <mergeCell ref="A28:P28"/>
    <mergeCell ref="A19:A21"/>
    <mergeCell ref="C19:C21"/>
    <mergeCell ref="G27:J27"/>
    <mergeCell ref="K27:L27"/>
    <mergeCell ref="K24:L26"/>
    <mergeCell ref="M24:M26"/>
    <mergeCell ref="N24:O26"/>
    <mergeCell ref="P24:P26"/>
    <mergeCell ref="G24:J26"/>
  </mergeCells>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C68A6-7EEA-4675-9AC4-944483B5244D}">
  <dimension ref="A1:L32"/>
  <sheetViews>
    <sheetView topLeftCell="A16" workbookViewId="0">
      <selection activeCell="A23" sqref="A23:I23"/>
    </sheetView>
  </sheetViews>
  <sheetFormatPr defaultColWidth="8.7890625" defaultRowHeight="14.4"/>
  <cols>
    <col min="1" max="1" width="7.47265625" customWidth="1"/>
    <col min="2" max="2" width="24.47265625" customWidth="1"/>
    <col min="3" max="3" width="9.15625" customWidth="1"/>
    <col min="4" max="4" width="51.47265625" customWidth="1"/>
    <col min="5" max="5" width="19.47265625" customWidth="1"/>
    <col min="6" max="6" width="31.15625" customWidth="1"/>
    <col min="7" max="7" width="9.47265625" style="171" bestFit="1" customWidth="1"/>
    <col min="8" max="8" width="8.7890625" style="179"/>
  </cols>
  <sheetData>
    <row r="1" spans="1:12">
      <c r="A1" s="223" t="s">
        <v>1544</v>
      </c>
      <c r="B1" s="175"/>
      <c r="C1" s="175"/>
      <c r="D1" s="175"/>
      <c r="E1" s="175"/>
      <c r="F1" s="175"/>
      <c r="G1" s="175"/>
      <c r="H1" s="176"/>
      <c r="I1" s="175"/>
      <c r="J1" s="175"/>
    </row>
    <row r="2" spans="1:12" ht="36" customHeight="1">
      <c r="A2" s="646" t="s">
        <v>0</v>
      </c>
      <c r="B2" s="646"/>
      <c r="C2" s="646"/>
      <c r="D2" s="126" t="s">
        <v>672</v>
      </c>
      <c r="E2" s="188" t="s">
        <v>673</v>
      </c>
      <c r="F2" s="187" t="s">
        <v>674</v>
      </c>
      <c r="G2" s="180" t="s">
        <v>669</v>
      </c>
      <c r="H2" s="376" t="s">
        <v>1467</v>
      </c>
      <c r="I2" s="181" t="s">
        <v>675</v>
      </c>
      <c r="J2" s="159"/>
    </row>
    <row r="3" spans="1:12">
      <c r="A3" s="56" t="s">
        <v>6</v>
      </c>
      <c r="B3" s="57"/>
      <c r="C3" s="57"/>
      <c r="D3" s="172"/>
      <c r="E3" s="172"/>
      <c r="F3" s="172"/>
      <c r="G3" s="173"/>
      <c r="H3" s="182"/>
      <c r="I3" s="86"/>
      <c r="J3" s="21"/>
    </row>
    <row r="4" spans="1:12" ht="14.5" customHeight="1">
      <c r="B4" s="645" t="s">
        <v>19</v>
      </c>
      <c r="C4" s="147" t="s">
        <v>687</v>
      </c>
      <c r="D4" s="614" t="s">
        <v>689</v>
      </c>
      <c r="E4" s="9" t="s">
        <v>676</v>
      </c>
      <c r="F4" s="164" t="s">
        <v>690</v>
      </c>
      <c r="G4" s="167">
        <v>1167917</v>
      </c>
      <c r="H4" s="177" t="s">
        <v>9</v>
      </c>
      <c r="I4" s="8" t="s">
        <v>678</v>
      </c>
      <c r="J4" s="8"/>
      <c r="K4" s="82"/>
      <c r="L4" s="82"/>
    </row>
    <row r="5" spans="1:12">
      <c r="B5" s="645"/>
      <c r="C5" s="147" t="s">
        <v>688</v>
      </c>
      <c r="D5" s="614"/>
      <c r="E5" s="9" t="s">
        <v>676</v>
      </c>
      <c r="F5" s="164" t="s">
        <v>690</v>
      </c>
      <c r="G5" s="167">
        <v>1334345</v>
      </c>
      <c r="H5" s="177" t="s">
        <v>9</v>
      </c>
      <c r="I5" s="8" t="s">
        <v>678</v>
      </c>
      <c r="J5" s="8"/>
      <c r="K5" s="82"/>
      <c r="L5" s="82"/>
    </row>
    <row r="6" spans="1:12" ht="7.5" customHeight="1">
      <c r="D6" s="82"/>
      <c r="E6" s="9"/>
      <c r="F6" s="9"/>
      <c r="G6" s="167"/>
      <c r="H6" s="177"/>
      <c r="I6" s="8"/>
      <c r="J6" s="8"/>
      <c r="K6" s="82"/>
      <c r="L6" s="82"/>
    </row>
    <row r="7" spans="1:12">
      <c r="A7" s="51" t="s">
        <v>32</v>
      </c>
      <c r="B7" s="52"/>
      <c r="C7" s="52"/>
      <c r="D7" s="174"/>
      <c r="E7" s="55"/>
      <c r="F7" s="55"/>
      <c r="G7" s="110"/>
      <c r="H7" s="182"/>
      <c r="I7" s="60"/>
      <c r="J7" s="8"/>
      <c r="K7" s="82"/>
      <c r="L7" s="82"/>
    </row>
    <row r="8" spans="1:12">
      <c r="B8" s="644" t="s">
        <v>33</v>
      </c>
      <c r="C8" s="644"/>
      <c r="D8" s="9" t="s">
        <v>681</v>
      </c>
      <c r="E8" s="9" t="s">
        <v>680</v>
      </c>
      <c r="F8" s="164" t="s">
        <v>679</v>
      </c>
      <c r="G8" s="167">
        <v>363646</v>
      </c>
      <c r="H8" s="177">
        <f>3807/G8</f>
        <v>1.0468972572226835E-2</v>
      </c>
      <c r="I8" s="8" t="s">
        <v>683</v>
      </c>
      <c r="J8" s="8"/>
      <c r="K8" s="82"/>
      <c r="L8" s="82"/>
    </row>
    <row r="9" spans="1:12" ht="52.45" customHeight="1">
      <c r="B9" s="616" t="s">
        <v>65</v>
      </c>
      <c r="C9" s="616"/>
      <c r="D9" s="165" t="s">
        <v>691</v>
      </c>
      <c r="E9" s="166" t="s">
        <v>676</v>
      </c>
      <c r="F9" s="164" t="s">
        <v>677</v>
      </c>
      <c r="G9" s="167">
        <v>2272303</v>
      </c>
      <c r="H9" s="177" t="s">
        <v>9</v>
      </c>
      <c r="I9" s="168" t="s">
        <v>682</v>
      </c>
      <c r="J9" s="168"/>
      <c r="K9" s="82"/>
      <c r="L9" s="82"/>
    </row>
    <row r="10" spans="1:12" ht="9" customHeight="1">
      <c r="D10" s="9"/>
      <c r="E10" s="9"/>
      <c r="F10" s="9"/>
      <c r="G10" s="167"/>
      <c r="H10" s="177"/>
      <c r="I10" s="8"/>
      <c r="J10" s="8"/>
      <c r="K10" s="82"/>
      <c r="L10" s="82"/>
    </row>
    <row r="11" spans="1:12">
      <c r="A11" s="330" t="s">
        <v>574</v>
      </c>
      <c r="B11" s="331"/>
      <c r="C11" s="332"/>
      <c r="D11" s="332"/>
      <c r="E11" s="333"/>
      <c r="F11" s="53"/>
      <c r="G11" s="53"/>
      <c r="H11" s="333"/>
      <c r="I11" s="334"/>
      <c r="J11" s="12"/>
      <c r="K11" s="82"/>
      <c r="L11" s="82"/>
    </row>
    <row r="12" spans="1:12" ht="51">
      <c r="A12" s="336"/>
      <c r="B12" s="329" t="s">
        <v>379</v>
      </c>
      <c r="C12" s="39"/>
      <c r="D12" s="39" t="s">
        <v>1462</v>
      </c>
      <c r="E12" s="40" t="s">
        <v>680</v>
      </c>
      <c r="F12" s="164" t="s">
        <v>679</v>
      </c>
      <c r="G12" s="167">
        <v>15072</v>
      </c>
      <c r="H12" s="377">
        <f>4230/15072</f>
        <v>0.28065286624203822</v>
      </c>
      <c r="I12" s="47" t="s">
        <v>684</v>
      </c>
      <c r="J12" s="12"/>
      <c r="K12" s="82"/>
      <c r="L12" s="82"/>
    </row>
    <row r="13" spans="1:12">
      <c r="A13" s="335"/>
      <c r="B13" s="48"/>
      <c r="C13" s="24"/>
      <c r="D13" s="24"/>
      <c r="E13" s="26"/>
      <c r="F13" s="26"/>
      <c r="G13" s="26"/>
      <c r="H13" s="26"/>
      <c r="I13" s="49"/>
      <c r="J13" s="12"/>
      <c r="K13" s="82"/>
      <c r="L13" s="82"/>
    </row>
    <row r="14" spans="1:12">
      <c r="A14" s="61" t="s">
        <v>585</v>
      </c>
      <c r="B14" s="62"/>
      <c r="C14" s="62"/>
      <c r="D14" s="55"/>
      <c r="E14" s="55"/>
      <c r="F14" s="55"/>
      <c r="G14" s="110"/>
      <c r="H14" s="182"/>
      <c r="I14" s="60"/>
      <c r="J14" s="8"/>
      <c r="K14" s="82"/>
      <c r="L14" s="82"/>
    </row>
    <row r="15" spans="1:12" ht="17.5" customHeight="1">
      <c r="B15" s="644" t="s">
        <v>588</v>
      </c>
      <c r="C15" s="644"/>
      <c r="D15" s="9" t="s">
        <v>692</v>
      </c>
      <c r="E15" s="9" t="s">
        <v>680</v>
      </c>
      <c r="F15" s="164" t="s">
        <v>679</v>
      </c>
      <c r="G15" s="169">
        <v>606824</v>
      </c>
      <c r="H15" s="177">
        <f>555660/G15</f>
        <v>0.91568560241519781</v>
      </c>
      <c r="I15" s="8" t="s">
        <v>685</v>
      </c>
      <c r="J15" s="8"/>
      <c r="K15" s="82"/>
      <c r="L15" s="82"/>
    </row>
    <row r="16" spans="1:12" ht="16.5" customHeight="1">
      <c r="D16" s="9"/>
      <c r="E16" s="9"/>
      <c r="F16" s="9"/>
      <c r="G16" s="167"/>
      <c r="H16" s="177"/>
      <c r="I16" s="8"/>
      <c r="J16" s="8"/>
      <c r="K16" s="82"/>
      <c r="L16" s="82"/>
    </row>
    <row r="17" spans="1:12" ht="16.45" customHeight="1">
      <c r="A17" s="51" t="s">
        <v>565</v>
      </c>
      <c r="B17" s="86"/>
      <c r="C17" s="86"/>
      <c r="D17" s="55"/>
      <c r="E17" s="55"/>
      <c r="F17" s="55"/>
      <c r="G17" s="110"/>
      <c r="H17" s="182"/>
      <c r="I17" s="60"/>
      <c r="J17" s="8"/>
      <c r="K17" s="82"/>
      <c r="L17" s="82"/>
    </row>
    <row r="18" spans="1:12" ht="255.7" customHeight="1">
      <c r="B18" s="612" t="s">
        <v>391</v>
      </c>
      <c r="C18" s="612"/>
      <c r="D18" s="15" t="s">
        <v>1461</v>
      </c>
      <c r="E18" s="9" t="s">
        <v>680</v>
      </c>
      <c r="F18" s="164" t="s">
        <v>679</v>
      </c>
      <c r="G18" s="167">
        <v>944460</v>
      </c>
      <c r="H18" s="177">
        <f>288557/G18</f>
        <v>0.30552590898502846</v>
      </c>
      <c r="I18" s="8" t="s">
        <v>686</v>
      </c>
      <c r="J18" s="8"/>
      <c r="K18" s="82"/>
      <c r="L18" s="82"/>
    </row>
    <row r="19" spans="1:12">
      <c r="D19" s="9"/>
      <c r="E19" s="9"/>
      <c r="F19" s="9"/>
      <c r="G19" s="167"/>
      <c r="H19" s="177"/>
      <c r="I19" s="8"/>
      <c r="J19" s="8"/>
      <c r="K19" s="82"/>
      <c r="L19" s="82"/>
    </row>
    <row r="20" spans="1:12">
      <c r="A20" s="51" t="s">
        <v>566</v>
      </c>
      <c r="B20" s="86"/>
      <c r="C20" s="86"/>
      <c r="D20" s="55"/>
      <c r="E20" s="55"/>
      <c r="F20" s="55"/>
      <c r="G20" s="110"/>
      <c r="H20" s="182"/>
      <c r="I20" s="60"/>
      <c r="J20" s="8"/>
      <c r="K20" s="82"/>
      <c r="L20" s="82"/>
    </row>
    <row r="21" spans="1:12">
      <c r="B21" s="612" t="s">
        <v>171</v>
      </c>
      <c r="C21" s="612"/>
      <c r="D21" s="9" t="s">
        <v>693</v>
      </c>
      <c r="E21" s="9" t="s">
        <v>676</v>
      </c>
      <c r="F21" s="164" t="s">
        <v>679</v>
      </c>
      <c r="G21" s="167">
        <v>81419</v>
      </c>
      <c r="H21" s="177" t="s">
        <v>9</v>
      </c>
      <c r="I21" s="168" t="s">
        <v>1425</v>
      </c>
      <c r="J21" s="168"/>
      <c r="K21" s="82"/>
      <c r="L21" s="82"/>
    </row>
    <row r="22" spans="1:12" ht="34.5" customHeight="1">
      <c r="A22" s="113"/>
      <c r="B22" s="613" t="s">
        <v>431</v>
      </c>
      <c r="C22" s="613"/>
      <c r="D22" s="41" t="s">
        <v>694</v>
      </c>
      <c r="E22" s="28" t="s">
        <v>680</v>
      </c>
      <c r="F22" s="183" t="s">
        <v>679</v>
      </c>
      <c r="G22" s="184">
        <v>244329</v>
      </c>
      <c r="H22" s="185">
        <f>47468/G22</f>
        <v>0.19427902541245615</v>
      </c>
      <c r="I22" s="186" t="s">
        <v>1425</v>
      </c>
      <c r="J22" s="168"/>
      <c r="K22" s="82"/>
      <c r="L22" s="82"/>
    </row>
    <row r="23" spans="1:12" ht="27.25" customHeight="1">
      <c r="A23" s="643" t="s">
        <v>1526</v>
      </c>
      <c r="B23" s="643"/>
      <c r="C23" s="643"/>
      <c r="D23" s="643"/>
      <c r="E23" s="643"/>
      <c r="F23" s="643"/>
      <c r="G23" s="643"/>
      <c r="H23" s="643"/>
      <c r="I23" s="643"/>
      <c r="J23" s="8"/>
      <c r="K23" s="82"/>
      <c r="L23" s="82"/>
    </row>
    <row r="24" spans="1:12">
      <c r="A24" s="163"/>
      <c r="B24" s="163"/>
      <c r="C24" s="163"/>
      <c r="D24" s="163"/>
      <c r="E24" s="163"/>
      <c r="F24" s="163"/>
      <c r="G24" s="163"/>
      <c r="H24" s="177"/>
      <c r="I24" s="8"/>
      <c r="J24" s="8"/>
      <c r="K24" s="82"/>
      <c r="L24" s="82"/>
    </row>
    <row r="25" spans="1:12">
      <c r="A25" s="196" t="s">
        <v>975</v>
      </c>
      <c r="D25" s="82"/>
      <c r="E25" s="82"/>
      <c r="F25" s="9"/>
      <c r="G25" s="167"/>
      <c r="H25" s="177"/>
      <c r="I25" s="8"/>
      <c r="J25" s="8"/>
      <c r="K25" s="82"/>
      <c r="L25" s="82"/>
    </row>
    <row r="26" spans="1:12">
      <c r="A26" s="82" t="s">
        <v>695</v>
      </c>
      <c r="D26" s="82"/>
      <c r="E26" s="82"/>
      <c r="F26" s="82"/>
      <c r="G26" s="167"/>
      <c r="H26" s="177"/>
      <c r="I26" s="8"/>
      <c r="J26" s="8"/>
    </row>
    <row r="27" spans="1:12">
      <c r="A27" s="82" t="s">
        <v>696</v>
      </c>
      <c r="G27" s="170"/>
      <c r="H27" s="178"/>
      <c r="I27" s="21"/>
      <c r="J27" s="21"/>
    </row>
    <row r="28" spans="1:12">
      <c r="A28" s="82" t="s">
        <v>697</v>
      </c>
      <c r="G28" s="170"/>
      <c r="H28" s="178"/>
      <c r="I28" s="21"/>
      <c r="J28" s="21"/>
    </row>
    <row r="29" spans="1:12">
      <c r="A29" s="82" t="s">
        <v>1465</v>
      </c>
      <c r="G29" s="170"/>
      <c r="H29" s="178"/>
      <c r="I29" s="21"/>
      <c r="J29" s="21"/>
    </row>
    <row r="30" spans="1:12">
      <c r="A30" s="82" t="s">
        <v>1463</v>
      </c>
      <c r="G30" s="170"/>
      <c r="H30" s="178"/>
      <c r="I30" s="21"/>
      <c r="J30" s="21"/>
    </row>
    <row r="31" spans="1:12">
      <c r="A31" s="82" t="s">
        <v>1464</v>
      </c>
      <c r="G31" s="170"/>
      <c r="H31" s="178"/>
      <c r="I31" s="21"/>
      <c r="J31" s="21"/>
    </row>
    <row r="32" spans="1:12">
      <c r="A32" s="8" t="s">
        <v>1466</v>
      </c>
      <c r="B32" s="162"/>
      <c r="C32" s="162"/>
      <c r="D32" s="163"/>
      <c r="G32" s="170"/>
      <c r="H32" s="178"/>
      <c r="I32" s="21"/>
      <c r="J32" s="21"/>
    </row>
  </sheetData>
  <mergeCells count="10">
    <mergeCell ref="A2:C2"/>
    <mergeCell ref="B15:C15"/>
    <mergeCell ref="B18:C18"/>
    <mergeCell ref="B21:C21"/>
    <mergeCell ref="B22:C22"/>
    <mergeCell ref="A23:I23"/>
    <mergeCell ref="D4:D5"/>
    <mergeCell ref="B8:C8"/>
    <mergeCell ref="B9:C9"/>
    <mergeCell ref="B4:B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53928-3B1F-4451-A956-D15B29921CF0}">
  <dimension ref="A1:N241"/>
  <sheetViews>
    <sheetView topLeftCell="A176" workbookViewId="0">
      <selection activeCell="A2" sqref="A2:B2"/>
    </sheetView>
  </sheetViews>
  <sheetFormatPr defaultColWidth="8.7890625" defaultRowHeight="14.4"/>
  <cols>
    <col min="1" max="1" width="7.47265625" style="282" customWidth="1"/>
    <col min="2" max="2" width="24.7890625" style="291" customWidth="1"/>
    <col min="3" max="3" width="33" style="82" customWidth="1"/>
    <col min="4" max="4" width="16.47265625" style="66" customWidth="1"/>
    <col min="5" max="5" width="15.15625" style="66" customWidth="1"/>
    <col min="6" max="6" width="18.15625" style="66" customWidth="1"/>
    <col min="7" max="7" width="21.47265625" style="66" customWidth="1"/>
    <col min="8" max="8" width="13.47265625" style="66" customWidth="1"/>
    <col min="9" max="10" width="21.47265625" style="66" customWidth="1"/>
    <col min="11" max="11" width="17.47265625" style="66" customWidth="1"/>
    <col min="12" max="12" width="8.7890625" style="283" customWidth="1"/>
    <col min="13" max="13" width="10.47265625" style="66" customWidth="1"/>
  </cols>
  <sheetData>
    <row r="1" spans="1:14">
      <c r="A1" s="650" t="s">
        <v>1545</v>
      </c>
      <c r="B1" s="650"/>
      <c r="C1" s="650"/>
      <c r="D1" s="650"/>
      <c r="E1" s="650"/>
      <c r="F1" s="650"/>
      <c r="G1" s="650"/>
      <c r="H1" s="650"/>
      <c r="I1" s="650"/>
      <c r="J1" s="650"/>
      <c r="K1" s="650"/>
      <c r="L1" s="650"/>
      <c r="M1" s="650"/>
    </row>
    <row r="2" spans="1:14" ht="30.6">
      <c r="A2" s="651" t="s">
        <v>902</v>
      </c>
      <c r="B2" s="651"/>
      <c r="C2" s="114" t="s">
        <v>0</v>
      </c>
      <c r="D2" s="129" t="s">
        <v>903</v>
      </c>
      <c r="E2" s="129" t="s">
        <v>904</v>
      </c>
      <c r="F2" s="129" t="s">
        <v>905</v>
      </c>
      <c r="G2" s="129" t="s">
        <v>906</v>
      </c>
      <c r="H2" s="129" t="s">
        <v>907</v>
      </c>
      <c r="I2" s="129" t="s">
        <v>908</v>
      </c>
      <c r="J2" s="129" t="s">
        <v>909</v>
      </c>
      <c r="K2" s="129" t="s">
        <v>910</v>
      </c>
      <c r="L2" s="284" t="s">
        <v>801</v>
      </c>
      <c r="M2" s="285" t="s">
        <v>669</v>
      </c>
      <c r="N2" s="1"/>
    </row>
    <row r="3" spans="1:14">
      <c r="A3" s="612" t="s">
        <v>144</v>
      </c>
      <c r="B3" s="612"/>
      <c r="C3" s="82" t="s">
        <v>171</v>
      </c>
      <c r="D3" s="66">
        <v>14716563</v>
      </c>
      <c r="E3" s="66">
        <v>0</v>
      </c>
      <c r="F3" s="66">
        <v>11753</v>
      </c>
      <c r="G3" s="66">
        <v>4826876</v>
      </c>
      <c r="H3" s="66">
        <v>35</v>
      </c>
      <c r="I3" s="66">
        <v>1484665</v>
      </c>
      <c r="J3" s="66">
        <v>793492</v>
      </c>
      <c r="K3" s="66">
        <v>7599742</v>
      </c>
      <c r="L3" s="283">
        <v>1.0658786749453799</v>
      </c>
      <c r="M3" s="66">
        <v>81419</v>
      </c>
    </row>
    <row r="4" spans="1:14">
      <c r="A4" s="616"/>
      <c r="B4" s="616"/>
      <c r="C4" s="82" t="s">
        <v>33</v>
      </c>
      <c r="D4" s="66">
        <v>28539896</v>
      </c>
      <c r="E4" s="66">
        <v>0</v>
      </c>
      <c r="F4" s="66">
        <v>6361</v>
      </c>
      <c r="G4" s="66">
        <v>19609488</v>
      </c>
      <c r="H4" s="66">
        <v>0</v>
      </c>
      <c r="I4" s="66">
        <v>1257566</v>
      </c>
      <c r="J4" s="66">
        <v>648095</v>
      </c>
      <c r="K4" s="66">
        <v>7018386</v>
      </c>
      <c r="L4" s="283">
        <v>1.0333702308716499</v>
      </c>
      <c r="M4" s="66">
        <v>363646</v>
      </c>
    </row>
    <row r="5" spans="1:14">
      <c r="A5" s="616"/>
      <c r="B5" s="616"/>
      <c r="C5" s="82" t="s">
        <v>65</v>
      </c>
      <c r="D5" s="66">
        <v>13297644</v>
      </c>
      <c r="E5" s="66">
        <v>0</v>
      </c>
      <c r="F5" s="66">
        <v>9463</v>
      </c>
      <c r="G5" s="66">
        <v>4423113</v>
      </c>
      <c r="H5" s="66">
        <v>0</v>
      </c>
      <c r="I5" s="66">
        <v>1245589</v>
      </c>
      <c r="J5" s="66">
        <v>649651</v>
      </c>
      <c r="K5" s="66">
        <v>6969828</v>
      </c>
      <c r="L5" s="283">
        <v>4.51204878180235</v>
      </c>
      <c r="M5" s="66">
        <v>2272216</v>
      </c>
    </row>
    <row r="6" spans="1:14">
      <c r="A6" s="616"/>
      <c r="B6" s="616"/>
      <c r="C6" s="82" t="s">
        <v>379</v>
      </c>
      <c r="D6" s="66">
        <v>8058452</v>
      </c>
      <c r="E6" s="66">
        <v>5</v>
      </c>
      <c r="F6" s="66">
        <v>0</v>
      </c>
      <c r="G6" s="66">
        <v>1654873</v>
      </c>
      <c r="H6" s="66">
        <v>0</v>
      </c>
      <c r="I6" s="66">
        <v>172231</v>
      </c>
      <c r="J6" s="66">
        <v>199784</v>
      </c>
      <c r="K6" s="66">
        <v>6031559</v>
      </c>
      <c r="L6" s="283">
        <v>1.05551627364093</v>
      </c>
      <c r="M6" s="66">
        <v>15072</v>
      </c>
    </row>
    <row r="7" spans="1:14">
      <c r="A7" s="616"/>
      <c r="B7" s="616"/>
      <c r="C7" s="82" t="s">
        <v>911</v>
      </c>
      <c r="D7" s="66">
        <v>13806898</v>
      </c>
      <c r="E7" s="66">
        <v>0</v>
      </c>
      <c r="F7" s="66">
        <v>9779</v>
      </c>
      <c r="G7" s="66">
        <v>4722215</v>
      </c>
      <c r="H7" s="66">
        <v>0</v>
      </c>
      <c r="I7" s="66">
        <v>1282895</v>
      </c>
      <c r="J7" s="66">
        <v>669517</v>
      </c>
      <c r="K7" s="66">
        <v>7122492</v>
      </c>
      <c r="L7" s="283">
        <v>4.3868548088361097</v>
      </c>
      <c r="M7" s="66">
        <v>1334345</v>
      </c>
    </row>
    <row r="8" spans="1:14">
      <c r="A8" s="616"/>
      <c r="B8" s="616"/>
      <c r="C8" s="82" t="s">
        <v>912</v>
      </c>
      <c r="D8" s="66">
        <v>13806898</v>
      </c>
      <c r="E8" s="66">
        <v>0</v>
      </c>
      <c r="F8" s="66">
        <v>9782</v>
      </c>
      <c r="G8" s="66">
        <v>4719058</v>
      </c>
      <c r="H8" s="66">
        <v>0</v>
      </c>
      <c r="I8" s="66">
        <v>1283274</v>
      </c>
      <c r="J8" s="66">
        <v>669778</v>
      </c>
      <c r="K8" s="66">
        <v>7125006</v>
      </c>
      <c r="L8" s="283">
        <v>3.9111014185236099</v>
      </c>
      <c r="M8" s="66">
        <v>1167917</v>
      </c>
    </row>
    <row r="9" spans="1:14">
      <c r="A9" s="616"/>
      <c r="B9" s="616"/>
      <c r="C9" s="82" t="s">
        <v>391</v>
      </c>
      <c r="D9" s="66">
        <v>12040512</v>
      </c>
      <c r="E9" s="66">
        <v>0</v>
      </c>
      <c r="F9" s="66">
        <v>0</v>
      </c>
      <c r="G9" s="66">
        <v>3495647</v>
      </c>
      <c r="H9" s="66">
        <v>1</v>
      </c>
      <c r="I9" s="66">
        <v>926516</v>
      </c>
      <c r="J9" s="66">
        <v>462808</v>
      </c>
      <c r="K9" s="66">
        <v>7155540</v>
      </c>
      <c r="L9" s="283">
        <v>1.6100371438254699</v>
      </c>
      <c r="M9" s="66">
        <v>944460</v>
      </c>
    </row>
    <row r="10" spans="1:14">
      <c r="A10" s="616"/>
      <c r="B10" s="616"/>
      <c r="C10" s="82" t="s">
        <v>588</v>
      </c>
      <c r="D10" s="66">
        <v>23639287</v>
      </c>
      <c r="E10" s="66">
        <v>0</v>
      </c>
      <c r="F10" s="66">
        <v>9778</v>
      </c>
      <c r="G10" s="66">
        <v>14556461</v>
      </c>
      <c r="H10" s="66">
        <v>0</v>
      </c>
      <c r="I10" s="66">
        <v>1282421</v>
      </c>
      <c r="J10" s="66">
        <v>669372</v>
      </c>
      <c r="K10" s="66">
        <v>7121255</v>
      </c>
      <c r="L10" s="283">
        <v>1.4159975992300899</v>
      </c>
      <c r="M10" s="66">
        <v>606824</v>
      </c>
    </row>
    <row r="11" spans="1:14">
      <c r="A11" s="616"/>
      <c r="B11" s="616"/>
      <c r="C11" s="82" t="s">
        <v>431</v>
      </c>
      <c r="D11" s="66">
        <v>24471236</v>
      </c>
      <c r="E11" s="66">
        <v>0</v>
      </c>
      <c r="F11" s="66">
        <v>11759</v>
      </c>
      <c r="G11" s="66">
        <v>14577132</v>
      </c>
      <c r="H11" s="66">
        <v>35</v>
      </c>
      <c r="I11" s="66">
        <v>1485335</v>
      </c>
      <c r="J11" s="66">
        <v>793851</v>
      </c>
      <c r="K11" s="66">
        <v>7603124</v>
      </c>
      <c r="L11" s="283">
        <v>1.1550644954723399</v>
      </c>
      <c r="M11" s="66">
        <v>244329</v>
      </c>
    </row>
    <row r="12" spans="1:14">
      <c r="A12" s="286"/>
      <c r="B12" s="287"/>
      <c r="C12" s="288"/>
      <c r="D12" s="289"/>
      <c r="E12" s="289"/>
      <c r="F12" s="289"/>
      <c r="G12" s="289"/>
      <c r="H12" s="289"/>
      <c r="I12" s="289"/>
      <c r="J12" s="289"/>
      <c r="K12" s="289"/>
      <c r="L12" s="290"/>
      <c r="M12" s="289"/>
    </row>
    <row r="13" spans="1:14">
      <c r="A13" s="616" t="s">
        <v>14</v>
      </c>
      <c r="B13" s="616"/>
      <c r="C13" s="82" t="s">
        <v>137</v>
      </c>
      <c r="D13" s="66">
        <v>9740198</v>
      </c>
      <c r="E13" s="66">
        <v>0</v>
      </c>
      <c r="F13" s="66">
        <v>0</v>
      </c>
      <c r="G13" s="66">
        <v>164171</v>
      </c>
      <c r="H13" s="66">
        <v>0</v>
      </c>
      <c r="I13" s="66">
        <v>1107487</v>
      </c>
      <c r="J13" s="66">
        <v>812628</v>
      </c>
      <c r="K13" s="66">
        <v>7655912</v>
      </c>
      <c r="L13" s="283">
        <v>1.25435518690312</v>
      </c>
      <c r="M13" s="66">
        <v>132308</v>
      </c>
    </row>
    <row r="14" spans="1:14">
      <c r="A14" s="616"/>
      <c r="B14" s="616"/>
      <c r="C14" s="82" t="s">
        <v>171</v>
      </c>
      <c r="D14" s="66">
        <v>9740198</v>
      </c>
      <c r="E14" s="66">
        <v>0</v>
      </c>
      <c r="F14" s="66">
        <v>0</v>
      </c>
      <c r="G14" s="66">
        <v>167177</v>
      </c>
      <c r="H14" s="66">
        <v>0</v>
      </c>
      <c r="I14" s="66">
        <v>1107320</v>
      </c>
      <c r="J14" s="66">
        <v>812440</v>
      </c>
      <c r="K14" s="66">
        <v>7653261</v>
      </c>
      <c r="L14" s="283">
        <v>1.0474568493157601</v>
      </c>
      <c r="M14" s="66">
        <v>48319</v>
      </c>
    </row>
    <row r="15" spans="1:14">
      <c r="A15" s="616"/>
      <c r="B15" s="616"/>
      <c r="C15" s="82" t="s">
        <v>188</v>
      </c>
      <c r="D15" s="66">
        <v>9740198</v>
      </c>
      <c r="E15" s="66">
        <v>0</v>
      </c>
      <c r="F15" s="66">
        <v>0</v>
      </c>
      <c r="G15" s="66">
        <v>164504</v>
      </c>
      <c r="H15" s="66">
        <v>0</v>
      </c>
      <c r="I15" s="66">
        <v>1107468</v>
      </c>
      <c r="J15" s="66">
        <v>812594</v>
      </c>
      <c r="K15" s="66">
        <v>7655632</v>
      </c>
      <c r="L15" s="283">
        <v>1.0474568493157601</v>
      </c>
      <c r="M15" s="66">
        <v>148063</v>
      </c>
    </row>
    <row r="16" spans="1:14">
      <c r="A16" s="616"/>
      <c r="B16" s="616"/>
      <c r="C16" s="82" t="s">
        <v>198</v>
      </c>
      <c r="D16" s="66">
        <v>9740198</v>
      </c>
      <c r="E16" s="66">
        <v>0</v>
      </c>
      <c r="F16" s="66">
        <v>0</v>
      </c>
      <c r="G16" s="66">
        <v>164532</v>
      </c>
      <c r="H16" s="66">
        <v>0</v>
      </c>
      <c r="I16" s="66">
        <v>1107477</v>
      </c>
      <c r="J16" s="66">
        <v>812587</v>
      </c>
      <c r="K16" s="66">
        <v>7655602</v>
      </c>
      <c r="L16" s="283">
        <v>1.14736027705937</v>
      </c>
      <c r="M16" s="66">
        <v>148641</v>
      </c>
    </row>
    <row r="17" spans="1:13">
      <c r="A17" s="616"/>
      <c r="B17" s="616"/>
      <c r="C17" s="82" t="s">
        <v>210</v>
      </c>
      <c r="D17" s="66">
        <v>9740198</v>
      </c>
      <c r="E17" s="66">
        <v>0</v>
      </c>
      <c r="F17" s="66">
        <v>0</v>
      </c>
      <c r="G17" s="66">
        <v>164662</v>
      </c>
      <c r="H17" s="66">
        <v>0</v>
      </c>
      <c r="I17" s="66">
        <v>1107473</v>
      </c>
      <c r="J17" s="66">
        <v>812570</v>
      </c>
      <c r="K17" s="66">
        <v>7655493</v>
      </c>
      <c r="L17" s="283">
        <v>1.14736027705937</v>
      </c>
      <c r="M17" s="66">
        <v>142239</v>
      </c>
    </row>
    <row r="18" spans="1:13">
      <c r="A18" s="616"/>
      <c r="B18" s="616"/>
      <c r="C18" s="82" t="s">
        <v>224</v>
      </c>
      <c r="D18" s="66">
        <v>9740198</v>
      </c>
      <c r="E18" s="66">
        <v>0</v>
      </c>
      <c r="F18" s="66">
        <v>0</v>
      </c>
      <c r="G18" s="66">
        <v>168221</v>
      </c>
      <c r="H18" s="66">
        <v>0</v>
      </c>
      <c r="I18" s="66">
        <v>1107228</v>
      </c>
      <c r="J18" s="66">
        <v>812352</v>
      </c>
      <c r="K18" s="66">
        <v>7652397</v>
      </c>
      <c r="L18" s="283">
        <v>1</v>
      </c>
      <c r="M18" s="66">
        <v>30116</v>
      </c>
    </row>
    <row r="19" spans="1:13">
      <c r="A19" s="616"/>
      <c r="B19" s="616"/>
      <c r="C19" s="82" t="s">
        <v>234</v>
      </c>
      <c r="D19" s="66">
        <v>9740198</v>
      </c>
      <c r="E19" s="66">
        <v>0</v>
      </c>
      <c r="F19" s="66">
        <v>0</v>
      </c>
      <c r="G19" s="66">
        <v>164661</v>
      </c>
      <c r="H19" s="66">
        <v>0</v>
      </c>
      <c r="I19" s="66">
        <v>1107451</v>
      </c>
      <c r="J19" s="66">
        <v>812595</v>
      </c>
      <c r="K19" s="66">
        <v>7655491</v>
      </c>
      <c r="L19" s="283">
        <v>1.31069382387598</v>
      </c>
      <c r="M19" s="66">
        <v>129761</v>
      </c>
    </row>
    <row r="20" spans="1:13">
      <c r="A20" s="616"/>
      <c r="B20" s="616"/>
      <c r="C20" s="82" t="s">
        <v>245</v>
      </c>
      <c r="D20" s="66">
        <v>9740198</v>
      </c>
      <c r="E20" s="66">
        <v>0</v>
      </c>
      <c r="F20" s="66">
        <v>0</v>
      </c>
      <c r="G20" s="66">
        <v>164468</v>
      </c>
      <c r="H20" s="66">
        <v>0</v>
      </c>
      <c r="I20" s="66">
        <v>1107480</v>
      </c>
      <c r="J20" s="66">
        <v>812601</v>
      </c>
      <c r="K20" s="66">
        <v>7655649</v>
      </c>
      <c r="L20" s="283">
        <v>1.1999361642834201</v>
      </c>
      <c r="M20" s="66">
        <v>141191</v>
      </c>
    </row>
    <row r="21" spans="1:13">
      <c r="A21" s="616"/>
      <c r="B21" s="616"/>
      <c r="C21" s="82" t="s">
        <v>251</v>
      </c>
      <c r="D21" s="66">
        <v>9740198</v>
      </c>
      <c r="E21" s="66">
        <v>0</v>
      </c>
      <c r="F21" s="66">
        <v>0</v>
      </c>
      <c r="G21" s="66">
        <v>164616</v>
      </c>
      <c r="H21" s="66">
        <v>0</v>
      </c>
      <c r="I21" s="66">
        <v>1107450</v>
      </c>
      <c r="J21" s="66">
        <v>812597</v>
      </c>
      <c r="K21" s="66">
        <v>7655535</v>
      </c>
      <c r="L21" s="283">
        <v>1.1999361642834201</v>
      </c>
      <c r="M21" s="66">
        <v>129735</v>
      </c>
    </row>
    <row r="22" spans="1:13">
      <c r="A22" s="616"/>
      <c r="B22" s="616"/>
      <c r="C22" s="82" t="s">
        <v>258</v>
      </c>
      <c r="D22" s="66">
        <v>9740198</v>
      </c>
      <c r="E22" s="66">
        <v>0</v>
      </c>
      <c r="F22" s="66">
        <v>0</v>
      </c>
      <c r="G22" s="66">
        <v>164458</v>
      </c>
      <c r="H22" s="66">
        <v>0</v>
      </c>
      <c r="I22" s="66">
        <v>1107476</v>
      </c>
      <c r="J22" s="66">
        <v>812596</v>
      </c>
      <c r="K22" s="66">
        <v>7655668</v>
      </c>
      <c r="L22" s="283">
        <v>1.1999361642834201</v>
      </c>
      <c r="M22" s="66">
        <v>141429</v>
      </c>
    </row>
    <row r="23" spans="1:13">
      <c r="A23" s="616"/>
      <c r="B23" s="616"/>
      <c r="C23" s="82" t="s">
        <v>264</v>
      </c>
      <c r="D23" s="66">
        <v>9740198</v>
      </c>
      <c r="E23" s="66">
        <v>0</v>
      </c>
      <c r="F23" s="66">
        <v>0</v>
      </c>
      <c r="G23" s="66">
        <v>164422</v>
      </c>
      <c r="H23" s="66">
        <v>0</v>
      </c>
      <c r="I23" s="66">
        <v>1107482</v>
      </c>
      <c r="J23" s="66">
        <v>812602</v>
      </c>
      <c r="K23" s="66">
        <v>7655692</v>
      </c>
      <c r="L23" s="283">
        <v>1.25435518690312</v>
      </c>
      <c r="M23" s="66">
        <v>141331</v>
      </c>
    </row>
    <row r="24" spans="1:13">
      <c r="A24" s="616"/>
      <c r="B24" s="616"/>
      <c r="C24" s="82" t="s">
        <v>269</v>
      </c>
      <c r="D24" s="66">
        <v>9740198</v>
      </c>
      <c r="E24" s="66">
        <v>0</v>
      </c>
      <c r="F24" s="66">
        <v>0</v>
      </c>
      <c r="G24" s="66">
        <v>164446</v>
      </c>
      <c r="H24" s="66">
        <v>0</v>
      </c>
      <c r="I24" s="66">
        <v>1107467</v>
      </c>
      <c r="J24" s="66">
        <v>812596</v>
      </c>
      <c r="K24" s="66">
        <v>7655689</v>
      </c>
      <c r="L24" s="283">
        <v>1.3690340737165301</v>
      </c>
      <c r="M24" s="66">
        <v>147811</v>
      </c>
    </row>
    <row r="25" spans="1:13" ht="16" customHeight="1">
      <c r="A25" s="616"/>
      <c r="B25" s="616"/>
      <c r="C25" s="82" t="s">
        <v>279</v>
      </c>
      <c r="D25" s="66">
        <v>9740198</v>
      </c>
      <c r="E25" s="66">
        <v>0</v>
      </c>
      <c r="F25" s="66">
        <v>0</v>
      </c>
      <c r="G25" s="66">
        <v>164445</v>
      </c>
      <c r="H25" s="66">
        <v>0</v>
      </c>
      <c r="I25" s="66">
        <v>1107468</v>
      </c>
      <c r="J25" s="66">
        <v>812595</v>
      </c>
      <c r="K25" s="66">
        <v>7655690</v>
      </c>
      <c r="L25" s="283">
        <v>1.31069382387598</v>
      </c>
      <c r="M25" s="66">
        <v>147810</v>
      </c>
    </row>
    <row r="26" spans="1:13">
      <c r="A26" s="616"/>
      <c r="B26" s="616"/>
      <c r="C26" s="82" t="s">
        <v>285</v>
      </c>
      <c r="D26" s="66">
        <v>9740198</v>
      </c>
      <c r="E26" s="66">
        <v>0</v>
      </c>
      <c r="F26" s="66">
        <v>0</v>
      </c>
      <c r="G26" s="66">
        <v>164445</v>
      </c>
      <c r="H26" s="66">
        <v>0</v>
      </c>
      <c r="I26" s="66">
        <v>1107468</v>
      </c>
      <c r="J26" s="66">
        <v>812595</v>
      </c>
      <c r="K26" s="66">
        <v>7655690</v>
      </c>
      <c r="L26" s="283">
        <v>1.3690340737165301</v>
      </c>
      <c r="M26" s="66">
        <v>147810</v>
      </c>
    </row>
    <row r="27" spans="1:13">
      <c r="A27" s="616"/>
      <c r="B27" s="616"/>
      <c r="C27" s="82" t="s">
        <v>291</v>
      </c>
      <c r="D27" s="66">
        <v>9740198</v>
      </c>
      <c r="E27" s="66">
        <v>0</v>
      </c>
      <c r="F27" s="66">
        <v>0</v>
      </c>
      <c r="G27" s="66">
        <v>164806</v>
      </c>
      <c r="H27" s="66">
        <v>0</v>
      </c>
      <c r="I27" s="66">
        <v>1107455</v>
      </c>
      <c r="J27" s="66">
        <v>812601</v>
      </c>
      <c r="K27" s="66">
        <v>7655336</v>
      </c>
      <c r="L27" s="283">
        <v>1.0474568493157601</v>
      </c>
      <c r="M27" s="66">
        <v>81905</v>
      </c>
    </row>
    <row r="28" spans="1:13">
      <c r="A28" s="616"/>
      <c r="B28" s="616"/>
      <c r="C28" s="82" t="s">
        <v>577</v>
      </c>
      <c r="D28" s="66">
        <v>9740198</v>
      </c>
      <c r="E28" s="66">
        <v>0</v>
      </c>
      <c r="F28" s="66">
        <v>0</v>
      </c>
      <c r="G28" s="66">
        <v>167135</v>
      </c>
      <c r="H28" s="66">
        <v>0</v>
      </c>
      <c r="I28" s="66">
        <v>1107258</v>
      </c>
      <c r="J28" s="66">
        <v>812402</v>
      </c>
      <c r="K28" s="66">
        <v>7653403</v>
      </c>
      <c r="L28" s="283">
        <v>1.0474568493157601</v>
      </c>
      <c r="M28" s="66">
        <v>48062</v>
      </c>
    </row>
    <row r="29" spans="1:13">
      <c r="A29" s="616"/>
      <c r="B29" s="616"/>
      <c r="C29" s="82" t="s">
        <v>579</v>
      </c>
      <c r="D29" s="66">
        <v>9740198</v>
      </c>
      <c r="E29" s="66">
        <v>0</v>
      </c>
      <c r="F29" s="66">
        <v>0</v>
      </c>
      <c r="G29" s="66">
        <v>165025</v>
      </c>
      <c r="H29" s="66">
        <v>0</v>
      </c>
      <c r="I29" s="66">
        <v>1107420</v>
      </c>
      <c r="J29" s="66">
        <v>812580</v>
      </c>
      <c r="K29" s="66">
        <v>7655173</v>
      </c>
      <c r="L29" s="283">
        <v>1.0474568493157601</v>
      </c>
      <c r="M29" s="66">
        <v>76188</v>
      </c>
    </row>
    <row r="30" spans="1:13">
      <c r="A30" s="616"/>
      <c r="B30" s="616"/>
      <c r="C30" s="82" t="s">
        <v>332</v>
      </c>
      <c r="D30" s="66">
        <v>9740198</v>
      </c>
      <c r="E30" s="66">
        <v>0</v>
      </c>
      <c r="F30" s="66">
        <v>0</v>
      </c>
      <c r="G30" s="66">
        <v>164541</v>
      </c>
      <c r="H30" s="66">
        <v>0</v>
      </c>
      <c r="I30" s="66">
        <v>1107473</v>
      </c>
      <c r="J30" s="66">
        <v>812593</v>
      </c>
      <c r="K30" s="66">
        <v>7655591</v>
      </c>
      <c r="L30" s="283">
        <v>1.0474568493157601</v>
      </c>
      <c r="M30" s="66">
        <v>148411</v>
      </c>
    </row>
    <row r="31" spans="1:13">
      <c r="A31" s="616"/>
      <c r="B31" s="616"/>
      <c r="C31" s="82" t="s">
        <v>584</v>
      </c>
      <c r="D31" s="66">
        <v>9740198</v>
      </c>
      <c r="E31" s="66">
        <v>0</v>
      </c>
      <c r="F31" s="66">
        <v>0</v>
      </c>
      <c r="G31" s="66">
        <v>164518</v>
      </c>
      <c r="H31" s="66">
        <v>0</v>
      </c>
      <c r="I31" s="66">
        <v>1107466</v>
      </c>
      <c r="J31" s="66">
        <v>812589</v>
      </c>
      <c r="K31" s="66">
        <v>7655625</v>
      </c>
      <c r="L31" s="283">
        <v>1.0965561008584199</v>
      </c>
      <c r="M31" s="66">
        <v>148461</v>
      </c>
    </row>
    <row r="32" spans="1:13">
      <c r="A32" s="616"/>
      <c r="B32" s="616"/>
      <c r="C32" s="82" t="s">
        <v>371</v>
      </c>
      <c r="D32" s="66">
        <v>9740198</v>
      </c>
      <c r="E32" s="66">
        <v>0</v>
      </c>
      <c r="F32" s="66">
        <v>0</v>
      </c>
      <c r="G32" s="66">
        <v>165496</v>
      </c>
      <c r="H32" s="66">
        <v>0</v>
      </c>
      <c r="I32" s="66">
        <v>1107391</v>
      </c>
      <c r="J32" s="66">
        <v>812563</v>
      </c>
      <c r="K32" s="66">
        <v>7654748</v>
      </c>
      <c r="L32" s="283">
        <v>1</v>
      </c>
      <c r="M32" s="66">
        <v>106333</v>
      </c>
    </row>
    <row r="33" spans="1:13">
      <c r="A33" s="616"/>
      <c r="B33" s="616"/>
      <c r="C33" s="82" t="s">
        <v>65</v>
      </c>
      <c r="D33" s="66">
        <v>9740198</v>
      </c>
      <c r="E33" s="66">
        <v>0</v>
      </c>
      <c r="F33" s="66">
        <v>0</v>
      </c>
      <c r="G33" s="66">
        <v>164524</v>
      </c>
      <c r="H33" s="66">
        <v>0</v>
      </c>
      <c r="I33" s="66">
        <v>1107470</v>
      </c>
      <c r="J33" s="66">
        <v>812595</v>
      </c>
      <c r="K33" s="66">
        <v>7655609</v>
      </c>
      <c r="L33" s="283">
        <v>1.4294639747311</v>
      </c>
      <c r="M33" s="66">
        <v>147220</v>
      </c>
    </row>
    <row r="34" spans="1:13">
      <c r="A34" s="616"/>
      <c r="B34" s="616"/>
      <c r="C34" s="82" t="s">
        <v>379</v>
      </c>
      <c r="D34" s="66">
        <v>9740198</v>
      </c>
      <c r="E34" s="66">
        <v>0</v>
      </c>
      <c r="F34" s="66">
        <v>0</v>
      </c>
      <c r="G34" s="66">
        <v>164821</v>
      </c>
      <c r="H34" s="66">
        <v>0</v>
      </c>
      <c r="I34" s="66">
        <v>1107430</v>
      </c>
      <c r="J34" s="66">
        <v>812592</v>
      </c>
      <c r="K34" s="66">
        <v>7655355</v>
      </c>
      <c r="L34" s="283">
        <v>1.14736027705937</v>
      </c>
      <c r="M34" s="66">
        <v>129696</v>
      </c>
    </row>
    <row r="35" spans="1:13">
      <c r="A35" s="616"/>
      <c r="B35" s="616"/>
      <c r="C35" s="82" t="s">
        <v>384</v>
      </c>
      <c r="D35" s="66">
        <v>9740198</v>
      </c>
      <c r="E35" s="66">
        <v>0</v>
      </c>
      <c r="F35" s="66">
        <v>0</v>
      </c>
      <c r="G35" s="66">
        <v>164497</v>
      </c>
      <c r="H35" s="66">
        <v>0</v>
      </c>
      <c r="I35" s="66">
        <v>1107465</v>
      </c>
      <c r="J35" s="66">
        <v>812607</v>
      </c>
      <c r="K35" s="66">
        <v>7655629</v>
      </c>
      <c r="L35" s="283">
        <v>1.0474568493157601</v>
      </c>
      <c r="M35" s="66">
        <v>140201</v>
      </c>
    </row>
    <row r="36" spans="1:13">
      <c r="A36" s="616"/>
      <c r="B36" s="616"/>
      <c r="C36" s="82" t="s">
        <v>391</v>
      </c>
      <c r="D36" s="66">
        <v>9740198</v>
      </c>
      <c r="E36" s="66">
        <v>0</v>
      </c>
      <c r="F36" s="66">
        <v>0</v>
      </c>
      <c r="G36" s="66">
        <v>164492</v>
      </c>
      <c r="H36" s="66">
        <v>0</v>
      </c>
      <c r="I36" s="66">
        <v>1107476</v>
      </c>
      <c r="J36" s="66">
        <v>812594</v>
      </c>
      <c r="K36" s="66">
        <v>7655636</v>
      </c>
      <c r="L36" s="283">
        <v>1.14736027705937</v>
      </c>
      <c r="M36" s="66">
        <v>148573</v>
      </c>
    </row>
    <row r="37" spans="1:13">
      <c r="A37" s="616"/>
      <c r="B37" s="616"/>
      <c r="C37" s="82" t="s">
        <v>397</v>
      </c>
      <c r="D37" s="66">
        <v>9740198</v>
      </c>
      <c r="E37" s="66">
        <v>0</v>
      </c>
      <c r="F37" s="66">
        <v>0</v>
      </c>
      <c r="G37" s="66">
        <v>164792</v>
      </c>
      <c r="H37" s="66">
        <v>0</v>
      </c>
      <c r="I37" s="66">
        <v>1107460</v>
      </c>
      <c r="J37" s="66">
        <v>812597</v>
      </c>
      <c r="K37" s="66">
        <v>7655349</v>
      </c>
      <c r="L37" s="283">
        <v>1.0965561008584199</v>
      </c>
      <c r="M37" s="66">
        <v>141942</v>
      </c>
    </row>
    <row r="38" spans="1:13">
      <c r="A38" s="616"/>
      <c r="B38" s="616"/>
      <c r="C38" s="82" t="s">
        <v>407</v>
      </c>
      <c r="D38" s="66">
        <v>9740198</v>
      </c>
      <c r="E38" s="66">
        <v>0</v>
      </c>
      <c r="F38" s="66">
        <v>0</v>
      </c>
      <c r="G38" s="66">
        <v>165228</v>
      </c>
      <c r="H38" s="66">
        <v>0</v>
      </c>
      <c r="I38" s="66">
        <v>1107416</v>
      </c>
      <c r="J38" s="66">
        <v>812557</v>
      </c>
      <c r="K38" s="66">
        <v>7654997</v>
      </c>
      <c r="L38" s="283">
        <v>1.14736027705937</v>
      </c>
      <c r="M38" s="66">
        <v>73639</v>
      </c>
    </row>
    <row r="39" spans="1:13">
      <c r="A39" s="616"/>
      <c r="B39" s="616"/>
      <c r="C39" s="82" t="s">
        <v>580</v>
      </c>
      <c r="D39" s="66">
        <v>9740198</v>
      </c>
      <c r="E39" s="66">
        <v>0</v>
      </c>
      <c r="F39" s="66">
        <v>0</v>
      </c>
      <c r="G39" s="66">
        <v>167135</v>
      </c>
      <c r="H39" s="66">
        <v>0</v>
      </c>
      <c r="I39" s="66">
        <v>1107258</v>
      </c>
      <c r="J39" s="66">
        <v>812402</v>
      </c>
      <c r="K39" s="66">
        <v>7653403</v>
      </c>
      <c r="L39" s="283">
        <v>1.0474568493157601</v>
      </c>
      <c r="M39" s="66">
        <v>48062</v>
      </c>
    </row>
    <row r="40" spans="1:13">
      <c r="A40" s="616"/>
      <c r="B40" s="616"/>
      <c r="C40" s="82" t="s">
        <v>582</v>
      </c>
      <c r="D40" s="66">
        <v>9740198</v>
      </c>
      <c r="E40" s="66">
        <v>0</v>
      </c>
      <c r="F40" s="66">
        <v>0</v>
      </c>
      <c r="G40" s="66">
        <v>165025</v>
      </c>
      <c r="H40" s="66">
        <v>0</v>
      </c>
      <c r="I40" s="66">
        <v>1107420</v>
      </c>
      <c r="J40" s="66">
        <v>812580</v>
      </c>
      <c r="K40" s="66">
        <v>7655173</v>
      </c>
      <c r="L40" s="283">
        <v>1.0965561008584199</v>
      </c>
      <c r="M40" s="66">
        <v>76188</v>
      </c>
    </row>
    <row r="41" spans="1:13">
      <c r="A41" s="616"/>
      <c r="B41" s="616"/>
      <c r="C41" s="82" t="s">
        <v>422</v>
      </c>
      <c r="D41" s="66">
        <v>9740198</v>
      </c>
      <c r="E41" s="66">
        <v>0</v>
      </c>
      <c r="F41" s="66">
        <v>0</v>
      </c>
      <c r="G41" s="66">
        <v>165914</v>
      </c>
      <c r="H41" s="66">
        <v>0</v>
      </c>
      <c r="I41" s="66">
        <v>1107338</v>
      </c>
      <c r="J41" s="66">
        <v>812482</v>
      </c>
      <c r="K41" s="66">
        <v>7654464</v>
      </c>
      <c r="L41" s="283">
        <v>1.0474568493157601</v>
      </c>
      <c r="M41" s="66">
        <v>66736</v>
      </c>
    </row>
    <row r="42" spans="1:13">
      <c r="A42" s="616"/>
      <c r="B42" s="616"/>
      <c r="C42" s="82" t="s">
        <v>913</v>
      </c>
      <c r="D42" s="66">
        <v>9740198</v>
      </c>
      <c r="E42" s="66">
        <v>0</v>
      </c>
      <c r="F42" s="66">
        <v>0</v>
      </c>
      <c r="G42" s="66">
        <v>168591</v>
      </c>
      <c r="H42" s="66">
        <v>0</v>
      </c>
      <c r="I42" s="66">
        <v>1107185</v>
      </c>
      <c r="J42" s="66">
        <v>812332</v>
      </c>
      <c r="K42" s="66">
        <v>7652090</v>
      </c>
      <c r="L42" s="283">
        <v>1.0474568493157601</v>
      </c>
      <c r="M42" s="66">
        <v>29386</v>
      </c>
    </row>
    <row r="43" spans="1:13">
      <c r="A43" s="616"/>
      <c r="B43" s="616"/>
      <c r="C43" s="82" t="s">
        <v>431</v>
      </c>
      <c r="D43" s="66">
        <v>9740198</v>
      </c>
      <c r="E43" s="66">
        <v>0</v>
      </c>
      <c r="F43" s="66">
        <v>0</v>
      </c>
      <c r="G43" s="66">
        <v>165705</v>
      </c>
      <c r="H43" s="66">
        <v>0</v>
      </c>
      <c r="I43" s="66">
        <v>1107325</v>
      </c>
      <c r="J43" s="66">
        <v>812503</v>
      </c>
      <c r="K43" s="66">
        <v>7654665</v>
      </c>
      <c r="L43" s="283">
        <v>1.0474568493157601</v>
      </c>
      <c r="M43" s="66">
        <v>67331</v>
      </c>
    </row>
    <row r="44" spans="1:13">
      <c r="A44" s="616"/>
      <c r="B44" s="616"/>
      <c r="C44" s="82" t="s">
        <v>454</v>
      </c>
      <c r="D44" s="66">
        <v>9740198</v>
      </c>
      <c r="E44" s="66">
        <v>0</v>
      </c>
      <c r="F44" s="66">
        <v>0</v>
      </c>
      <c r="G44" s="66">
        <v>164461</v>
      </c>
      <c r="H44" s="66">
        <v>0</v>
      </c>
      <c r="I44" s="66">
        <v>1107466</v>
      </c>
      <c r="J44" s="66">
        <v>812582</v>
      </c>
      <c r="K44" s="66">
        <v>7655689</v>
      </c>
      <c r="L44" s="283">
        <v>1.14736027705937</v>
      </c>
      <c r="M44" s="66">
        <v>148354</v>
      </c>
    </row>
    <row r="45" spans="1:13" ht="13.75" customHeight="1">
      <c r="A45" s="286"/>
      <c r="B45" s="287"/>
      <c r="C45" s="288"/>
      <c r="D45" s="289"/>
      <c r="E45" s="289"/>
      <c r="F45" s="289"/>
      <c r="G45" s="289"/>
      <c r="H45" s="289"/>
      <c r="I45" s="289"/>
      <c r="J45" s="289"/>
      <c r="K45" s="289"/>
      <c r="L45" s="290"/>
      <c r="M45" s="289"/>
    </row>
    <row r="46" spans="1:13">
      <c r="A46" s="616" t="s">
        <v>16</v>
      </c>
      <c r="B46" s="616"/>
      <c r="C46" s="82" t="s">
        <v>137</v>
      </c>
      <c r="D46" s="66">
        <v>9740198</v>
      </c>
      <c r="E46" s="66">
        <v>0</v>
      </c>
      <c r="F46" s="66">
        <v>0</v>
      </c>
      <c r="G46" s="66">
        <v>161128</v>
      </c>
      <c r="H46" s="66">
        <v>0</v>
      </c>
      <c r="I46" s="66">
        <v>1107769</v>
      </c>
      <c r="J46" s="66">
        <v>812844</v>
      </c>
      <c r="K46" s="66">
        <v>7658457</v>
      </c>
      <c r="L46" s="283">
        <v>1.1999361642834201</v>
      </c>
      <c r="M46" s="66">
        <v>129868</v>
      </c>
    </row>
    <row r="47" spans="1:13">
      <c r="A47" s="616"/>
      <c r="B47" s="616"/>
      <c r="C47" s="82" t="s">
        <v>171</v>
      </c>
      <c r="D47" s="66">
        <v>9740198</v>
      </c>
      <c r="E47" s="66">
        <v>0</v>
      </c>
      <c r="F47" s="66">
        <v>0</v>
      </c>
      <c r="G47" s="66">
        <v>163871</v>
      </c>
      <c r="H47" s="66">
        <v>0</v>
      </c>
      <c r="I47" s="66">
        <v>1107511</v>
      </c>
      <c r="J47" s="66">
        <v>812642</v>
      </c>
      <c r="K47" s="66">
        <v>7656174</v>
      </c>
      <c r="L47" s="283">
        <v>1</v>
      </c>
      <c r="M47" s="66">
        <v>48912</v>
      </c>
    </row>
    <row r="48" spans="1:13">
      <c r="A48" s="616"/>
      <c r="B48" s="616"/>
      <c r="C48" s="82" t="s">
        <v>188</v>
      </c>
      <c r="D48" s="66">
        <v>9740198</v>
      </c>
      <c r="E48" s="66">
        <v>0</v>
      </c>
      <c r="F48" s="66">
        <v>0</v>
      </c>
      <c r="G48" s="66">
        <v>160833</v>
      </c>
      <c r="H48" s="66">
        <v>0</v>
      </c>
      <c r="I48" s="66">
        <v>1107764</v>
      </c>
      <c r="J48" s="66">
        <v>812871</v>
      </c>
      <c r="K48" s="66">
        <v>7658730</v>
      </c>
      <c r="L48" s="283">
        <v>1.0474568493157601</v>
      </c>
      <c r="M48" s="66">
        <v>148045</v>
      </c>
    </row>
    <row r="49" spans="1:13">
      <c r="A49" s="616"/>
      <c r="B49" s="616"/>
      <c r="C49" s="82" t="s">
        <v>198</v>
      </c>
      <c r="D49" s="66">
        <v>9740198</v>
      </c>
      <c r="E49" s="66">
        <v>0</v>
      </c>
      <c r="F49" s="66">
        <v>0</v>
      </c>
      <c r="G49" s="66">
        <v>160895</v>
      </c>
      <c r="H49" s="66">
        <v>0</v>
      </c>
      <c r="I49" s="66">
        <v>1107766</v>
      </c>
      <c r="J49" s="66">
        <v>812853</v>
      </c>
      <c r="K49" s="66">
        <v>7658684</v>
      </c>
      <c r="L49" s="283">
        <v>1.0965561008584199</v>
      </c>
      <c r="M49" s="66">
        <v>148630</v>
      </c>
    </row>
    <row r="50" spans="1:13">
      <c r="A50" s="616"/>
      <c r="B50" s="616"/>
      <c r="C50" s="82" t="s">
        <v>210</v>
      </c>
      <c r="D50" s="66">
        <v>9740198</v>
      </c>
      <c r="E50" s="66">
        <v>0</v>
      </c>
      <c r="F50" s="66">
        <v>0</v>
      </c>
      <c r="G50" s="66">
        <v>161011</v>
      </c>
      <c r="H50" s="66">
        <v>0</v>
      </c>
      <c r="I50" s="66">
        <v>1107758</v>
      </c>
      <c r="J50" s="66">
        <v>812815</v>
      </c>
      <c r="K50" s="66">
        <v>7658614</v>
      </c>
      <c r="L50" s="283">
        <v>1.14736027705937</v>
      </c>
      <c r="M50" s="66">
        <v>142562</v>
      </c>
    </row>
    <row r="51" spans="1:13">
      <c r="A51" s="616"/>
      <c r="B51" s="616"/>
      <c r="C51" s="82" t="s">
        <v>224</v>
      </c>
      <c r="D51" s="66">
        <v>9740198</v>
      </c>
      <c r="E51" s="66">
        <v>0</v>
      </c>
      <c r="F51" s="66">
        <v>0</v>
      </c>
      <c r="G51" s="66">
        <v>166579</v>
      </c>
      <c r="H51" s="66">
        <v>0</v>
      </c>
      <c r="I51" s="66">
        <v>1107335</v>
      </c>
      <c r="J51" s="66">
        <v>812445</v>
      </c>
      <c r="K51" s="66">
        <v>7653839</v>
      </c>
      <c r="L51" s="283">
        <v>1.0474568493157601</v>
      </c>
      <c r="M51" s="66">
        <v>23840</v>
      </c>
    </row>
    <row r="52" spans="1:13">
      <c r="A52" s="616"/>
      <c r="B52" s="616"/>
      <c r="C52" s="82" t="s">
        <v>234</v>
      </c>
      <c r="D52" s="66">
        <v>9740198</v>
      </c>
      <c r="E52" s="66">
        <v>0</v>
      </c>
      <c r="F52" s="66">
        <v>0</v>
      </c>
      <c r="G52" s="66">
        <v>160773</v>
      </c>
      <c r="H52" s="66">
        <v>0</v>
      </c>
      <c r="I52" s="66">
        <v>1107801</v>
      </c>
      <c r="J52" s="66">
        <v>812865</v>
      </c>
      <c r="K52" s="66">
        <v>7658759</v>
      </c>
      <c r="L52" s="283">
        <v>1.31069382387598</v>
      </c>
      <c r="M52" s="66">
        <v>129398</v>
      </c>
    </row>
    <row r="53" spans="1:13">
      <c r="A53" s="616"/>
      <c r="B53" s="616"/>
      <c r="C53" s="82" t="s">
        <v>245</v>
      </c>
      <c r="D53" s="66">
        <v>9740198</v>
      </c>
      <c r="E53" s="66">
        <v>0</v>
      </c>
      <c r="F53" s="66">
        <v>0</v>
      </c>
      <c r="G53" s="66">
        <v>160983</v>
      </c>
      <c r="H53" s="66">
        <v>0</v>
      </c>
      <c r="I53" s="66">
        <v>1107782</v>
      </c>
      <c r="J53" s="66">
        <v>812839</v>
      </c>
      <c r="K53" s="66">
        <v>7658594</v>
      </c>
      <c r="L53" s="283">
        <v>1.1999361642834201</v>
      </c>
      <c r="M53" s="66">
        <v>140895</v>
      </c>
    </row>
    <row r="54" spans="1:13">
      <c r="A54" s="616"/>
      <c r="B54" s="616"/>
      <c r="C54" s="82" t="s">
        <v>251</v>
      </c>
      <c r="D54" s="66">
        <v>9740198</v>
      </c>
      <c r="E54" s="66">
        <v>0</v>
      </c>
      <c r="F54" s="66">
        <v>0</v>
      </c>
      <c r="G54" s="66">
        <v>160781</v>
      </c>
      <c r="H54" s="66">
        <v>0</v>
      </c>
      <c r="I54" s="66">
        <v>1107800</v>
      </c>
      <c r="J54" s="66">
        <v>812869</v>
      </c>
      <c r="K54" s="66">
        <v>7658748</v>
      </c>
      <c r="L54" s="283">
        <v>1.1999361642834201</v>
      </c>
      <c r="M54" s="66">
        <v>129376</v>
      </c>
    </row>
    <row r="55" spans="1:13">
      <c r="A55" s="616"/>
      <c r="B55" s="616"/>
      <c r="C55" s="82" t="s">
        <v>258</v>
      </c>
      <c r="D55" s="66">
        <v>9740198</v>
      </c>
      <c r="E55" s="66">
        <v>0</v>
      </c>
      <c r="F55" s="66">
        <v>0</v>
      </c>
      <c r="G55" s="66">
        <v>160931</v>
      </c>
      <c r="H55" s="66">
        <v>0</v>
      </c>
      <c r="I55" s="66">
        <v>1107778</v>
      </c>
      <c r="J55" s="66">
        <v>812838</v>
      </c>
      <c r="K55" s="66">
        <v>7658651</v>
      </c>
      <c r="L55" s="283">
        <v>1.1999361642834201</v>
      </c>
      <c r="M55" s="66">
        <v>141148</v>
      </c>
    </row>
    <row r="56" spans="1:13">
      <c r="A56" s="616"/>
      <c r="B56" s="616"/>
      <c r="C56" s="82" t="s">
        <v>264</v>
      </c>
      <c r="D56" s="66">
        <v>9740198</v>
      </c>
      <c r="E56" s="66">
        <v>0</v>
      </c>
      <c r="F56" s="66">
        <v>0</v>
      </c>
      <c r="G56" s="66">
        <v>160958</v>
      </c>
      <c r="H56" s="66">
        <v>0</v>
      </c>
      <c r="I56" s="66">
        <v>1107774</v>
      </c>
      <c r="J56" s="66">
        <v>812835</v>
      </c>
      <c r="K56" s="66">
        <v>7658631</v>
      </c>
      <c r="L56" s="283">
        <v>1.25435518690312</v>
      </c>
      <c r="M56" s="66">
        <v>141035</v>
      </c>
    </row>
    <row r="57" spans="1:13" ht="15.25" customHeight="1">
      <c r="A57" s="616"/>
      <c r="B57" s="616"/>
      <c r="C57" s="82" t="s">
        <v>269</v>
      </c>
      <c r="D57" s="66">
        <v>9740198</v>
      </c>
      <c r="E57" s="66">
        <v>0</v>
      </c>
      <c r="F57" s="66">
        <v>0</v>
      </c>
      <c r="G57" s="66">
        <v>160924</v>
      </c>
      <c r="H57" s="66">
        <v>0</v>
      </c>
      <c r="I57" s="66">
        <v>1107746</v>
      </c>
      <c r="J57" s="66">
        <v>812859</v>
      </c>
      <c r="K57" s="66">
        <v>7658669</v>
      </c>
      <c r="L57" s="283">
        <v>1.31069382387598</v>
      </c>
      <c r="M57" s="66">
        <v>147629</v>
      </c>
    </row>
    <row r="58" spans="1:13">
      <c r="A58" s="616"/>
      <c r="B58" s="616"/>
      <c r="C58" s="82" t="s">
        <v>279</v>
      </c>
      <c r="D58" s="66">
        <v>9740198</v>
      </c>
      <c r="E58" s="66">
        <v>0</v>
      </c>
      <c r="F58" s="66">
        <v>0</v>
      </c>
      <c r="G58" s="66">
        <v>160924</v>
      </c>
      <c r="H58" s="66">
        <v>0</v>
      </c>
      <c r="I58" s="66">
        <v>1107745</v>
      </c>
      <c r="J58" s="66">
        <v>812860</v>
      </c>
      <c r="K58" s="66">
        <v>7658669</v>
      </c>
      <c r="L58" s="283">
        <v>1.31069382387598</v>
      </c>
      <c r="M58" s="66">
        <v>147628</v>
      </c>
    </row>
    <row r="59" spans="1:13">
      <c r="A59" s="616"/>
      <c r="B59" s="616"/>
      <c r="C59" s="82" t="s">
        <v>285</v>
      </c>
      <c r="D59" s="66">
        <v>9740198</v>
      </c>
      <c r="E59" s="66">
        <v>0</v>
      </c>
      <c r="F59" s="66">
        <v>0</v>
      </c>
      <c r="G59" s="66">
        <v>160924</v>
      </c>
      <c r="H59" s="66">
        <v>0</v>
      </c>
      <c r="I59" s="66">
        <v>1107745</v>
      </c>
      <c r="J59" s="66">
        <v>812860</v>
      </c>
      <c r="K59" s="66">
        <v>7658669</v>
      </c>
      <c r="L59" s="283">
        <v>1.31069382387598</v>
      </c>
      <c r="M59" s="66">
        <v>147628</v>
      </c>
    </row>
    <row r="60" spans="1:13">
      <c r="A60" s="616"/>
      <c r="B60" s="616"/>
      <c r="C60" s="82" t="s">
        <v>291</v>
      </c>
      <c r="D60" s="66">
        <v>9740198</v>
      </c>
      <c r="E60" s="66">
        <v>0</v>
      </c>
      <c r="F60" s="66">
        <v>0</v>
      </c>
      <c r="G60" s="66">
        <v>161756</v>
      </c>
      <c r="H60" s="66">
        <v>0</v>
      </c>
      <c r="I60" s="66">
        <v>1107715</v>
      </c>
      <c r="J60" s="66">
        <v>812838</v>
      </c>
      <c r="K60" s="66">
        <v>7657889</v>
      </c>
      <c r="L60" s="283">
        <v>1.0474568493157601</v>
      </c>
      <c r="M60" s="66">
        <v>80031</v>
      </c>
    </row>
    <row r="61" spans="1:13">
      <c r="A61" s="616"/>
      <c r="B61" s="616"/>
      <c r="C61" s="82" t="s">
        <v>577</v>
      </c>
      <c r="D61" s="66">
        <v>9740198</v>
      </c>
      <c r="E61" s="66">
        <v>0</v>
      </c>
      <c r="F61" s="66">
        <v>0</v>
      </c>
      <c r="G61" s="66">
        <v>164152</v>
      </c>
      <c r="H61" s="66">
        <v>0</v>
      </c>
      <c r="I61" s="66">
        <v>1107486</v>
      </c>
      <c r="J61" s="66">
        <v>812665</v>
      </c>
      <c r="K61" s="66">
        <v>7655895</v>
      </c>
      <c r="L61" s="283">
        <v>1.0474568493157601</v>
      </c>
      <c r="M61" s="66">
        <v>44425</v>
      </c>
    </row>
    <row r="62" spans="1:13">
      <c r="A62" s="616"/>
      <c r="B62" s="616"/>
      <c r="C62" s="82" t="s">
        <v>579</v>
      </c>
      <c r="D62" s="66">
        <v>9740198</v>
      </c>
      <c r="E62" s="66">
        <v>0</v>
      </c>
      <c r="F62" s="66">
        <v>0</v>
      </c>
      <c r="G62" s="66">
        <v>162282</v>
      </c>
      <c r="H62" s="66">
        <v>0</v>
      </c>
      <c r="I62" s="66">
        <v>1107656</v>
      </c>
      <c r="J62" s="66">
        <v>812842</v>
      </c>
      <c r="K62" s="66">
        <v>7657418</v>
      </c>
      <c r="L62" s="283">
        <v>1.0474568493157601</v>
      </c>
      <c r="M62" s="66">
        <v>72953</v>
      </c>
    </row>
    <row r="63" spans="1:13">
      <c r="A63" s="616"/>
      <c r="B63" s="616"/>
      <c r="C63" s="82" t="s">
        <v>332</v>
      </c>
      <c r="D63" s="66">
        <v>9740198</v>
      </c>
      <c r="E63" s="66">
        <v>0</v>
      </c>
      <c r="F63" s="66">
        <v>0</v>
      </c>
      <c r="G63" s="66">
        <v>160944</v>
      </c>
      <c r="H63" s="66">
        <v>0</v>
      </c>
      <c r="I63" s="66">
        <v>1107758</v>
      </c>
      <c r="J63" s="66">
        <v>812854</v>
      </c>
      <c r="K63" s="66">
        <v>7658642</v>
      </c>
      <c r="L63" s="283">
        <v>1.0965561008584199</v>
      </c>
      <c r="M63" s="66">
        <v>148397</v>
      </c>
    </row>
    <row r="64" spans="1:13">
      <c r="A64" s="616"/>
      <c r="B64" s="616"/>
      <c r="C64" s="82" t="s">
        <v>584</v>
      </c>
      <c r="D64" s="66">
        <v>9740198</v>
      </c>
      <c r="E64" s="66">
        <v>0</v>
      </c>
      <c r="F64" s="66">
        <v>0</v>
      </c>
      <c r="G64" s="66">
        <v>160917</v>
      </c>
      <c r="H64" s="66">
        <v>0</v>
      </c>
      <c r="I64" s="66">
        <v>1107753</v>
      </c>
      <c r="J64" s="66">
        <v>812854</v>
      </c>
      <c r="K64" s="66">
        <v>7658674</v>
      </c>
      <c r="L64" s="283">
        <v>1.0965561008584199</v>
      </c>
      <c r="M64" s="66">
        <v>148438</v>
      </c>
    </row>
    <row r="65" spans="1:13">
      <c r="A65" s="616"/>
      <c r="B65" s="616"/>
      <c r="C65" s="82" t="s">
        <v>371</v>
      </c>
      <c r="D65" s="66">
        <v>9740198</v>
      </c>
      <c r="E65" s="66">
        <v>0</v>
      </c>
      <c r="F65" s="66">
        <v>0</v>
      </c>
      <c r="G65" s="66">
        <v>161681</v>
      </c>
      <c r="H65" s="66">
        <v>0</v>
      </c>
      <c r="I65" s="66">
        <v>1107745</v>
      </c>
      <c r="J65" s="66">
        <v>812815</v>
      </c>
      <c r="K65" s="66">
        <v>7657957</v>
      </c>
      <c r="L65" s="283">
        <v>1</v>
      </c>
      <c r="M65" s="66">
        <v>108183</v>
      </c>
    </row>
    <row r="66" spans="1:13">
      <c r="A66" s="616"/>
      <c r="B66" s="616"/>
      <c r="C66" s="82" t="s">
        <v>65</v>
      </c>
      <c r="D66" s="66">
        <v>9740198</v>
      </c>
      <c r="E66" s="66">
        <v>0</v>
      </c>
      <c r="F66" s="66">
        <v>0</v>
      </c>
      <c r="G66" s="66">
        <v>161080</v>
      </c>
      <c r="H66" s="66">
        <v>0</v>
      </c>
      <c r="I66" s="66">
        <v>1107762</v>
      </c>
      <c r="J66" s="66">
        <v>812860</v>
      </c>
      <c r="K66" s="66">
        <v>7658496</v>
      </c>
      <c r="L66" s="283">
        <v>1.4294639747311</v>
      </c>
      <c r="M66" s="66">
        <v>146982</v>
      </c>
    </row>
    <row r="67" spans="1:13">
      <c r="A67" s="616"/>
      <c r="B67" s="616"/>
      <c r="C67" s="82" t="s">
        <v>379</v>
      </c>
      <c r="D67" s="66">
        <v>9740198</v>
      </c>
      <c r="E67" s="66">
        <v>0</v>
      </c>
      <c r="F67" s="66">
        <v>0</v>
      </c>
      <c r="G67" s="66">
        <v>161430</v>
      </c>
      <c r="H67" s="66">
        <v>0</v>
      </c>
      <c r="I67" s="66">
        <v>1107738</v>
      </c>
      <c r="J67" s="66">
        <v>812823</v>
      </c>
      <c r="K67" s="66">
        <v>7658207</v>
      </c>
      <c r="L67" s="283">
        <v>1.0965561008584199</v>
      </c>
      <c r="M67" s="66">
        <v>128878</v>
      </c>
    </row>
    <row r="68" spans="1:13">
      <c r="A68" s="616"/>
      <c r="B68" s="616"/>
      <c r="C68" s="82" t="s">
        <v>384</v>
      </c>
      <c r="D68" s="66">
        <v>9740198</v>
      </c>
      <c r="E68" s="66">
        <v>0</v>
      </c>
      <c r="F68" s="66">
        <v>0</v>
      </c>
      <c r="G68" s="66">
        <v>161047</v>
      </c>
      <c r="H68" s="66">
        <v>0</v>
      </c>
      <c r="I68" s="66">
        <v>1107761</v>
      </c>
      <c r="J68" s="66">
        <v>812840</v>
      </c>
      <c r="K68" s="66">
        <v>7658550</v>
      </c>
      <c r="L68" s="283">
        <v>1.0474568493157601</v>
      </c>
      <c r="M68" s="66">
        <v>140286</v>
      </c>
    </row>
    <row r="69" spans="1:13">
      <c r="A69" s="616"/>
      <c r="B69" s="616"/>
      <c r="C69" s="82" t="s">
        <v>391</v>
      </c>
      <c r="D69" s="66">
        <v>9740198</v>
      </c>
      <c r="E69" s="66">
        <v>0</v>
      </c>
      <c r="F69" s="66">
        <v>0</v>
      </c>
      <c r="G69" s="66">
        <v>160885</v>
      </c>
      <c r="H69" s="66">
        <v>0</v>
      </c>
      <c r="I69" s="66">
        <v>1107768</v>
      </c>
      <c r="J69" s="66">
        <v>812852</v>
      </c>
      <c r="K69" s="66">
        <v>7658693</v>
      </c>
      <c r="L69" s="283">
        <v>1.0965561008584199</v>
      </c>
      <c r="M69" s="66">
        <v>148527</v>
      </c>
    </row>
    <row r="70" spans="1:13">
      <c r="A70" s="616"/>
      <c r="B70" s="616"/>
      <c r="C70" s="82" t="s">
        <v>397</v>
      </c>
      <c r="D70" s="66">
        <v>9740198</v>
      </c>
      <c r="E70" s="66">
        <v>0</v>
      </c>
      <c r="F70" s="66">
        <v>0</v>
      </c>
      <c r="G70" s="66">
        <v>160904</v>
      </c>
      <c r="H70" s="66">
        <v>0</v>
      </c>
      <c r="I70" s="66">
        <v>1107776</v>
      </c>
      <c r="J70" s="66">
        <v>812884</v>
      </c>
      <c r="K70" s="66">
        <v>7658634</v>
      </c>
      <c r="L70" s="283">
        <v>1.0965561008584199</v>
      </c>
      <c r="M70" s="66">
        <v>141873</v>
      </c>
    </row>
    <row r="71" spans="1:13">
      <c r="A71" s="616"/>
      <c r="B71" s="616"/>
      <c r="C71" s="82" t="s">
        <v>407</v>
      </c>
      <c r="D71" s="66">
        <v>9740198</v>
      </c>
      <c r="E71" s="66">
        <v>0</v>
      </c>
      <c r="F71" s="66">
        <v>0</v>
      </c>
      <c r="G71" s="66">
        <v>162899</v>
      </c>
      <c r="H71" s="66">
        <v>0</v>
      </c>
      <c r="I71" s="66">
        <v>1107622</v>
      </c>
      <c r="J71" s="66">
        <v>812830</v>
      </c>
      <c r="K71" s="66">
        <v>7656847</v>
      </c>
      <c r="L71" s="283">
        <v>1.0965561008584199</v>
      </c>
      <c r="M71" s="66">
        <v>54128</v>
      </c>
    </row>
    <row r="72" spans="1:13">
      <c r="A72" s="616"/>
      <c r="B72" s="616"/>
      <c r="C72" s="82" t="s">
        <v>580</v>
      </c>
      <c r="D72" s="66">
        <v>9740198</v>
      </c>
      <c r="E72" s="66">
        <v>0</v>
      </c>
      <c r="F72" s="66">
        <v>0</v>
      </c>
      <c r="G72" s="66">
        <v>164152</v>
      </c>
      <c r="H72" s="66">
        <v>0</v>
      </c>
      <c r="I72" s="66">
        <v>1107486</v>
      </c>
      <c r="J72" s="66">
        <v>812665</v>
      </c>
      <c r="K72" s="66">
        <v>7655895</v>
      </c>
      <c r="L72" s="283">
        <v>1.0474568493157601</v>
      </c>
      <c r="M72" s="66">
        <v>44425</v>
      </c>
    </row>
    <row r="73" spans="1:13">
      <c r="A73" s="616"/>
      <c r="B73" s="616"/>
      <c r="C73" s="82" t="s">
        <v>582</v>
      </c>
      <c r="D73" s="66">
        <v>9740198</v>
      </c>
      <c r="E73" s="66">
        <v>0</v>
      </c>
      <c r="F73" s="66">
        <v>0</v>
      </c>
      <c r="G73" s="66">
        <v>162282</v>
      </c>
      <c r="H73" s="66">
        <v>0</v>
      </c>
      <c r="I73" s="66">
        <v>1107656</v>
      </c>
      <c r="J73" s="66">
        <v>812842</v>
      </c>
      <c r="K73" s="66">
        <v>7657418</v>
      </c>
      <c r="L73" s="283">
        <v>1.0474568493157601</v>
      </c>
      <c r="M73" s="66">
        <v>72953</v>
      </c>
    </row>
    <row r="74" spans="1:13">
      <c r="A74" s="616"/>
      <c r="B74" s="616"/>
      <c r="C74" s="82" t="s">
        <v>422</v>
      </c>
      <c r="D74" s="66">
        <v>9740198</v>
      </c>
      <c r="E74" s="66">
        <v>0</v>
      </c>
      <c r="F74" s="66">
        <v>0</v>
      </c>
      <c r="G74" s="66">
        <v>162343</v>
      </c>
      <c r="H74" s="66">
        <v>0</v>
      </c>
      <c r="I74" s="66">
        <v>1107667</v>
      </c>
      <c r="J74" s="66">
        <v>812770</v>
      </c>
      <c r="K74" s="66">
        <v>7657418</v>
      </c>
      <c r="L74" s="283">
        <v>1.0474568493157601</v>
      </c>
      <c r="M74" s="66">
        <v>68599</v>
      </c>
    </row>
    <row r="75" spans="1:13">
      <c r="A75" s="616"/>
      <c r="B75" s="616"/>
      <c r="C75" s="82" t="s">
        <v>913</v>
      </c>
      <c r="D75" s="66">
        <v>9740198</v>
      </c>
      <c r="E75" s="66">
        <v>0</v>
      </c>
      <c r="F75" s="66">
        <v>0</v>
      </c>
      <c r="G75" s="66">
        <v>166779</v>
      </c>
      <c r="H75" s="66">
        <v>0</v>
      </c>
      <c r="I75" s="66">
        <v>1107315</v>
      </c>
      <c r="J75" s="66">
        <v>812391</v>
      </c>
      <c r="K75" s="66">
        <v>7653713</v>
      </c>
      <c r="L75" s="283">
        <v>1</v>
      </c>
      <c r="M75" s="66">
        <v>23047</v>
      </c>
    </row>
    <row r="76" spans="1:13">
      <c r="A76" s="616"/>
      <c r="B76" s="616"/>
      <c r="C76" s="82" t="s">
        <v>431</v>
      </c>
      <c r="D76" s="66">
        <v>9740198</v>
      </c>
      <c r="E76" s="66">
        <v>0</v>
      </c>
      <c r="F76" s="66">
        <v>0</v>
      </c>
      <c r="G76" s="66">
        <v>162024</v>
      </c>
      <c r="H76" s="66">
        <v>0</v>
      </c>
      <c r="I76" s="66">
        <v>1107665</v>
      </c>
      <c r="J76" s="66">
        <v>812782</v>
      </c>
      <c r="K76" s="66">
        <v>7657727</v>
      </c>
      <c r="L76" s="283">
        <v>1.0474568493157601</v>
      </c>
      <c r="M76" s="66">
        <v>68869</v>
      </c>
    </row>
    <row r="77" spans="1:13">
      <c r="A77" s="616"/>
      <c r="B77" s="616"/>
      <c r="C77" s="82" t="s">
        <v>454</v>
      </c>
      <c r="D77" s="66">
        <v>9740198</v>
      </c>
      <c r="E77" s="66">
        <v>0</v>
      </c>
      <c r="F77" s="66">
        <v>0</v>
      </c>
      <c r="G77" s="66">
        <v>160875</v>
      </c>
      <c r="H77" s="66">
        <v>0</v>
      </c>
      <c r="I77" s="66">
        <v>1107767</v>
      </c>
      <c r="J77" s="66">
        <v>812856</v>
      </c>
      <c r="K77" s="66">
        <v>7658700</v>
      </c>
      <c r="L77" s="283">
        <v>1.14736027705937</v>
      </c>
      <c r="M77" s="66">
        <v>148280</v>
      </c>
    </row>
    <row r="78" spans="1:13" ht="15.25" customHeight="1">
      <c r="A78" s="286"/>
      <c r="B78" s="287"/>
      <c r="C78" s="288"/>
      <c r="D78" s="289"/>
      <c r="E78" s="289"/>
      <c r="F78" s="289"/>
      <c r="G78" s="289"/>
      <c r="H78" s="289"/>
      <c r="I78" s="289"/>
      <c r="J78" s="289"/>
      <c r="K78" s="289"/>
      <c r="L78" s="290"/>
      <c r="M78" s="289"/>
    </row>
    <row r="79" spans="1:13">
      <c r="A79" s="616" t="s">
        <v>18</v>
      </c>
      <c r="B79" s="616"/>
      <c r="C79" s="82" t="s">
        <v>137</v>
      </c>
      <c r="D79" s="66">
        <v>9740198</v>
      </c>
      <c r="E79" s="66">
        <v>0</v>
      </c>
      <c r="F79" s="66">
        <v>0</v>
      </c>
      <c r="G79" s="66">
        <v>160618</v>
      </c>
      <c r="H79" s="66">
        <v>0</v>
      </c>
      <c r="I79" s="66">
        <v>1107739</v>
      </c>
      <c r="J79" s="66">
        <v>812913</v>
      </c>
      <c r="K79" s="66">
        <v>7658928</v>
      </c>
      <c r="L79" s="283">
        <v>1.1999361642834201</v>
      </c>
      <c r="M79" s="66">
        <v>130255</v>
      </c>
    </row>
    <row r="80" spans="1:13">
      <c r="A80" s="616"/>
      <c r="B80" s="616"/>
      <c r="C80" s="82" t="s">
        <v>171</v>
      </c>
      <c r="D80" s="66">
        <v>9740198</v>
      </c>
      <c r="E80" s="66">
        <v>0</v>
      </c>
      <c r="F80" s="66">
        <v>0</v>
      </c>
      <c r="G80" s="66">
        <v>163092</v>
      </c>
      <c r="H80" s="66">
        <v>0</v>
      </c>
      <c r="I80" s="66">
        <v>1107543</v>
      </c>
      <c r="J80" s="66">
        <v>812718</v>
      </c>
      <c r="K80" s="66">
        <v>7656845</v>
      </c>
      <c r="L80" s="283">
        <v>1.0474568493157601</v>
      </c>
      <c r="M80" s="66">
        <v>48487</v>
      </c>
    </row>
    <row r="81" spans="1:13">
      <c r="A81" s="616"/>
      <c r="B81" s="616"/>
      <c r="C81" s="82" t="s">
        <v>188</v>
      </c>
      <c r="D81" s="66">
        <v>9740198</v>
      </c>
      <c r="E81" s="66">
        <v>0</v>
      </c>
      <c r="F81" s="66">
        <v>0</v>
      </c>
      <c r="G81" s="66">
        <v>160663</v>
      </c>
      <c r="H81" s="66">
        <v>0</v>
      </c>
      <c r="I81" s="66">
        <v>1107733</v>
      </c>
      <c r="J81" s="66">
        <v>812906</v>
      </c>
      <c r="K81" s="66">
        <v>7658896</v>
      </c>
      <c r="L81" s="283">
        <v>1</v>
      </c>
      <c r="M81" s="66">
        <v>148047</v>
      </c>
    </row>
    <row r="82" spans="1:13">
      <c r="A82" s="616"/>
      <c r="B82" s="616"/>
      <c r="C82" s="82" t="s">
        <v>198</v>
      </c>
      <c r="D82" s="66">
        <v>9740198</v>
      </c>
      <c r="E82" s="66">
        <v>0</v>
      </c>
      <c r="F82" s="66">
        <v>0</v>
      </c>
      <c r="G82" s="66">
        <v>160617</v>
      </c>
      <c r="H82" s="66">
        <v>0</v>
      </c>
      <c r="I82" s="66">
        <v>1107736</v>
      </c>
      <c r="J82" s="66">
        <v>812900</v>
      </c>
      <c r="K82" s="66">
        <v>7658945</v>
      </c>
      <c r="L82" s="283">
        <v>1.0965561008584199</v>
      </c>
      <c r="M82" s="66">
        <v>148638</v>
      </c>
    </row>
    <row r="83" spans="1:13">
      <c r="A83" s="616"/>
      <c r="B83" s="616"/>
      <c r="C83" s="82" t="s">
        <v>210</v>
      </c>
      <c r="D83" s="66">
        <v>9740198</v>
      </c>
      <c r="E83" s="66">
        <v>0</v>
      </c>
      <c r="F83" s="66">
        <v>0</v>
      </c>
      <c r="G83" s="66">
        <v>160778</v>
      </c>
      <c r="H83" s="66">
        <v>0</v>
      </c>
      <c r="I83" s="66">
        <v>1107726</v>
      </c>
      <c r="J83" s="66">
        <v>812866</v>
      </c>
      <c r="K83" s="66">
        <v>7658828</v>
      </c>
      <c r="L83" s="283">
        <v>1.14736027705937</v>
      </c>
      <c r="M83" s="66">
        <v>142597</v>
      </c>
    </row>
    <row r="84" spans="1:13">
      <c r="A84" s="616"/>
      <c r="B84" s="616"/>
      <c r="C84" s="82" t="s">
        <v>224</v>
      </c>
      <c r="D84" s="66">
        <v>9740198</v>
      </c>
      <c r="E84" s="66">
        <v>0</v>
      </c>
      <c r="F84" s="66">
        <v>0</v>
      </c>
      <c r="G84" s="66">
        <v>166889</v>
      </c>
      <c r="H84" s="66">
        <v>0</v>
      </c>
      <c r="I84" s="66">
        <v>1107325</v>
      </c>
      <c r="J84" s="66">
        <v>812359</v>
      </c>
      <c r="K84" s="66">
        <v>7653625</v>
      </c>
      <c r="L84" s="283">
        <v>1</v>
      </c>
      <c r="M84" s="66">
        <v>24146</v>
      </c>
    </row>
    <row r="85" spans="1:13">
      <c r="A85" s="616"/>
      <c r="B85" s="616"/>
      <c r="C85" s="82" t="s">
        <v>234</v>
      </c>
      <c r="D85" s="66">
        <v>9740198</v>
      </c>
      <c r="E85" s="66">
        <v>0</v>
      </c>
      <c r="F85" s="66">
        <v>0</v>
      </c>
      <c r="G85" s="66">
        <v>161014</v>
      </c>
      <c r="H85" s="66">
        <v>0</v>
      </c>
      <c r="I85" s="66">
        <v>1107717</v>
      </c>
      <c r="J85" s="66">
        <v>812882</v>
      </c>
      <c r="K85" s="66">
        <v>7658585</v>
      </c>
      <c r="L85" s="283">
        <v>1.25435518690312</v>
      </c>
      <c r="M85" s="66">
        <v>129452</v>
      </c>
    </row>
    <row r="86" spans="1:13">
      <c r="A86" s="616"/>
      <c r="B86" s="616"/>
      <c r="C86" s="82" t="s">
        <v>245</v>
      </c>
      <c r="D86" s="66">
        <v>9740198</v>
      </c>
      <c r="E86" s="66">
        <v>0</v>
      </c>
      <c r="F86" s="66">
        <v>0</v>
      </c>
      <c r="G86" s="66">
        <v>160885</v>
      </c>
      <c r="H86" s="66">
        <v>0</v>
      </c>
      <c r="I86" s="66">
        <v>1107729</v>
      </c>
      <c r="J86" s="66">
        <v>812881</v>
      </c>
      <c r="K86" s="66">
        <v>7658703</v>
      </c>
      <c r="L86" s="283">
        <v>1.1999361642834201</v>
      </c>
      <c r="M86" s="66">
        <v>140841</v>
      </c>
    </row>
    <row r="87" spans="1:13">
      <c r="A87" s="616"/>
      <c r="B87" s="616"/>
      <c r="C87" s="82" t="s">
        <v>251</v>
      </c>
      <c r="D87" s="66">
        <v>9740198</v>
      </c>
      <c r="E87" s="66">
        <v>0</v>
      </c>
      <c r="F87" s="66">
        <v>0</v>
      </c>
      <c r="G87" s="66">
        <v>161026</v>
      </c>
      <c r="H87" s="66">
        <v>0</v>
      </c>
      <c r="I87" s="66">
        <v>1107716</v>
      </c>
      <c r="J87" s="66">
        <v>812884</v>
      </c>
      <c r="K87" s="66">
        <v>7658572</v>
      </c>
      <c r="L87" s="283">
        <v>1.1999361642834201</v>
      </c>
      <c r="M87" s="66">
        <v>129430</v>
      </c>
    </row>
    <row r="88" spans="1:13">
      <c r="A88" s="616"/>
      <c r="B88" s="616"/>
      <c r="C88" s="82" t="s">
        <v>258</v>
      </c>
      <c r="D88" s="66">
        <v>9740198</v>
      </c>
      <c r="E88" s="66">
        <v>0</v>
      </c>
      <c r="F88" s="66">
        <v>0</v>
      </c>
      <c r="G88" s="66">
        <v>160884</v>
      </c>
      <c r="H88" s="66">
        <v>0</v>
      </c>
      <c r="I88" s="66">
        <v>1107731</v>
      </c>
      <c r="J88" s="66">
        <v>812891</v>
      </c>
      <c r="K88" s="66">
        <v>7658692</v>
      </c>
      <c r="L88" s="283">
        <v>1.1999361642834201</v>
      </c>
      <c r="M88" s="66">
        <v>141090</v>
      </c>
    </row>
    <row r="89" spans="1:13">
      <c r="A89" s="616"/>
      <c r="B89" s="616"/>
      <c r="C89" s="82" t="s">
        <v>264</v>
      </c>
      <c r="D89" s="66">
        <v>9740198</v>
      </c>
      <c r="E89" s="66">
        <v>0</v>
      </c>
      <c r="F89" s="66">
        <v>0</v>
      </c>
      <c r="G89" s="66">
        <v>160969</v>
      </c>
      <c r="H89" s="66">
        <v>0</v>
      </c>
      <c r="I89" s="66">
        <v>1107729</v>
      </c>
      <c r="J89" s="66">
        <v>812878</v>
      </c>
      <c r="K89" s="66">
        <v>7658622</v>
      </c>
      <c r="L89" s="283">
        <v>1.25435518690312</v>
      </c>
      <c r="M89" s="66">
        <v>140964</v>
      </c>
    </row>
    <row r="90" spans="1:13">
      <c r="A90" s="616"/>
      <c r="B90" s="616"/>
      <c r="C90" s="82" t="s">
        <v>269</v>
      </c>
      <c r="D90" s="66">
        <v>9740198</v>
      </c>
      <c r="E90" s="66">
        <v>0</v>
      </c>
      <c r="F90" s="66">
        <v>0</v>
      </c>
      <c r="G90" s="66">
        <v>160632</v>
      </c>
      <c r="H90" s="66">
        <v>0</v>
      </c>
      <c r="I90" s="66">
        <v>1107745</v>
      </c>
      <c r="J90" s="66">
        <v>812905</v>
      </c>
      <c r="K90" s="66">
        <v>7658916</v>
      </c>
      <c r="L90" s="283">
        <v>1.31069382387598</v>
      </c>
      <c r="M90" s="66">
        <v>147585</v>
      </c>
    </row>
    <row r="91" spans="1:13">
      <c r="A91" s="616"/>
      <c r="B91" s="616"/>
      <c r="C91" s="82" t="s">
        <v>279</v>
      </c>
      <c r="D91" s="66">
        <v>9740198</v>
      </c>
      <c r="E91" s="66">
        <v>0</v>
      </c>
      <c r="F91" s="66">
        <v>0</v>
      </c>
      <c r="G91" s="66">
        <v>160632</v>
      </c>
      <c r="H91" s="66">
        <v>0</v>
      </c>
      <c r="I91" s="66">
        <v>1107745</v>
      </c>
      <c r="J91" s="66">
        <v>812905</v>
      </c>
      <c r="K91" s="66">
        <v>7658916</v>
      </c>
      <c r="L91" s="283">
        <v>1.31069382387598</v>
      </c>
      <c r="M91" s="66">
        <v>147585</v>
      </c>
    </row>
    <row r="92" spans="1:13">
      <c r="A92" s="616"/>
      <c r="B92" s="616"/>
      <c r="C92" s="82" t="s">
        <v>285</v>
      </c>
      <c r="D92" s="66">
        <v>9740198</v>
      </c>
      <c r="E92" s="66">
        <v>0</v>
      </c>
      <c r="F92" s="66">
        <v>0</v>
      </c>
      <c r="G92" s="66">
        <v>160632</v>
      </c>
      <c r="H92" s="66">
        <v>0</v>
      </c>
      <c r="I92" s="66">
        <v>1107745</v>
      </c>
      <c r="J92" s="66">
        <v>812905</v>
      </c>
      <c r="K92" s="66">
        <v>7658916</v>
      </c>
      <c r="L92" s="283">
        <v>1.31069382387598</v>
      </c>
      <c r="M92" s="66">
        <v>147585</v>
      </c>
    </row>
    <row r="93" spans="1:13">
      <c r="A93" s="616"/>
      <c r="B93" s="616"/>
      <c r="C93" s="82" t="s">
        <v>291</v>
      </c>
      <c r="D93" s="66">
        <v>9740198</v>
      </c>
      <c r="E93" s="66">
        <v>0</v>
      </c>
      <c r="F93" s="66">
        <v>0</v>
      </c>
      <c r="G93" s="66">
        <v>161078</v>
      </c>
      <c r="H93" s="66">
        <v>0</v>
      </c>
      <c r="I93" s="66">
        <v>1107686</v>
      </c>
      <c r="J93" s="66">
        <v>812872</v>
      </c>
      <c r="K93" s="66">
        <v>7658562</v>
      </c>
      <c r="L93" s="283">
        <v>1.0474568493157601</v>
      </c>
      <c r="M93" s="66">
        <v>80007</v>
      </c>
    </row>
    <row r="94" spans="1:13">
      <c r="A94" s="616"/>
      <c r="B94" s="616"/>
      <c r="C94" s="82" t="s">
        <v>577</v>
      </c>
      <c r="D94" s="66">
        <v>9740198</v>
      </c>
      <c r="E94" s="66">
        <v>0</v>
      </c>
      <c r="F94" s="66">
        <v>0</v>
      </c>
      <c r="G94" s="66">
        <v>164876</v>
      </c>
      <c r="H94" s="66">
        <v>0</v>
      </c>
      <c r="I94" s="66">
        <v>1107380</v>
      </c>
      <c r="J94" s="66">
        <v>812631</v>
      </c>
      <c r="K94" s="66">
        <v>7655311</v>
      </c>
      <c r="L94" s="283">
        <v>1.0474568493157601</v>
      </c>
      <c r="M94" s="66">
        <v>44448</v>
      </c>
    </row>
    <row r="95" spans="1:13">
      <c r="A95" s="616"/>
      <c r="B95" s="616"/>
      <c r="C95" s="82" t="s">
        <v>579</v>
      </c>
      <c r="D95" s="66">
        <v>9740198</v>
      </c>
      <c r="E95" s="66">
        <v>0</v>
      </c>
      <c r="F95" s="66">
        <v>0</v>
      </c>
      <c r="G95" s="66">
        <v>161388</v>
      </c>
      <c r="H95" s="66">
        <v>0</v>
      </c>
      <c r="I95" s="66">
        <v>1107664</v>
      </c>
      <c r="J95" s="66">
        <v>812863</v>
      </c>
      <c r="K95" s="66">
        <v>7658283</v>
      </c>
      <c r="L95" s="283">
        <v>1.0474568493157601</v>
      </c>
      <c r="M95" s="66">
        <v>72782</v>
      </c>
    </row>
    <row r="96" spans="1:13">
      <c r="A96" s="616"/>
      <c r="B96" s="616"/>
      <c r="C96" s="82" t="s">
        <v>332</v>
      </c>
      <c r="D96" s="66">
        <v>9740198</v>
      </c>
      <c r="E96" s="66">
        <v>0</v>
      </c>
      <c r="F96" s="66">
        <v>0</v>
      </c>
      <c r="G96" s="66">
        <v>160600</v>
      </c>
      <c r="H96" s="66">
        <v>0</v>
      </c>
      <c r="I96" s="66">
        <v>1107736</v>
      </c>
      <c r="J96" s="66">
        <v>812913</v>
      </c>
      <c r="K96" s="66">
        <v>7658949</v>
      </c>
      <c r="L96" s="283">
        <v>1.0965561008584199</v>
      </c>
      <c r="M96" s="66">
        <v>148381</v>
      </c>
    </row>
    <row r="97" spans="1:13">
      <c r="A97" s="616"/>
      <c r="B97" s="616"/>
      <c r="C97" s="82" t="s">
        <v>584</v>
      </c>
      <c r="D97" s="66">
        <v>9740198</v>
      </c>
      <c r="E97" s="66">
        <v>0</v>
      </c>
      <c r="F97" s="66">
        <v>0</v>
      </c>
      <c r="G97" s="66">
        <v>160598</v>
      </c>
      <c r="H97" s="66">
        <v>0</v>
      </c>
      <c r="I97" s="66">
        <v>1107739</v>
      </c>
      <c r="J97" s="66">
        <v>812900</v>
      </c>
      <c r="K97" s="66">
        <v>7658961</v>
      </c>
      <c r="L97" s="283">
        <v>1.0965561008584199</v>
      </c>
      <c r="M97" s="66">
        <v>148469</v>
      </c>
    </row>
    <row r="98" spans="1:13">
      <c r="A98" s="616"/>
      <c r="B98" s="616"/>
      <c r="C98" s="82" t="s">
        <v>371</v>
      </c>
      <c r="D98" s="66">
        <v>9740198</v>
      </c>
      <c r="E98" s="66">
        <v>0</v>
      </c>
      <c r="F98" s="66">
        <v>0</v>
      </c>
      <c r="G98" s="66">
        <v>161688</v>
      </c>
      <c r="H98" s="66">
        <v>0</v>
      </c>
      <c r="I98" s="66">
        <v>1107679</v>
      </c>
      <c r="J98" s="66">
        <v>812814</v>
      </c>
      <c r="K98" s="66">
        <v>7658017</v>
      </c>
      <c r="L98" s="283">
        <v>1</v>
      </c>
      <c r="M98" s="66">
        <v>107763</v>
      </c>
    </row>
    <row r="99" spans="1:13">
      <c r="A99" s="616"/>
      <c r="B99" s="616"/>
      <c r="C99" s="82" t="s">
        <v>65</v>
      </c>
      <c r="D99" s="66">
        <v>9740198</v>
      </c>
      <c r="E99" s="66">
        <v>0</v>
      </c>
      <c r="F99" s="66">
        <v>0</v>
      </c>
      <c r="G99" s="66">
        <v>160609</v>
      </c>
      <c r="H99" s="66">
        <v>0</v>
      </c>
      <c r="I99" s="66">
        <v>1107729</v>
      </c>
      <c r="J99" s="66">
        <v>812908</v>
      </c>
      <c r="K99" s="66">
        <v>7658952</v>
      </c>
      <c r="L99" s="283">
        <v>1.3690340737165301</v>
      </c>
      <c r="M99" s="66">
        <v>146983</v>
      </c>
    </row>
    <row r="100" spans="1:13">
      <c r="A100" s="616"/>
      <c r="B100" s="616"/>
      <c r="C100" s="82" t="s">
        <v>379</v>
      </c>
      <c r="D100" s="66">
        <v>9740198</v>
      </c>
      <c r="E100" s="66">
        <v>0</v>
      </c>
      <c r="F100" s="66">
        <v>0</v>
      </c>
      <c r="G100" s="66">
        <v>161121</v>
      </c>
      <c r="H100" s="66">
        <v>0</v>
      </c>
      <c r="I100" s="66">
        <v>1107688</v>
      </c>
      <c r="J100" s="66">
        <v>812834</v>
      </c>
      <c r="K100" s="66">
        <v>7658555</v>
      </c>
      <c r="L100" s="283">
        <v>1.0965561008584199</v>
      </c>
      <c r="M100" s="66">
        <v>128749</v>
      </c>
    </row>
    <row r="101" spans="1:13">
      <c r="A101" s="616"/>
      <c r="B101" s="616"/>
      <c r="C101" s="82" t="s">
        <v>384</v>
      </c>
      <c r="D101" s="66">
        <v>9740198</v>
      </c>
      <c r="E101" s="66">
        <v>0</v>
      </c>
      <c r="F101" s="66">
        <v>0</v>
      </c>
      <c r="G101" s="66">
        <v>160519</v>
      </c>
      <c r="H101" s="66">
        <v>0</v>
      </c>
      <c r="I101" s="66">
        <v>1107722</v>
      </c>
      <c r="J101" s="66">
        <v>812920</v>
      </c>
      <c r="K101" s="66">
        <v>7659037</v>
      </c>
      <c r="L101" s="283">
        <v>1.0474568493157601</v>
      </c>
      <c r="M101" s="66">
        <v>140239</v>
      </c>
    </row>
    <row r="102" spans="1:13">
      <c r="A102" s="616"/>
      <c r="B102" s="616"/>
      <c r="C102" s="82" t="s">
        <v>391</v>
      </c>
      <c r="D102" s="66">
        <v>9740198</v>
      </c>
      <c r="E102" s="66">
        <v>0</v>
      </c>
      <c r="F102" s="66">
        <v>0</v>
      </c>
      <c r="G102" s="66">
        <v>160665</v>
      </c>
      <c r="H102" s="66">
        <v>0</v>
      </c>
      <c r="I102" s="66">
        <v>1107735</v>
      </c>
      <c r="J102" s="66">
        <v>812899</v>
      </c>
      <c r="K102" s="66">
        <v>7658899</v>
      </c>
      <c r="L102" s="283">
        <v>1.0965561008584199</v>
      </c>
      <c r="M102" s="66">
        <v>148531</v>
      </c>
    </row>
    <row r="103" spans="1:13" ht="13.75" customHeight="1">
      <c r="A103" s="616"/>
      <c r="B103" s="616"/>
      <c r="C103" s="82" t="s">
        <v>397</v>
      </c>
      <c r="D103" s="66">
        <v>9740198</v>
      </c>
      <c r="E103" s="66">
        <v>0</v>
      </c>
      <c r="F103" s="66">
        <v>0</v>
      </c>
      <c r="G103" s="66">
        <v>160527</v>
      </c>
      <c r="H103" s="66">
        <v>0</v>
      </c>
      <c r="I103" s="66">
        <v>1107755</v>
      </c>
      <c r="J103" s="66">
        <v>812927</v>
      </c>
      <c r="K103" s="66">
        <v>7658989</v>
      </c>
      <c r="L103" s="283">
        <v>1.0474568493157601</v>
      </c>
      <c r="M103" s="66">
        <v>141839</v>
      </c>
    </row>
    <row r="104" spans="1:13">
      <c r="A104" s="616"/>
      <c r="B104" s="616"/>
      <c r="C104" s="82" t="s">
        <v>407</v>
      </c>
      <c r="D104" s="66">
        <v>9740198</v>
      </c>
      <c r="E104" s="66">
        <v>0</v>
      </c>
      <c r="F104" s="66">
        <v>0</v>
      </c>
      <c r="G104" s="66">
        <v>161374</v>
      </c>
      <c r="H104" s="66">
        <v>0</v>
      </c>
      <c r="I104" s="66">
        <v>1107717</v>
      </c>
      <c r="J104" s="66">
        <v>812857</v>
      </c>
      <c r="K104" s="66">
        <v>7658250</v>
      </c>
      <c r="L104" s="283">
        <v>1.0965561008584199</v>
      </c>
      <c r="M104" s="66">
        <v>54646</v>
      </c>
    </row>
    <row r="105" spans="1:13">
      <c r="A105" s="616"/>
      <c r="B105" s="616"/>
      <c r="C105" s="82" t="s">
        <v>580</v>
      </c>
      <c r="D105" s="66">
        <v>9740198</v>
      </c>
      <c r="E105" s="66">
        <v>0</v>
      </c>
      <c r="F105" s="66">
        <v>0</v>
      </c>
      <c r="G105" s="66">
        <v>164876</v>
      </c>
      <c r="H105" s="66">
        <v>0</v>
      </c>
      <c r="I105" s="66">
        <v>1107380</v>
      </c>
      <c r="J105" s="66">
        <v>812631</v>
      </c>
      <c r="K105" s="66">
        <v>7655311</v>
      </c>
      <c r="L105" s="283">
        <v>1</v>
      </c>
      <c r="M105" s="66">
        <v>44448</v>
      </c>
    </row>
    <row r="106" spans="1:13">
      <c r="A106" s="616"/>
      <c r="B106" s="616"/>
      <c r="C106" s="82" t="s">
        <v>582</v>
      </c>
      <c r="D106" s="66">
        <v>9740198</v>
      </c>
      <c r="E106" s="66">
        <v>0</v>
      </c>
      <c r="F106" s="66">
        <v>0</v>
      </c>
      <c r="G106" s="66">
        <v>161388</v>
      </c>
      <c r="H106" s="66">
        <v>0</v>
      </c>
      <c r="I106" s="66">
        <v>1107664</v>
      </c>
      <c r="J106" s="66">
        <v>812863</v>
      </c>
      <c r="K106" s="66">
        <v>7658283</v>
      </c>
      <c r="L106" s="283">
        <v>1.0474568493157601</v>
      </c>
      <c r="M106" s="66">
        <v>72782</v>
      </c>
    </row>
    <row r="107" spans="1:13">
      <c r="A107" s="616"/>
      <c r="B107" s="616"/>
      <c r="C107" s="82" t="s">
        <v>422</v>
      </c>
      <c r="D107" s="66">
        <v>9740198</v>
      </c>
      <c r="E107" s="66">
        <v>0</v>
      </c>
      <c r="F107" s="66">
        <v>0</v>
      </c>
      <c r="G107" s="66">
        <v>163087</v>
      </c>
      <c r="H107" s="66">
        <v>0</v>
      </c>
      <c r="I107" s="66">
        <v>1107527</v>
      </c>
      <c r="J107" s="66">
        <v>812807</v>
      </c>
      <c r="K107" s="66">
        <v>7656777</v>
      </c>
      <c r="L107" s="283">
        <v>1.0474568493157601</v>
      </c>
      <c r="M107" s="66">
        <v>68631</v>
      </c>
    </row>
    <row r="108" spans="1:13">
      <c r="A108" s="616"/>
      <c r="B108" s="616"/>
      <c r="C108" s="82" t="s">
        <v>913</v>
      </c>
      <c r="D108" s="66">
        <v>9740198</v>
      </c>
      <c r="E108" s="66">
        <v>0</v>
      </c>
      <c r="F108" s="66">
        <v>0</v>
      </c>
      <c r="G108" s="66">
        <v>166792</v>
      </c>
      <c r="H108" s="66">
        <v>0</v>
      </c>
      <c r="I108" s="66">
        <v>1107302</v>
      </c>
      <c r="J108" s="66">
        <v>812370</v>
      </c>
      <c r="K108" s="66">
        <v>7653734</v>
      </c>
      <c r="L108" s="283">
        <v>1</v>
      </c>
      <c r="M108" s="66">
        <v>23366</v>
      </c>
    </row>
    <row r="109" spans="1:13">
      <c r="A109" s="616"/>
      <c r="B109" s="616"/>
      <c r="C109" s="82" t="s">
        <v>431</v>
      </c>
      <c r="D109" s="66">
        <v>9740198</v>
      </c>
      <c r="E109" s="66">
        <v>0</v>
      </c>
      <c r="F109" s="66">
        <v>0</v>
      </c>
      <c r="G109" s="66">
        <v>161377</v>
      </c>
      <c r="H109" s="66">
        <v>0</v>
      </c>
      <c r="I109" s="66">
        <v>1107688</v>
      </c>
      <c r="J109" s="66">
        <v>812868</v>
      </c>
      <c r="K109" s="66">
        <v>7658265</v>
      </c>
      <c r="L109" s="283">
        <v>1.0474568493157601</v>
      </c>
      <c r="M109" s="66">
        <v>68808</v>
      </c>
    </row>
    <row r="110" spans="1:13">
      <c r="A110" s="616"/>
      <c r="B110" s="616"/>
      <c r="C110" s="82" t="s">
        <v>454</v>
      </c>
      <c r="D110" s="66">
        <v>9740198</v>
      </c>
      <c r="E110" s="66">
        <v>0</v>
      </c>
      <c r="F110" s="66">
        <v>0</v>
      </c>
      <c r="G110" s="66">
        <v>160605</v>
      </c>
      <c r="H110" s="66">
        <v>0</v>
      </c>
      <c r="I110" s="66">
        <v>1107747</v>
      </c>
      <c r="J110" s="66">
        <v>812901</v>
      </c>
      <c r="K110" s="66">
        <v>7658945</v>
      </c>
      <c r="L110" s="283">
        <v>1.14736027705937</v>
      </c>
      <c r="M110" s="66">
        <v>148312</v>
      </c>
    </row>
    <row r="111" spans="1:13">
      <c r="A111" s="286"/>
      <c r="B111" s="287"/>
      <c r="C111" s="288"/>
      <c r="D111" s="289"/>
      <c r="E111" s="289"/>
      <c r="F111" s="289"/>
      <c r="G111" s="289"/>
      <c r="H111" s="289"/>
      <c r="I111" s="289"/>
      <c r="J111" s="289"/>
      <c r="K111" s="289"/>
      <c r="L111" s="290"/>
      <c r="M111" s="289"/>
    </row>
    <row r="112" spans="1:13">
      <c r="A112" s="649" t="s">
        <v>914</v>
      </c>
      <c r="B112" s="649"/>
      <c r="C112" s="82" t="s">
        <v>112</v>
      </c>
      <c r="D112" s="66">
        <v>9744772</v>
      </c>
      <c r="E112" s="66">
        <v>510409</v>
      </c>
      <c r="F112" s="66">
        <v>0</v>
      </c>
      <c r="G112" s="66">
        <v>1369610</v>
      </c>
      <c r="H112" s="66">
        <v>12679</v>
      </c>
      <c r="I112" s="66">
        <v>210606</v>
      </c>
      <c r="J112" s="66">
        <v>0</v>
      </c>
      <c r="K112" s="66">
        <v>7641468</v>
      </c>
      <c r="L112" s="283">
        <v>1.39295012998665</v>
      </c>
      <c r="M112" s="66">
        <v>542901</v>
      </c>
    </row>
    <row r="113" spans="1:13">
      <c r="A113" s="649" t="s">
        <v>914</v>
      </c>
      <c r="B113" s="649"/>
      <c r="C113" s="82" t="s">
        <v>137</v>
      </c>
      <c r="D113" s="66">
        <v>13823837</v>
      </c>
      <c r="E113" s="66">
        <v>0</v>
      </c>
      <c r="F113" s="66">
        <v>0</v>
      </c>
      <c r="G113" s="66">
        <v>5779975</v>
      </c>
      <c r="H113" s="66">
        <v>104698</v>
      </c>
      <c r="I113" s="66">
        <v>231190</v>
      </c>
      <c r="J113" s="66">
        <v>0</v>
      </c>
      <c r="K113" s="66">
        <v>7707974</v>
      </c>
      <c r="L113" s="283">
        <v>1.6940870541423001</v>
      </c>
      <c r="M113" s="66">
        <v>397338</v>
      </c>
    </row>
    <row r="114" spans="1:13">
      <c r="A114" s="649" t="s">
        <v>915</v>
      </c>
      <c r="B114" s="649"/>
      <c r="C114" s="82" t="s">
        <v>171</v>
      </c>
      <c r="D114" s="66">
        <v>2434616</v>
      </c>
      <c r="E114" s="66">
        <v>0</v>
      </c>
      <c r="F114" s="66">
        <v>0</v>
      </c>
      <c r="G114" s="66">
        <v>0</v>
      </c>
      <c r="H114" s="66">
        <v>41174</v>
      </c>
      <c r="I114" s="66">
        <v>0</v>
      </c>
      <c r="J114" s="66">
        <v>44</v>
      </c>
      <c r="K114" s="66">
        <v>2393398</v>
      </c>
      <c r="L114" s="283">
        <v>1.0527762737850299</v>
      </c>
      <c r="M114" s="66">
        <v>24114</v>
      </c>
    </row>
    <row r="115" spans="1:13">
      <c r="A115" s="649" t="s">
        <v>916</v>
      </c>
      <c r="B115" s="649"/>
      <c r="C115" s="82" t="s">
        <v>171</v>
      </c>
      <c r="D115" s="66">
        <v>11983806</v>
      </c>
      <c r="E115" s="66">
        <v>0</v>
      </c>
      <c r="F115" s="66">
        <v>0</v>
      </c>
      <c r="G115" s="66">
        <v>4224276</v>
      </c>
      <c r="H115" s="66">
        <v>42899</v>
      </c>
      <c r="I115" s="66">
        <v>0</v>
      </c>
      <c r="J115" s="66">
        <v>3</v>
      </c>
      <c r="K115" s="66">
        <v>7716628</v>
      </c>
      <c r="L115" s="283">
        <v>1.1525369979337701</v>
      </c>
      <c r="M115" s="66">
        <v>262990</v>
      </c>
    </row>
    <row r="116" spans="1:13">
      <c r="A116" s="649" t="s">
        <v>917</v>
      </c>
      <c r="B116" s="649"/>
      <c r="C116" s="82" t="s">
        <v>171</v>
      </c>
      <c r="D116" s="66">
        <v>13839364</v>
      </c>
      <c r="E116" s="66">
        <v>500871</v>
      </c>
      <c r="F116" s="66">
        <v>0</v>
      </c>
      <c r="G116" s="66">
        <v>5618141</v>
      </c>
      <c r="H116" s="66">
        <v>12943</v>
      </c>
      <c r="I116" s="66">
        <v>0</v>
      </c>
      <c r="J116" s="66">
        <v>3</v>
      </c>
      <c r="K116" s="66">
        <v>7707406</v>
      </c>
      <c r="L116" s="283">
        <v>1.0620114065725901</v>
      </c>
      <c r="M116" s="66">
        <v>138400</v>
      </c>
    </row>
    <row r="117" spans="1:13">
      <c r="A117" s="649" t="s">
        <v>918</v>
      </c>
      <c r="B117" s="649"/>
      <c r="C117" s="82" t="s">
        <v>171</v>
      </c>
      <c r="D117" s="66">
        <v>11182011</v>
      </c>
      <c r="E117" s="66">
        <v>0</v>
      </c>
      <c r="F117" s="66">
        <v>0</v>
      </c>
      <c r="G117" s="66">
        <v>3479448</v>
      </c>
      <c r="H117" s="66">
        <v>5543</v>
      </c>
      <c r="I117" s="66">
        <v>0</v>
      </c>
      <c r="J117" s="66">
        <v>276</v>
      </c>
      <c r="K117" s="66">
        <v>7696744</v>
      </c>
      <c r="L117" s="283">
        <v>1.2407409636123099</v>
      </c>
      <c r="M117" s="66">
        <v>323386</v>
      </c>
    </row>
    <row r="118" spans="1:13">
      <c r="A118" s="649" t="s">
        <v>919</v>
      </c>
      <c r="B118" s="649"/>
      <c r="C118" s="82" t="s">
        <v>171</v>
      </c>
      <c r="D118" s="66">
        <v>11277744</v>
      </c>
      <c r="E118" s="66">
        <v>0</v>
      </c>
      <c r="F118" s="66">
        <v>0</v>
      </c>
      <c r="G118" s="66">
        <v>3575145</v>
      </c>
      <c r="H118" s="66">
        <v>3215</v>
      </c>
      <c r="I118" s="66">
        <v>0</v>
      </c>
      <c r="J118" s="66">
        <v>291</v>
      </c>
      <c r="K118" s="66">
        <v>7699093</v>
      </c>
      <c r="L118" s="283">
        <v>1.0983000785608901</v>
      </c>
      <c r="M118" s="66">
        <v>175835</v>
      </c>
    </row>
    <row r="119" spans="1:13">
      <c r="A119" s="649" t="s">
        <v>920</v>
      </c>
      <c r="B119" s="649"/>
      <c r="C119" s="82" t="s">
        <v>921</v>
      </c>
      <c r="D119" s="66">
        <v>7490439</v>
      </c>
      <c r="E119" s="66">
        <v>0</v>
      </c>
      <c r="F119" s="66">
        <v>0</v>
      </c>
      <c r="G119" s="66">
        <v>181924</v>
      </c>
      <c r="H119" s="66">
        <v>0</v>
      </c>
      <c r="I119" s="66">
        <v>0</v>
      </c>
      <c r="J119" s="66">
        <v>0</v>
      </c>
      <c r="K119" s="66">
        <v>7308515</v>
      </c>
      <c r="L119" s="283">
        <v>1.0556861815129399</v>
      </c>
      <c r="M119" s="66">
        <v>46568</v>
      </c>
    </row>
    <row r="120" spans="1:13">
      <c r="A120" s="649" t="s">
        <v>922</v>
      </c>
      <c r="B120" s="649"/>
      <c r="C120" s="82" t="s">
        <v>33</v>
      </c>
      <c r="D120" s="66">
        <v>21058984</v>
      </c>
      <c r="E120" s="66">
        <v>0</v>
      </c>
      <c r="F120" s="66">
        <v>0</v>
      </c>
      <c r="G120" s="66">
        <v>12472409</v>
      </c>
      <c r="H120" s="66">
        <v>970</v>
      </c>
      <c r="I120" s="66">
        <v>487788</v>
      </c>
      <c r="J120" s="66">
        <v>418953</v>
      </c>
      <c r="K120" s="66">
        <v>7678864</v>
      </c>
      <c r="L120" s="283">
        <v>1.17394822559858</v>
      </c>
      <c r="M120" s="66">
        <v>487511</v>
      </c>
    </row>
    <row r="121" spans="1:13">
      <c r="A121" s="649" t="s">
        <v>923</v>
      </c>
      <c r="B121" s="649"/>
      <c r="C121" s="82" t="s">
        <v>33</v>
      </c>
      <c r="D121" s="66">
        <v>10700844</v>
      </c>
      <c r="E121" s="66">
        <v>0</v>
      </c>
      <c r="F121" s="66">
        <v>0</v>
      </c>
      <c r="G121" s="66">
        <v>2852031</v>
      </c>
      <c r="H121" s="66">
        <v>0</v>
      </c>
      <c r="I121" s="66">
        <v>0</v>
      </c>
      <c r="J121" s="66">
        <v>0</v>
      </c>
      <c r="K121" s="66">
        <v>7848813</v>
      </c>
      <c r="L121" s="283">
        <v>1.07068595300734</v>
      </c>
      <c r="M121" s="66">
        <v>762917</v>
      </c>
    </row>
    <row r="122" spans="1:13">
      <c r="A122" s="649" t="s">
        <v>924</v>
      </c>
      <c r="B122" s="649"/>
      <c r="C122" s="82" t="s">
        <v>193</v>
      </c>
      <c r="D122" s="66">
        <v>10641224</v>
      </c>
      <c r="E122" s="66">
        <v>2363900</v>
      </c>
      <c r="F122" s="66">
        <v>0</v>
      </c>
      <c r="G122" s="66">
        <v>905671</v>
      </c>
      <c r="H122" s="66">
        <v>27185</v>
      </c>
      <c r="I122" s="66">
        <v>0</v>
      </c>
      <c r="J122" s="66">
        <v>6</v>
      </c>
      <c r="K122" s="66">
        <v>7344462</v>
      </c>
      <c r="L122" s="283">
        <v>1.0600622010389</v>
      </c>
      <c r="M122" s="66">
        <v>14477</v>
      </c>
    </row>
    <row r="123" spans="1:13">
      <c r="A123" s="649" t="s">
        <v>925</v>
      </c>
      <c r="B123" s="649"/>
      <c r="C123" s="82" t="s">
        <v>193</v>
      </c>
      <c r="D123" s="66">
        <v>8219102</v>
      </c>
      <c r="E123" s="66">
        <v>1563763</v>
      </c>
      <c r="F123" s="66">
        <v>0</v>
      </c>
      <c r="G123" s="66">
        <v>44559</v>
      </c>
      <c r="H123" s="66">
        <v>1858</v>
      </c>
      <c r="I123" s="66">
        <v>0</v>
      </c>
      <c r="J123" s="66">
        <v>0</v>
      </c>
      <c r="K123" s="66">
        <v>6608922</v>
      </c>
      <c r="L123" s="283">
        <v>1.2258226865876201</v>
      </c>
      <c r="M123" s="66">
        <v>72517</v>
      </c>
    </row>
    <row r="124" spans="1:13">
      <c r="A124" s="649" t="s">
        <v>926</v>
      </c>
      <c r="B124" s="649"/>
      <c r="C124" s="82" t="s">
        <v>198</v>
      </c>
      <c r="D124" s="66">
        <v>39135898</v>
      </c>
      <c r="E124" s="66">
        <v>0</v>
      </c>
      <c r="F124" s="66">
        <v>1821</v>
      </c>
      <c r="G124" s="66">
        <v>25099320</v>
      </c>
      <c r="H124" s="66">
        <v>104880</v>
      </c>
      <c r="I124" s="66">
        <v>1684709</v>
      </c>
      <c r="J124" s="66">
        <v>5150696</v>
      </c>
      <c r="K124" s="66">
        <v>7094472</v>
      </c>
      <c r="L124" s="283">
        <v>1.37081611035285</v>
      </c>
      <c r="M124" s="66">
        <v>1800785</v>
      </c>
    </row>
    <row r="125" spans="1:13">
      <c r="A125" s="649" t="s">
        <v>927</v>
      </c>
      <c r="B125" s="649"/>
      <c r="C125" s="82" t="s">
        <v>198</v>
      </c>
      <c r="D125" s="66">
        <v>37327142</v>
      </c>
      <c r="E125" s="66">
        <v>0</v>
      </c>
      <c r="F125" s="66">
        <v>1304</v>
      </c>
      <c r="G125" s="66">
        <v>21349947</v>
      </c>
      <c r="H125" s="66">
        <v>353759</v>
      </c>
      <c r="I125" s="66">
        <v>1564082</v>
      </c>
      <c r="J125" s="66">
        <v>5504695</v>
      </c>
      <c r="K125" s="66">
        <v>8553355</v>
      </c>
      <c r="L125" s="283">
        <v>1.2214784322443399</v>
      </c>
      <c r="M125" s="66">
        <v>1369372</v>
      </c>
    </row>
    <row r="126" spans="1:13">
      <c r="A126" s="649" t="s">
        <v>928</v>
      </c>
      <c r="B126" s="649"/>
      <c r="C126" s="82" t="s">
        <v>218</v>
      </c>
      <c r="D126" s="66">
        <v>6774224</v>
      </c>
      <c r="E126" s="66">
        <v>0</v>
      </c>
      <c r="F126" s="66">
        <v>0</v>
      </c>
      <c r="G126" s="66">
        <v>0</v>
      </c>
      <c r="H126" s="66">
        <v>162</v>
      </c>
      <c r="I126" s="66">
        <v>0</v>
      </c>
      <c r="J126" s="66">
        <v>2</v>
      </c>
      <c r="K126" s="66">
        <v>6774060</v>
      </c>
      <c r="L126" s="283">
        <v>1.32162184675872</v>
      </c>
      <c r="M126" s="66">
        <v>225534</v>
      </c>
    </row>
    <row r="127" spans="1:13">
      <c r="A127" s="649" t="s">
        <v>929</v>
      </c>
      <c r="B127" s="649"/>
      <c r="C127" s="82" t="s">
        <v>221</v>
      </c>
      <c r="D127" s="66">
        <v>7224089</v>
      </c>
      <c r="E127" s="66">
        <v>0</v>
      </c>
      <c r="F127" s="66">
        <v>0</v>
      </c>
      <c r="G127" s="66">
        <v>147554</v>
      </c>
      <c r="H127" s="66">
        <v>2051</v>
      </c>
      <c r="I127" s="66">
        <v>0</v>
      </c>
      <c r="J127" s="66">
        <v>0</v>
      </c>
      <c r="K127" s="66">
        <v>7074484</v>
      </c>
      <c r="L127" s="283">
        <v>1.1380867707394</v>
      </c>
      <c r="M127" s="66">
        <v>46350</v>
      </c>
    </row>
    <row r="128" spans="1:13">
      <c r="A128" s="649" t="s">
        <v>930</v>
      </c>
      <c r="B128" s="649"/>
      <c r="C128" s="82" t="s">
        <v>224</v>
      </c>
      <c r="D128" s="66">
        <v>7608183</v>
      </c>
      <c r="E128" s="66">
        <v>0</v>
      </c>
      <c r="F128" s="66">
        <v>0</v>
      </c>
      <c r="G128" s="66">
        <v>145777</v>
      </c>
      <c r="H128" s="66">
        <v>818</v>
      </c>
      <c r="I128" s="66">
        <v>0</v>
      </c>
      <c r="J128" s="66">
        <v>6268</v>
      </c>
      <c r="K128" s="66">
        <v>7455320</v>
      </c>
      <c r="L128" s="283">
        <v>1.38334321987582</v>
      </c>
      <c r="M128" s="66">
        <v>413466</v>
      </c>
    </row>
    <row r="129" spans="1:13">
      <c r="A129" s="649" t="s">
        <v>931</v>
      </c>
      <c r="B129" s="649"/>
      <c r="C129" s="82" t="s">
        <v>224</v>
      </c>
      <c r="D129" s="66">
        <v>13413244</v>
      </c>
      <c r="E129" s="66">
        <v>0</v>
      </c>
      <c r="F129" s="66">
        <v>0</v>
      </c>
      <c r="G129" s="66">
        <v>4885922</v>
      </c>
      <c r="H129" s="66">
        <v>3927</v>
      </c>
      <c r="I129" s="66">
        <v>712763</v>
      </c>
      <c r="J129" s="66">
        <v>516130</v>
      </c>
      <c r="K129" s="66">
        <v>7294502</v>
      </c>
      <c r="L129" s="283">
        <v>1.26881535347742</v>
      </c>
      <c r="M129" s="66">
        <v>51710</v>
      </c>
    </row>
    <row r="130" spans="1:13">
      <c r="A130" s="649" t="s">
        <v>932</v>
      </c>
      <c r="B130" s="649"/>
      <c r="C130" s="82" t="s">
        <v>234</v>
      </c>
      <c r="D130" s="66">
        <v>46150908</v>
      </c>
      <c r="E130" s="66">
        <v>0</v>
      </c>
      <c r="F130" s="66">
        <v>12221</v>
      </c>
      <c r="G130" s="66">
        <v>36121290</v>
      </c>
      <c r="H130" s="66">
        <v>11425</v>
      </c>
      <c r="I130" s="66">
        <v>1312795</v>
      </c>
      <c r="J130" s="66">
        <v>1019383</v>
      </c>
      <c r="K130" s="66">
        <v>7673794</v>
      </c>
      <c r="L130" s="283">
        <v>1.9120003086174899</v>
      </c>
      <c r="M130" s="66">
        <v>1244580</v>
      </c>
    </row>
    <row r="131" spans="1:13">
      <c r="A131" s="649" t="s">
        <v>933</v>
      </c>
      <c r="B131" s="649"/>
      <c r="C131" s="82" t="s">
        <v>234</v>
      </c>
      <c r="D131" s="66">
        <v>36588494</v>
      </c>
      <c r="E131" s="66">
        <v>0</v>
      </c>
      <c r="F131" s="66">
        <v>12221</v>
      </c>
      <c r="G131" s="66">
        <v>26637322</v>
      </c>
      <c r="H131" s="66">
        <v>15070</v>
      </c>
      <c r="I131" s="66">
        <v>1262619</v>
      </c>
      <c r="J131" s="66">
        <v>1004697</v>
      </c>
      <c r="K131" s="66">
        <v>7656565</v>
      </c>
      <c r="L131" s="283">
        <v>1.7888151015142499</v>
      </c>
      <c r="M131" s="66">
        <v>888227</v>
      </c>
    </row>
    <row r="132" spans="1:13">
      <c r="A132" s="649" t="s">
        <v>934</v>
      </c>
      <c r="B132" s="649"/>
      <c r="C132" s="82" t="s">
        <v>234</v>
      </c>
      <c r="D132" s="66">
        <v>8860995</v>
      </c>
      <c r="E132" s="66">
        <v>1726698</v>
      </c>
      <c r="F132" s="66">
        <v>0</v>
      </c>
      <c r="G132" s="66">
        <v>140360</v>
      </c>
      <c r="H132" s="66">
        <v>3117</v>
      </c>
      <c r="I132" s="66">
        <v>0</v>
      </c>
      <c r="J132" s="66">
        <v>0</v>
      </c>
      <c r="K132" s="66">
        <v>6990820</v>
      </c>
      <c r="L132" s="283">
        <v>1.5909933029340999</v>
      </c>
      <c r="M132" s="66">
        <v>325634</v>
      </c>
    </row>
    <row r="133" spans="1:13">
      <c r="A133" s="649" t="s">
        <v>932</v>
      </c>
      <c r="B133" s="649"/>
      <c r="C133" s="82" t="s">
        <v>245</v>
      </c>
      <c r="D133" s="66">
        <v>47006483</v>
      </c>
      <c r="E133" s="66">
        <v>0</v>
      </c>
      <c r="F133" s="66">
        <v>12241</v>
      </c>
      <c r="G133" s="66">
        <v>35989225</v>
      </c>
      <c r="H133" s="66">
        <v>11325</v>
      </c>
      <c r="I133" s="66">
        <v>2295053</v>
      </c>
      <c r="J133" s="66">
        <v>1020557</v>
      </c>
      <c r="K133" s="66">
        <v>7678082</v>
      </c>
      <c r="L133" s="283">
        <v>1.44801439470069</v>
      </c>
      <c r="M133" s="66">
        <v>1231289</v>
      </c>
    </row>
    <row r="134" spans="1:13">
      <c r="A134" s="649" t="s">
        <v>933</v>
      </c>
      <c r="B134" s="649"/>
      <c r="C134" s="82" t="s">
        <v>245</v>
      </c>
      <c r="D134" s="66">
        <v>36864579</v>
      </c>
      <c r="E134" s="66">
        <v>0</v>
      </c>
      <c r="F134" s="66">
        <v>12241</v>
      </c>
      <c r="G134" s="66">
        <v>25924272</v>
      </c>
      <c r="H134" s="66">
        <v>15655</v>
      </c>
      <c r="I134" s="66">
        <v>2244789</v>
      </c>
      <c r="J134" s="66">
        <v>1005205</v>
      </c>
      <c r="K134" s="66">
        <v>7662417</v>
      </c>
      <c r="L134" s="283">
        <v>1.38693945714911</v>
      </c>
      <c r="M134" s="66">
        <v>842660</v>
      </c>
    </row>
    <row r="135" spans="1:13">
      <c r="A135" s="649" t="s">
        <v>934</v>
      </c>
      <c r="B135" s="649"/>
      <c r="C135" s="82" t="s">
        <v>245</v>
      </c>
      <c r="D135" s="66">
        <v>8860985</v>
      </c>
      <c r="E135" s="66">
        <v>1726696</v>
      </c>
      <c r="F135" s="66">
        <v>0</v>
      </c>
      <c r="G135" s="66">
        <v>140358</v>
      </c>
      <c r="H135" s="66">
        <v>3133</v>
      </c>
      <c r="I135" s="66">
        <v>0</v>
      </c>
      <c r="J135" s="66">
        <v>0</v>
      </c>
      <c r="K135" s="66">
        <v>6990798</v>
      </c>
      <c r="L135" s="283">
        <v>1.3642911613840301</v>
      </c>
      <c r="M135" s="66">
        <v>355197</v>
      </c>
    </row>
    <row r="136" spans="1:13">
      <c r="A136" s="649" t="s">
        <v>932</v>
      </c>
      <c r="B136" s="649"/>
      <c r="C136" s="82" t="s">
        <v>251</v>
      </c>
      <c r="D136" s="66">
        <v>39962894</v>
      </c>
      <c r="E136" s="66">
        <v>0</v>
      </c>
      <c r="F136" s="66">
        <v>11822</v>
      </c>
      <c r="G136" s="66">
        <v>30079942</v>
      </c>
      <c r="H136" s="66">
        <v>8636</v>
      </c>
      <c r="I136" s="66">
        <v>1226394</v>
      </c>
      <c r="J136" s="66">
        <v>960577</v>
      </c>
      <c r="K136" s="66">
        <v>7675523</v>
      </c>
      <c r="L136" s="283">
        <v>1.4418089196025901</v>
      </c>
      <c r="M136" s="66">
        <v>926571</v>
      </c>
    </row>
    <row r="137" spans="1:13">
      <c r="A137" s="649" t="s">
        <v>933</v>
      </c>
      <c r="B137" s="649"/>
      <c r="C137" s="82" t="s">
        <v>251</v>
      </c>
      <c r="D137" s="66">
        <v>29887578</v>
      </c>
      <c r="E137" s="66">
        <v>0</v>
      </c>
      <c r="F137" s="66">
        <v>11822</v>
      </c>
      <c r="G137" s="66">
        <v>20048664</v>
      </c>
      <c r="H137" s="66">
        <v>8292</v>
      </c>
      <c r="I137" s="66">
        <v>1214198</v>
      </c>
      <c r="J137" s="66">
        <v>949128</v>
      </c>
      <c r="K137" s="66">
        <v>7655474</v>
      </c>
      <c r="L137" s="283">
        <v>1.39295012998665</v>
      </c>
      <c r="M137" s="66">
        <v>570286</v>
      </c>
    </row>
    <row r="138" spans="1:13">
      <c r="A138" s="649" t="s">
        <v>934</v>
      </c>
      <c r="B138" s="649"/>
      <c r="C138" s="82" t="s">
        <v>258</v>
      </c>
      <c r="D138" s="66">
        <v>46513217</v>
      </c>
      <c r="E138" s="66">
        <v>0</v>
      </c>
      <c r="F138" s="66">
        <v>12205</v>
      </c>
      <c r="G138" s="66">
        <v>36484327</v>
      </c>
      <c r="H138" s="66">
        <v>11281</v>
      </c>
      <c r="I138" s="66">
        <v>1312506</v>
      </c>
      <c r="J138" s="66">
        <v>1018814</v>
      </c>
      <c r="K138" s="66">
        <v>7674084</v>
      </c>
      <c r="L138" s="283">
        <v>1.52423596541409</v>
      </c>
      <c r="M138" s="66">
        <v>1320016</v>
      </c>
    </row>
    <row r="139" spans="1:13">
      <c r="A139" s="649" t="s">
        <v>933</v>
      </c>
      <c r="B139" s="649"/>
      <c r="C139" s="82" t="s">
        <v>258</v>
      </c>
      <c r="D139" s="66">
        <v>36871085</v>
      </c>
      <c r="E139" s="66">
        <v>0</v>
      </c>
      <c r="F139" s="66">
        <v>12205</v>
      </c>
      <c r="G139" s="66">
        <v>26924046</v>
      </c>
      <c r="H139" s="66">
        <v>14816</v>
      </c>
      <c r="I139" s="66">
        <v>1261769</v>
      </c>
      <c r="J139" s="66">
        <v>1003462</v>
      </c>
      <c r="K139" s="66">
        <v>7654787</v>
      </c>
      <c r="L139" s="283">
        <v>1.46049185006275</v>
      </c>
      <c r="M139" s="66">
        <v>930672</v>
      </c>
    </row>
    <row r="140" spans="1:13">
      <c r="A140" s="649" t="s">
        <v>934</v>
      </c>
      <c r="B140" s="649"/>
      <c r="C140" s="82" t="s">
        <v>258</v>
      </c>
      <c r="D140" s="66">
        <v>8860979</v>
      </c>
      <c r="E140" s="66">
        <v>1726694</v>
      </c>
      <c r="F140" s="66">
        <v>0</v>
      </c>
      <c r="G140" s="66">
        <v>140359</v>
      </c>
      <c r="H140" s="66">
        <v>3131</v>
      </c>
      <c r="I140" s="66">
        <v>0</v>
      </c>
      <c r="J140" s="66">
        <v>0</v>
      </c>
      <c r="K140" s="66">
        <v>6990795</v>
      </c>
      <c r="L140" s="283">
        <v>1.38934118094309</v>
      </c>
      <c r="M140" s="66">
        <v>355858</v>
      </c>
    </row>
    <row r="141" spans="1:13">
      <c r="A141" s="649" t="s">
        <v>932</v>
      </c>
      <c r="B141" s="649"/>
      <c r="C141" s="82" t="s">
        <v>264</v>
      </c>
      <c r="D141" s="66">
        <v>47196261</v>
      </c>
      <c r="E141" s="66">
        <v>0</v>
      </c>
      <c r="F141" s="66">
        <v>12229</v>
      </c>
      <c r="G141" s="66">
        <v>36175862</v>
      </c>
      <c r="H141" s="66">
        <v>11343</v>
      </c>
      <c r="I141" s="66">
        <v>2295183</v>
      </c>
      <c r="J141" s="66">
        <v>1024507</v>
      </c>
      <c r="K141" s="66">
        <v>7677137</v>
      </c>
      <c r="L141" s="283">
        <v>1.7813628105989501</v>
      </c>
      <c r="M141" s="66">
        <v>1253277</v>
      </c>
    </row>
    <row r="142" spans="1:13">
      <c r="A142" s="649" t="s">
        <v>933</v>
      </c>
      <c r="B142" s="649"/>
      <c r="C142" s="82" t="s">
        <v>264</v>
      </c>
      <c r="D142" s="66">
        <v>37005452</v>
      </c>
      <c r="E142" s="66">
        <v>0</v>
      </c>
      <c r="F142" s="66">
        <v>12229</v>
      </c>
      <c r="G142" s="66">
        <v>26058778</v>
      </c>
      <c r="H142" s="66">
        <v>15524</v>
      </c>
      <c r="I142" s="66">
        <v>2244854</v>
      </c>
      <c r="J142" s="66">
        <v>1013307</v>
      </c>
      <c r="K142" s="66">
        <v>7660760</v>
      </c>
      <c r="L142" s="283">
        <v>1.6799174840883599</v>
      </c>
      <c r="M142" s="66">
        <v>864240</v>
      </c>
    </row>
    <row r="143" spans="1:13">
      <c r="A143" s="649" t="s">
        <v>934</v>
      </c>
      <c r="B143" s="649"/>
      <c r="C143" s="82" t="s">
        <v>264</v>
      </c>
      <c r="D143" s="66">
        <v>8860988</v>
      </c>
      <c r="E143" s="66">
        <v>1726699</v>
      </c>
      <c r="F143" s="66">
        <v>0</v>
      </c>
      <c r="G143" s="66">
        <v>140361</v>
      </c>
      <c r="H143" s="66">
        <v>3140</v>
      </c>
      <c r="I143" s="66">
        <v>0</v>
      </c>
      <c r="J143" s="66">
        <v>0</v>
      </c>
      <c r="K143" s="66">
        <v>6990788</v>
      </c>
      <c r="L143" s="283">
        <v>1.53464932840337</v>
      </c>
      <c r="M143" s="66">
        <v>355577</v>
      </c>
    </row>
    <row r="144" spans="1:13">
      <c r="A144" s="649" t="s">
        <v>935</v>
      </c>
      <c r="B144" s="649"/>
      <c r="C144" s="82" t="s">
        <v>269</v>
      </c>
      <c r="D144" s="66">
        <v>7160657</v>
      </c>
      <c r="E144" s="66">
        <v>0</v>
      </c>
      <c r="F144" s="66">
        <v>0</v>
      </c>
      <c r="G144" s="66">
        <v>1223</v>
      </c>
      <c r="H144" s="66">
        <v>1</v>
      </c>
      <c r="I144" s="66">
        <v>0</v>
      </c>
      <c r="J144" s="66">
        <v>16</v>
      </c>
      <c r="K144" s="66">
        <v>7159417</v>
      </c>
      <c r="L144" s="283">
        <v>1.8734680022204999</v>
      </c>
      <c r="M144" s="66">
        <v>757601</v>
      </c>
    </row>
    <row r="145" spans="1:13">
      <c r="A145" s="649" t="s">
        <v>936</v>
      </c>
      <c r="B145" s="649"/>
      <c r="C145" s="82" t="s">
        <v>269</v>
      </c>
      <c r="D145" s="66">
        <v>7476460</v>
      </c>
      <c r="E145" s="66">
        <v>0</v>
      </c>
      <c r="F145" s="66">
        <v>0</v>
      </c>
      <c r="G145" s="66">
        <v>175839</v>
      </c>
      <c r="H145" s="66">
        <v>18275</v>
      </c>
      <c r="I145" s="66">
        <v>0</v>
      </c>
      <c r="J145" s="66">
        <v>2225</v>
      </c>
      <c r="K145" s="66">
        <v>7280121</v>
      </c>
      <c r="L145" s="283">
        <v>1.38693945714911</v>
      </c>
      <c r="M145" s="66">
        <v>299024</v>
      </c>
    </row>
    <row r="146" spans="1:13">
      <c r="A146" s="649" t="s">
        <v>935</v>
      </c>
      <c r="B146" s="649"/>
      <c r="C146" s="82" t="s">
        <v>279</v>
      </c>
      <c r="D146" s="66">
        <v>7088842</v>
      </c>
      <c r="E146" s="66">
        <v>0</v>
      </c>
      <c r="F146" s="66">
        <v>0</v>
      </c>
      <c r="G146" s="66">
        <v>1111</v>
      </c>
      <c r="H146" s="66">
        <v>1</v>
      </c>
      <c r="I146" s="66">
        <v>0</v>
      </c>
      <c r="J146" s="66">
        <v>16</v>
      </c>
      <c r="K146" s="66">
        <v>7087714</v>
      </c>
      <c r="L146" s="283">
        <v>1.7724571598288199</v>
      </c>
      <c r="M146" s="66">
        <v>745820</v>
      </c>
    </row>
    <row r="147" spans="1:13">
      <c r="A147" s="649" t="s">
        <v>936</v>
      </c>
      <c r="B147" s="649"/>
      <c r="C147" s="82" t="s">
        <v>279</v>
      </c>
      <c r="D147" s="66">
        <v>7359508</v>
      </c>
      <c r="E147" s="66">
        <v>0</v>
      </c>
      <c r="F147" s="66">
        <v>0</v>
      </c>
      <c r="G147" s="66">
        <v>156204</v>
      </c>
      <c r="H147" s="66">
        <v>13164</v>
      </c>
      <c r="I147" s="66">
        <v>0</v>
      </c>
      <c r="J147" s="66">
        <v>2006</v>
      </c>
      <c r="K147" s="66">
        <v>7188134</v>
      </c>
      <c r="L147" s="283">
        <v>1.31413694645375</v>
      </c>
      <c r="M147" s="66">
        <v>287245</v>
      </c>
    </row>
    <row r="148" spans="1:13">
      <c r="A148" s="649" t="s">
        <v>935</v>
      </c>
      <c r="B148" s="649"/>
      <c r="C148" s="82" t="s">
        <v>285</v>
      </c>
      <c r="D148" s="66">
        <v>7088121</v>
      </c>
      <c r="E148" s="66">
        <v>0</v>
      </c>
      <c r="F148" s="66">
        <v>0</v>
      </c>
      <c r="G148" s="66">
        <v>1109</v>
      </c>
      <c r="H148" s="66">
        <v>1</v>
      </c>
      <c r="I148" s="66">
        <v>0</v>
      </c>
      <c r="J148" s="66">
        <v>16</v>
      </c>
      <c r="K148" s="66">
        <v>7086995</v>
      </c>
      <c r="L148" s="283">
        <v>1.91597344297933</v>
      </c>
      <c r="M148" s="66">
        <v>745820</v>
      </c>
    </row>
    <row r="149" spans="1:13">
      <c r="A149" s="649" t="s">
        <v>936</v>
      </c>
      <c r="B149" s="649"/>
      <c r="C149" s="82" t="s">
        <v>285</v>
      </c>
      <c r="D149" s="66">
        <v>7371711</v>
      </c>
      <c r="E149" s="66">
        <v>0</v>
      </c>
      <c r="F149" s="66">
        <v>0</v>
      </c>
      <c r="G149" s="66">
        <v>156138</v>
      </c>
      <c r="H149" s="66">
        <v>10353</v>
      </c>
      <c r="I149" s="66">
        <v>0</v>
      </c>
      <c r="J149" s="66">
        <v>1839</v>
      </c>
      <c r="K149" s="66">
        <v>7203381</v>
      </c>
      <c r="L149" s="283">
        <v>1.40503535348308</v>
      </c>
      <c r="M149" s="66">
        <v>287245</v>
      </c>
    </row>
    <row r="150" spans="1:13">
      <c r="A150" s="649" t="s">
        <v>937</v>
      </c>
      <c r="B150" s="649"/>
      <c r="C150" s="82" t="s">
        <v>583</v>
      </c>
      <c r="D150" s="66">
        <v>10760767</v>
      </c>
      <c r="E150" s="66">
        <v>0</v>
      </c>
      <c r="F150" s="66">
        <v>10120</v>
      </c>
      <c r="G150" s="66">
        <v>1456899</v>
      </c>
      <c r="H150" s="66">
        <v>301</v>
      </c>
      <c r="I150" s="66">
        <v>1224386</v>
      </c>
      <c r="J150" s="66">
        <v>738298</v>
      </c>
      <c r="K150" s="66">
        <v>7330763</v>
      </c>
      <c r="L150" s="283">
        <v>1.3234290657999499</v>
      </c>
      <c r="M150" s="66">
        <v>247173</v>
      </c>
    </row>
    <row r="151" spans="1:13">
      <c r="A151" s="649" t="s">
        <v>938</v>
      </c>
      <c r="B151" s="649"/>
      <c r="C151" s="82" t="s">
        <v>939</v>
      </c>
      <c r="D151" s="66">
        <v>13602788</v>
      </c>
      <c r="E151" s="66">
        <v>0</v>
      </c>
      <c r="F151" s="66">
        <v>0</v>
      </c>
      <c r="G151" s="66">
        <v>4917576</v>
      </c>
      <c r="H151" s="66">
        <v>16</v>
      </c>
      <c r="I151" s="66">
        <v>541939</v>
      </c>
      <c r="J151" s="66">
        <v>484547</v>
      </c>
      <c r="K151" s="66">
        <v>7658710</v>
      </c>
      <c r="L151" s="283">
        <v>1.25435518690312</v>
      </c>
      <c r="M151" s="66">
        <v>450082</v>
      </c>
    </row>
    <row r="152" spans="1:13">
      <c r="A152" s="649" t="s">
        <v>917</v>
      </c>
      <c r="B152" s="649"/>
      <c r="C152" s="82" t="s">
        <v>589</v>
      </c>
      <c r="D152" s="66">
        <v>13863069</v>
      </c>
      <c r="E152" s="66">
        <v>494044</v>
      </c>
      <c r="F152" s="66">
        <v>0</v>
      </c>
      <c r="G152" s="66">
        <v>5647057</v>
      </c>
      <c r="H152" s="66">
        <v>13453</v>
      </c>
      <c r="I152" s="66">
        <v>0</v>
      </c>
      <c r="J152" s="66">
        <v>3</v>
      </c>
      <c r="K152" s="66">
        <v>7708512</v>
      </c>
      <c r="L152" s="283">
        <v>1.09157051796883</v>
      </c>
      <c r="M152" s="66">
        <v>143210</v>
      </c>
    </row>
    <row r="153" spans="1:13">
      <c r="A153" s="649" t="s">
        <v>918</v>
      </c>
      <c r="B153" s="649"/>
      <c r="C153" s="82" t="s">
        <v>589</v>
      </c>
      <c r="D153" s="66">
        <v>11209716</v>
      </c>
      <c r="E153" s="66">
        <v>0</v>
      </c>
      <c r="F153" s="66">
        <v>0</v>
      </c>
      <c r="G153" s="66">
        <v>3506858</v>
      </c>
      <c r="H153" s="66">
        <v>4894</v>
      </c>
      <c r="I153" s="66">
        <v>0</v>
      </c>
      <c r="J153" s="66">
        <v>269</v>
      </c>
      <c r="K153" s="66">
        <v>7697695</v>
      </c>
      <c r="L153" s="283">
        <v>1.35131671374989</v>
      </c>
      <c r="M153" s="66">
        <v>326497</v>
      </c>
    </row>
    <row r="154" spans="1:13">
      <c r="A154" s="649" t="s">
        <v>919</v>
      </c>
      <c r="B154" s="649"/>
      <c r="C154" s="82" t="s">
        <v>589</v>
      </c>
      <c r="D154" s="66">
        <v>11307581</v>
      </c>
      <c r="E154" s="66">
        <v>0</v>
      </c>
      <c r="F154" s="66">
        <v>0</v>
      </c>
      <c r="G154" s="66">
        <v>3604699</v>
      </c>
      <c r="H154" s="66">
        <v>2868</v>
      </c>
      <c r="I154" s="66">
        <v>0</v>
      </c>
      <c r="J154" s="66">
        <v>274</v>
      </c>
      <c r="K154" s="66">
        <v>7699740</v>
      </c>
      <c r="L154" s="283">
        <v>1.1931583863763999</v>
      </c>
      <c r="M154" s="66">
        <v>183196</v>
      </c>
    </row>
    <row r="155" spans="1:13">
      <c r="A155" s="649" t="s">
        <v>926</v>
      </c>
      <c r="B155" s="649"/>
      <c r="C155" s="82" t="s">
        <v>332</v>
      </c>
      <c r="D155" s="66">
        <v>35918070</v>
      </c>
      <c r="E155" s="66">
        <v>0</v>
      </c>
      <c r="F155" s="66">
        <v>3184</v>
      </c>
      <c r="G155" s="66">
        <v>21484620</v>
      </c>
      <c r="H155" s="66">
        <v>21689</v>
      </c>
      <c r="I155" s="66">
        <v>1745207</v>
      </c>
      <c r="J155" s="66">
        <v>5420265</v>
      </c>
      <c r="K155" s="66">
        <v>7243105</v>
      </c>
      <c r="L155" s="283">
        <v>1.1988668298421099</v>
      </c>
      <c r="M155" s="66">
        <v>1392366</v>
      </c>
    </row>
    <row r="156" spans="1:13">
      <c r="A156" s="649" t="s">
        <v>927</v>
      </c>
      <c r="B156" s="649"/>
      <c r="C156" s="82" t="s">
        <v>332</v>
      </c>
      <c r="D156" s="66">
        <v>34228983</v>
      </c>
      <c r="E156" s="66">
        <v>0</v>
      </c>
      <c r="F156" s="66">
        <v>2968</v>
      </c>
      <c r="G156" s="66">
        <v>17357819</v>
      </c>
      <c r="H156" s="66">
        <v>27095</v>
      </c>
      <c r="I156" s="66">
        <v>1728304</v>
      </c>
      <c r="J156" s="66">
        <v>6144969</v>
      </c>
      <c r="K156" s="66">
        <v>8967828</v>
      </c>
      <c r="L156" s="283">
        <v>1.109598552252</v>
      </c>
      <c r="M156" s="66">
        <v>992289</v>
      </c>
    </row>
    <row r="157" spans="1:13">
      <c r="A157" s="649" t="s">
        <v>940</v>
      </c>
      <c r="B157" s="649"/>
      <c r="C157" s="82" t="s">
        <v>584</v>
      </c>
      <c r="D157" s="66">
        <v>20073070</v>
      </c>
      <c r="E157" s="66">
        <v>0</v>
      </c>
      <c r="F157" s="66">
        <v>0</v>
      </c>
      <c r="G157" s="66">
        <v>9022304</v>
      </c>
      <c r="H157" s="66">
        <v>162688</v>
      </c>
      <c r="I157" s="66">
        <v>1028693</v>
      </c>
      <c r="J157" s="66">
        <v>854791</v>
      </c>
      <c r="K157" s="66">
        <v>9004594</v>
      </c>
      <c r="L157" s="283">
        <v>1.27777900917426</v>
      </c>
      <c r="M157" s="66">
        <v>613027</v>
      </c>
    </row>
    <row r="158" spans="1:13">
      <c r="A158" s="649" t="s">
        <v>941</v>
      </c>
      <c r="B158" s="649"/>
      <c r="C158" s="82" t="s">
        <v>584</v>
      </c>
      <c r="D158" s="66">
        <v>9026567</v>
      </c>
      <c r="E158" s="66">
        <v>0</v>
      </c>
      <c r="F158" s="66">
        <v>0</v>
      </c>
      <c r="G158" s="66">
        <v>429963</v>
      </c>
      <c r="H158" s="66">
        <v>620</v>
      </c>
      <c r="I158" s="66">
        <v>547800</v>
      </c>
      <c r="J158" s="66">
        <v>460356</v>
      </c>
      <c r="K158" s="66">
        <v>7587828</v>
      </c>
      <c r="L158" s="283">
        <v>1.0064535608604599</v>
      </c>
      <c r="M158" s="66">
        <v>336924</v>
      </c>
    </row>
    <row r="159" spans="1:13">
      <c r="A159" s="649" t="s">
        <v>942</v>
      </c>
      <c r="B159" s="649"/>
      <c r="C159" s="82" t="s">
        <v>584</v>
      </c>
      <c r="D159" s="66">
        <v>9455778</v>
      </c>
      <c r="E159" s="66">
        <v>0</v>
      </c>
      <c r="F159" s="66">
        <v>0</v>
      </c>
      <c r="G159" s="66">
        <v>1100948</v>
      </c>
      <c r="H159" s="66">
        <v>3576</v>
      </c>
      <c r="I159" s="66">
        <v>697125</v>
      </c>
      <c r="J159" s="66">
        <v>466811</v>
      </c>
      <c r="K159" s="66">
        <v>7187318</v>
      </c>
      <c r="L159" s="283">
        <v>1.0169760174448901</v>
      </c>
      <c r="M159" s="66">
        <v>184305</v>
      </c>
    </row>
    <row r="160" spans="1:13">
      <c r="A160" s="649" t="s">
        <v>917</v>
      </c>
      <c r="B160" s="649"/>
      <c r="C160" s="82" t="s">
        <v>364</v>
      </c>
      <c r="D160" s="66">
        <v>14093663</v>
      </c>
      <c r="E160" s="66">
        <v>819992</v>
      </c>
      <c r="F160" s="66">
        <v>0</v>
      </c>
      <c r="G160" s="66">
        <v>5598641</v>
      </c>
      <c r="H160" s="66">
        <v>13839</v>
      </c>
      <c r="I160" s="66">
        <v>0</v>
      </c>
      <c r="J160" s="66">
        <v>3</v>
      </c>
      <c r="K160" s="66">
        <v>7661188</v>
      </c>
      <c r="L160" s="283">
        <v>1.11161538347254</v>
      </c>
      <c r="M160" s="66">
        <v>226223</v>
      </c>
    </row>
    <row r="161" spans="1:13">
      <c r="A161" s="649" t="s">
        <v>918</v>
      </c>
      <c r="B161" s="649"/>
      <c r="C161" s="82" t="s">
        <v>364</v>
      </c>
      <c r="D161" s="66">
        <v>10974404</v>
      </c>
      <c r="E161" s="66">
        <v>0</v>
      </c>
      <c r="F161" s="66">
        <v>0</v>
      </c>
      <c r="G161" s="66">
        <v>3276513</v>
      </c>
      <c r="H161" s="66">
        <v>7750</v>
      </c>
      <c r="I161" s="66">
        <v>0</v>
      </c>
      <c r="J161" s="66">
        <v>254</v>
      </c>
      <c r="K161" s="66">
        <v>7689887</v>
      </c>
      <c r="L161" s="283">
        <v>1.5113034311143601</v>
      </c>
      <c r="M161" s="66">
        <v>666978</v>
      </c>
    </row>
    <row r="162" spans="1:13">
      <c r="A162" s="649" t="s">
        <v>919</v>
      </c>
      <c r="B162" s="649"/>
      <c r="C162" s="82" t="s">
        <v>364</v>
      </c>
      <c r="D162" s="66">
        <v>11091044</v>
      </c>
      <c r="E162" s="66">
        <v>0</v>
      </c>
      <c r="F162" s="66">
        <v>0</v>
      </c>
      <c r="G162" s="66">
        <v>3393078</v>
      </c>
      <c r="H162" s="66">
        <v>2576</v>
      </c>
      <c r="I162" s="66">
        <v>0</v>
      </c>
      <c r="J162" s="66">
        <v>265</v>
      </c>
      <c r="K162" s="66">
        <v>7695125</v>
      </c>
      <c r="L162" s="283">
        <v>1.18262394577786</v>
      </c>
      <c r="M162" s="66">
        <v>304322</v>
      </c>
    </row>
    <row r="163" spans="1:13">
      <c r="A163" s="649" t="s">
        <v>943</v>
      </c>
      <c r="B163" s="649"/>
      <c r="C163" s="82" t="s">
        <v>65</v>
      </c>
      <c r="D163" s="66">
        <v>11021417</v>
      </c>
      <c r="E163" s="66">
        <v>0</v>
      </c>
      <c r="F163" s="66">
        <v>0</v>
      </c>
      <c r="G163" s="66">
        <v>3323521</v>
      </c>
      <c r="H163" s="66">
        <v>0</v>
      </c>
      <c r="I163" s="66">
        <v>0</v>
      </c>
      <c r="J163" s="66">
        <v>1</v>
      </c>
      <c r="K163" s="66">
        <v>7697895</v>
      </c>
      <c r="L163" s="283">
        <v>2.0020565935109702</v>
      </c>
      <c r="M163" s="66">
        <v>765283.06</v>
      </c>
    </row>
    <row r="164" spans="1:13">
      <c r="A164" s="649" t="s">
        <v>944</v>
      </c>
      <c r="B164" s="649"/>
      <c r="C164" s="82" t="s">
        <v>65</v>
      </c>
      <c r="D164" s="66">
        <v>11451415</v>
      </c>
      <c r="E164" s="66">
        <v>0</v>
      </c>
      <c r="F164" s="66">
        <v>0</v>
      </c>
      <c r="G164" s="66">
        <v>3331445</v>
      </c>
      <c r="H164" s="66">
        <v>0</v>
      </c>
      <c r="I164" s="66">
        <v>0</v>
      </c>
      <c r="J164" s="66">
        <v>375458</v>
      </c>
      <c r="K164" s="66">
        <v>7744512</v>
      </c>
      <c r="L164" s="283">
        <v>1.9863617759711401</v>
      </c>
      <c r="M164" s="66">
        <v>759593.06</v>
      </c>
    </row>
    <row r="165" spans="1:13">
      <c r="A165" s="649" t="s">
        <v>945</v>
      </c>
      <c r="B165" s="649"/>
      <c r="C165" s="82" t="s">
        <v>65</v>
      </c>
      <c r="D165" s="66">
        <v>11445745</v>
      </c>
      <c r="E165" s="66">
        <v>0</v>
      </c>
      <c r="F165" s="66">
        <v>0</v>
      </c>
      <c r="G165" s="66">
        <v>3331260</v>
      </c>
      <c r="H165" s="66">
        <v>0</v>
      </c>
      <c r="I165" s="66">
        <v>0</v>
      </c>
      <c r="J165" s="66">
        <v>370081</v>
      </c>
      <c r="K165" s="66">
        <v>7744404</v>
      </c>
      <c r="L165" s="283">
        <v>1.9904805806016099</v>
      </c>
      <c r="M165" s="66">
        <v>762406.06</v>
      </c>
    </row>
    <row r="166" spans="1:13">
      <c r="A166" s="649" t="s">
        <v>946</v>
      </c>
      <c r="B166" s="649"/>
      <c r="C166" s="82" t="s">
        <v>65</v>
      </c>
      <c r="D166" s="66">
        <v>11413638</v>
      </c>
      <c r="E166" s="66">
        <v>0</v>
      </c>
      <c r="F166" s="66">
        <v>0</v>
      </c>
      <c r="G166" s="66">
        <v>3328115</v>
      </c>
      <c r="H166" s="66">
        <v>0</v>
      </c>
      <c r="I166" s="66">
        <v>0</v>
      </c>
      <c r="J166" s="66">
        <v>348404</v>
      </c>
      <c r="K166" s="66">
        <v>7737119</v>
      </c>
      <c r="L166" s="283">
        <v>1.96996745825224</v>
      </c>
      <c r="M166" s="66">
        <v>728652.06</v>
      </c>
    </row>
    <row r="167" spans="1:13">
      <c r="A167" s="649" t="s">
        <v>947</v>
      </c>
      <c r="B167" s="649"/>
      <c r="C167" s="82" t="s">
        <v>65</v>
      </c>
      <c r="D167" s="66">
        <v>11451030</v>
      </c>
      <c r="E167" s="66">
        <v>0</v>
      </c>
      <c r="F167" s="66">
        <v>0</v>
      </c>
      <c r="G167" s="66">
        <v>3331197</v>
      </c>
      <c r="H167" s="66">
        <v>0</v>
      </c>
      <c r="I167" s="66">
        <v>0</v>
      </c>
      <c r="J167" s="66">
        <v>375455</v>
      </c>
      <c r="K167" s="66">
        <v>7744378</v>
      </c>
      <c r="L167" s="283">
        <v>1.9838943889826699</v>
      </c>
      <c r="M167" s="66">
        <v>759218.06</v>
      </c>
    </row>
    <row r="168" spans="1:13">
      <c r="A168" s="649" t="s">
        <v>948</v>
      </c>
      <c r="B168" s="649"/>
      <c r="C168" s="82" t="s">
        <v>65</v>
      </c>
      <c r="D168" s="66">
        <v>11004609</v>
      </c>
      <c r="E168" s="66">
        <v>0</v>
      </c>
      <c r="F168" s="66">
        <v>0</v>
      </c>
      <c r="G168" s="66">
        <v>3333567</v>
      </c>
      <c r="H168" s="66">
        <v>0</v>
      </c>
      <c r="I168" s="66">
        <v>0</v>
      </c>
      <c r="J168" s="66">
        <v>1</v>
      </c>
      <c r="K168" s="66">
        <v>7671041</v>
      </c>
      <c r="L168" s="283">
        <v>1.98553898936323</v>
      </c>
      <c r="M168" s="66">
        <v>750621.06</v>
      </c>
    </row>
    <row r="169" spans="1:13">
      <c r="A169" s="649" t="s">
        <v>949</v>
      </c>
      <c r="B169" s="649"/>
      <c r="C169" s="82" t="s">
        <v>65</v>
      </c>
      <c r="D169" s="66">
        <v>11448820</v>
      </c>
      <c r="E169" s="66">
        <v>0</v>
      </c>
      <c r="F169" s="66">
        <v>0</v>
      </c>
      <c r="G169" s="66">
        <v>3332751</v>
      </c>
      <c r="H169" s="66">
        <v>0</v>
      </c>
      <c r="I169" s="66">
        <v>0</v>
      </c>
      <c r="J169" s="66">
        <v>375428</v>
      </c>
      <c r="K169" s="66">
        <v>7740641</v>
      </c>
      <c r="L169" s="283">
        <v>1.9946075215916701</v>
      </c>
      <c r="M169" s="66">
        <v>749342.06</v>
      </c>
    </row>
    <row r="170" spans="1:13">
      <c r="A170" s="649" t="s">
        <v>950</v>
      </c>
      <c r="B170" s="649"/>
      <c r="C170" s="82" t="s">
        <v>65</v>
      </c>
      <c r="D170" s="66">
        <v>11427449</v>
      </c>
      <c r="E170" s="66">
        <v>0</v>
      </c>
      <c r="F170" s="66">
        <v>0</v>
      </c>
      <c r="G170" s="66">
        <v>3330452</v>
      </c>
      <c r="H170" s="66">
        <v>0</v>
      </c>
      <c r="I170" s="66">
        <v>0</v>
      </c>
      <c r="J170" s="66">
        <v>355025</v>
      </c>
      <c r="K170" s="66">
        <v>7741972</v>
      </c>
      <c r="L170" s="283">
        <v>1.9888320836887901</v>
      </c>
      <c r="M170" s="66">
        <v>755320.06</v>
      </c>
    </row>
    <row r="171" spans="1:13">
      <c r="A171" s="649" t="s">
        <v>951</v>
      </c>
      <c r="B171" s="649"/>
      <c r="C171" s="82" t="s">
        <v>65</v>
      </c>
      <c r="D171" s="66">
        <v>11448604</v>
      </c>
      <c r="E171" s="66">
        <v>0</v>
      </c>
      <c r="F171" s="66">
        <v>0</v>
      </c>
      <c r="G171" s="66">
        <v>3331489</v>
      </c>
      <c r="H171" s="66">
        <v>0</v>
      </c>
      <c r="I171" s="66">
        <v>0</v>
      </c>
      <c r="J171" s="66">
        <v>372792</v>
      </c>
      <c r="K171" s="66">
        <v>7744323</v>
      </c>
      <c r="L171" s="283">
        <v>1.98800832294843</v>
      </c>
      <c r="M171" s="66">
        <v>761464.06</v>
      </c>
    </row>
    <row r="172" spans="1:13">
      <c r="A172" s="649" t="s">
        <v>952</v>
      </c>
      <c r="B172" s="649"/>
      <c r="C172" s="82" t="s">
        <v>65</v>
      </c>
      <c r="D172" s="66">
        <v>11445615</v>
      </c>
      <c r="E172" s="66">
        <v>0</v>
      </c>
      <c r="F172" s="66">
        <v>0</v>
      </c>
      <c r="G172" s="66">
        <v>3331384</v>
      </c>
      <c r="H172" s="66">
        <v>0</v>
      </c>
      <c r="I172" s="66">
        <v>0</v>
      </c>
      <c r="J172" s="66">
        <v>370075</v>
      </c>
      <c r="K172" s="66">
        <v>7744156</v>
      </c>
      <c r="L172" s="283">
        <v>1.99130531714606</v>
      </c>
      <c r="M172" s="66">
        <v>762479.06</v>
      </c>
    </row>
    <row r="173" spans="1:13">
      <c r="A173" s="649" t="s">
        <v>953</v>
      </c>
      <c r="B173" s="649"/>
      <c r="C173" s="82" t="s">
        <v>65</v>
      </c>
      <c r="D173" s="66">
        <v>11004413</v>
      </c>
      <c r="E173" s="66">
        <v>0</v>
      </c>
      <c r="F173" s="66">
        <v>0</v>
      </c>
      <c r="G173" s="66">
        <v>3324726</v>
      </c>
      <c r="H173" s="66">
        <v>0</v>
      </c>
      <c r="I173" s="66">
        <v>0</v>
      </c>
      <c r="J173" s="66">
        <v>1</v>
      </c>
      <c r="K173" s="66">
        <v>7679686</v>
      </c>
      <c r="L173" s="283">
        <v>1.99543388820332</v>
      </c>
      <c r="M173" s="66">
        <v>750897.06</v>
      </c>
    </row>
    <row r="174" spans="1:13">
      <c r="A174" s="649" t="s">
        <v>954</v>
      </c>
      <c r="B174" s="649"/>
      <c r="C174" s="82" t="s">
        <v>65</v>
      </c>
      <c r="D174" s="66">
        <v>8142858</v>
      </c>
      <c r="E174" s="66">
        <v>0</v>
      </c>
      <c r="F174" s="66">
        <v>0</v>
      </c>
      <c r="G174" s="66">
        <v>517529</v>
      </c>
      <c r="H174" s="66">
        <v>0</v>
      </c>
      <c r="I174" s="66">
        <v>0</v>
      </c>
      <c r="J174" s="66">
        <v>375459</v>
      </c>
      <c r="K174" s="66">
        <v>7249870</v>
      </c>
      <c r="L174" s="283">
        <v>1.39114469997955</v>
      </c>
      <c r="M174" s="66">
        <v>324162.06</v>
      </c>
    </row>
    <row r="175" spans="1:13">
      <c r="A175" s="649" t="s">
        <v>955</v>
      </c>
      <c r="B175" s="649"/>
      <c r="C175" s="82" t="s">
        <v>65</v>
      </c>
      <c r="D175" s="66">
        <v>11450583</v>
      </c>
      <c r="E175" s="66">
        <v>0</v>
      </c>
      <c r="F175" s="66">
        <v>0</v>
      </c>
      <c r="G175" s="66">
        <v>3330970</v>
      </c>
      <c r="H175" s="66">
        <v>0</v>
      </c>
      <c r="I175" s="66">
        <v>0</v>
      </c>
      <c r="J175" s="66">
        <v>375456</v>
      </c>
      <c r="K175" s="66">
        <v>7744157</v>
      </c>
      <c r="L175" s="283">
        <v>1.9904805806016099</v>
      </c>
      <c r="M175" s="66">
        <v>757494.06</v>
      </c>
    </row>
    <row r="176" spans="1:13">
      <c r="A176" s="649" t="s">
        <v>917</v>
      </c>
      <c r="B176" s="649"/>
      <c r="C176" s="82" t="s">
        <v>372</v>
      </c>
      <c r="D176" s="66">
        <v>13933175</v>
      </c>
      <c r="E176" s="66">
        <v>727468</v>
      </c>
      <c r="F176" s="66">
        <v>0</v>
      </c>
      <c r="G176" s="66">
        <v>5503097</v>
      </c>
      <c r="H176" s="66">
        <v>15917</v>
      </c>
      <c r="I176" s="66">
        <v>0</v>
      </c>
      <c r="J176" s="66">
        <v>3</v>
      </c>
      <c r="K176" s="66">
        <v>7686690</v>
      </c>
      <c r="L176" s="283">
        <v>1.1999361642834201</v>
      </c>
      <c r="M176" s="66">
        <v>249171</v>
      </c>
    </row>
    <row r="177" spans="1:13">
      <c r="A177" s="649" t="s">
        <v>918</v>
      </c>
      <c r="B177" s="649"/>
      <c r="C177" s="82" t="s">
        <v>372</v>
      </c>
      <c r="D177" s="66">
        <v>11089712</v>
      </c>
      <c r="E177" s="66">
        <v>0</v>
      </c>
      <c r="F177" s="66">
        <v>0</v>
      </c>
      <c r="G177" s="66">
        <v>3387222</v>
      </c>
      <c r="H177" s="66">
        <v>8038</v>
      </c>
      <c r="I177" s="66">
        <v>0</v>
      </c>
      <c r="J177" s="66">
        <v>72</v>
      </c>
      <c r="K177" s="66">
        <v>7694380</v>
      </c>
      <c r="L177" s="283">
        <v>1.7813628105989501</v>
      </c>
      <c r="M177" s="66">
        <v>805431</v>
      </c>
    </row>
    <row r="178" spans="1:13">
      <c r="A178" s="649" t="s">
        <v>919</v>
      </c>
      <c r="B178" s="649"/>
      <c r="C178" s="82" t="s">
        <v>372</v>
      </c>
      <c r="D178" s="66">
        <v>11279924</v>
      </c>
      <c r="E178" s="66">
        <v>0</v>
      </c>
      <c r="F178" s="66">
        <v>0</v>
      </c>
      <c r="G178" s="66">
        <v>3577405</v>
      </c>
      <c r="H178" s="66">
        <v>3509</v>
      </c>
      <c r="I178" s="66">
        <v>0</v>
      </c>
      <c r="J178" s="66">
        <v>65</v>
      </c>
      <c r="K178" s="66">
        <v>7698945</v>
      </c>
      <c r="L178" s="283">
        <v>1.39513122998061</v>
      </c>
      <c r="M178" s="66">
        <v>357235</v>
      </c>
    </row>
    <row r="179" spans="1:13">
      <c r="A179" s="649" t="s">
        <v>956</v>
      </c>
      <c r="B179" s="649"/>
      <c r="C179" s="82" t="s">
        <v>19</v>
      </c>
      <c r="D179" s="66">
        <v>1373020</v>
      </c>
      <c r="E179" s="66">
        <v>412</v>
      </c>
      <c r="F179" s="66">
        <v>0</v>
      </c>
      <c r="G179" s="66">
        <v>191454</v>
      </c>
      <c r="H179" s="66">
        <v>10</v>
      </c>
      <c r="I179" s="66">
        <v>0</v>
      </c>
      <c r="J179" s="66">
        <v>503</v>
      </c>
      <c r="K179" s="66">
        <v>1180641</v>
      </c>
      <c r="L179" s="283">
        <v>5.2061654847775403</v>
      </c>
      <c r="M179" s="66">
        <v>1597374</v>
      </c>
    </row>
    <row r="180" spans="1:13">
      <c r="A180" s="649" t="s">
        <v>957</v>
      </c>
      <c r="B180" s="649"/>
      <c r="C180" s="82" t="s">
        <v>19</v>
      </c>
      <c r="D180" s="66">
        <v>1372528</v>
      </c>
      <c r="E180" s="66">
        <v>0</v>
      </c>
      <c r="F180" s="66">
        <v>0</v>
      </c>
      <c r="G180" s="66">
        <v>190268</v>
      </c>
      <c r="H180" s="66">
        <v>11</v>
      </c>
      <c r="I180" s="66">
        <v>0</v>
      </c>
      <c r="J180" s="66">
        <v>510</v>
      </c>
      <c r="K180" s="66">
        <v>1181739</v>
      </c>
      <c r="L180" s="283">
        <v>3.79825591040716</v>
      </c>
      <c r="M180" s="66">
        <v>1177601</v>
      </c>
    </row>
    <row r="181" spans="1:13">
      <c r="A181" s="649" t="s">
        <v>958</v>
      </c>
      <c r="B181" s="649"/>
      <c r="C181" s="82" t="s">
        <v>384</v>
      </c>
      <c r="D181" s="66">
        <v>11555662</v>
      </c>
      <c r="E181" s="66">
        <v>0</v>
      </c>
      <c r="F181" s="66">
        <v>0</v>
      </c>
      <c r="G181" s="66">
        <v>3233698</v>
      </c>
      <c r="H181" s="66">
        <v>4022</v>
      </c>
      <c r="I181" s="66">
        <v>699588</v>
      </c>
      <c r="J181" s="66">
        <v>467581</v>
      </c>
      <c r="K181" s="66">
        <v>7150773</v>
      </c>
      <c r="L181" s="283">
        <v>1.15513202247328</v>
      </c>
      <c r="M181" s="66">
        <v>34652</v>
      </c>
    </row>
    <row r="182" spans="1:13">
      <c r="A182" s="649" t="s">
        <v>959</v>
      </c>
      <c r="B182" s="649"/>
      <c r="C182" s="82" t="s">
        <v>391</v>
      </c>
      <c r="D182" s="66">
        <v>10862567</v>
      </c>
      <c r="E182" s="66">
        <v>0</v>
      </c>
      <c r="F182" s="66">
        <v>0</v>
      </c>
      <c r="G182" s="66">
        <v>3648471</v>
      </c>
      <c r="H182" s="66">
        <v>7</v>
      </c>
      <c r="I182" s="66">
        <v>14448</v>
      </c>
      <c r="J182" s="66">
        <v>88</v>
      </c>
      <c r="K182" s="66">
        <v>7199553</v>
      </c>
      <c r="L182" s="283">
        <v>1.25768058261573</v>
      </c>
      <c r="M182" s="66">
        <v>386533</v>
      </c>
    </row>
    <row r="183" spans="1:13">
      <c r="A183" s="649" t="s">
        <v>960</v>
      </c>
      <c r="B183" s="649"/>
      <c r="C183" s="82" t="s">
        <v>397</v>
      </c>
      <c r="D183" s="66">
        <v>8935979</v>
      </c>
      <c r="E183" s="66">
        <v>0</v>
      </c>
      <c r="F183" s="66">
        <v>0</v>
      </c>
      <c r="G183" s="66">
        <v>0</v>
      </c>
      <c r="H183" s="66">
        <v>1335</v>
      </c>
      <c r="I183" s="66">
        <v>966642</v>
      </c>
      <c r="J183" s="66">
        <v>575338</v>
      </c>
      <c r="K183" s="66">
        <v>7392664</v>
      </c>
      <c r="L183" s="283">
        <v>1.11574333723149</v>
      </c>
      <c r="M183" s="66">
        <v>201198</v>
      </c>
    </row>
    <row r="184" spans="1:13">
      <c r="A184" s="649" t="s">
        <v>961</v>
      </c>
      <c r="B184" s="649"/>
      <c r="C184" s="82" t="s">
        <v>397</v>
      </c>
      <c r="D184" s="66">
        <v>10546478</v>
      </c>
      <c r="E184" s="66">
        <v>0</v>
      </c>
      <c r="F184" s="66">
        <v>0</v>
      </c>
      <c r="G184" s="66">
        <v>36</v>
      </c>
      <c r="H184" s="66">
        <v>19621</v>
      </c>
      <c r="I184" s="66">
        <v>1434006</v>
      </c>
      <c r="J184" s="66">
        <v>1003954</v>
      </c>
      <c r="K184" s="66">
        <v>8088861</v>
      </c>
      <c r="L184" s="283">
        <v>1.2029503005225699</v>
      </c>
      <c r="M184" s="66">
        <v>588413</v>
      </c>
    </row>
    <row r="185" spans="1:13">
      <c r="A185" s="649" t="s">
        <v>962</v>
      </c>
      <c r="B185" s="649"/>
      <c r="C185" s="82" t="s">
        <v>407</v>
      </c>
      <c r="D185" s="66">
        <v>8754054</v>
      </c>
      <c r="E185" s="66">
        <v>0</v>
      </c>
      <c r="F185" s="66">
        <v>0</v>
      </c>
      <c r="G185" s="66">
        <v>1113664</v>
      </c>
      <c r="H185" s="66">
        <v>0</v>
      </c>
      <c r="I185" s="66">
        <v>48566</v>
      </c>
      <c r="J185" s="66">
        <v>61175</v>
      </c>
      <c r="K185" s="66">
        <v>7530649</v>
      </c>
      <c r="L185" s="283">
        <v>1.6277051650132499</v>
      </c>
      <c r="M185" s="66">
        <v>260974.1</v>
      </c>
    </row>
    <row r="186" spans="1:13">
      <c r="A186" s="649" t="s">
        <v>938</v>
      </c>
      <c r="B186" s="649"/>
      <c r="C186" s="82" t="s">
        <v>963</v>
      </c>
      <c r="D186" s="66">
        <v>15360087</v>
      </c>
      <c r="E186" s="66">
        <v>0</v>
      </c>
      <c r="F186" s="66">
        <v>0</v>
      </c>
      <c r="G186" s="66">
        <v>6485166</v>
      </c>
      <c r="H186" s="66">
        <v>63362</v>
      </c>
      <c r="I186" s="66">
        <v>548133</v>
      </c>
      <c r="J186" s="66">
        <v>489952</v>
      </c>
      <c r="K186" s="66">
        <v>7773474</v>
      </c>
      <c r="L186" s="283">
        <v>1.29926867490578</v>
      </c>
      <c r="M186" s="66">
        <v>785604</v>
      </c>
    </row>
    <row r="187" spans="1:13">
      <c r="A187" s="649" t="s">
        <v>964</v>
      </c>
      <c r="B187" s="649"/>
      <c r="C187" s="82" t="s">
        <v>418</v>
      </c>
      <c r="D187" s="66">
        <v>22586718</v>
      </c>
      <c r="E187" s="66">
        <v>0</v>
      </c>
      <c r="F187" s="66">
        <v>1</v>
      </c>
      <c r="G187" s="66">
        <v>11929978</v>
      </c>
      <c r="H187" s="66">
        <v>80415</v>
      </c>
      <c r="I187" s="66">
        <v>1429741</v>
      </c>
      <c r="J187" s="66">
        <v>1207464</v>
      </c>
      <c r="K187" s="66">
        <v>7939119</v>
      </c>
      <c r="L187" s="283">
        <v>1.26156896596024</v>
      </c>
      <c r="M187" s="66">
        <v>608595</v>
      </c>
    </row>
    <row r="188" spans="1:13">
      <c r="A188" s="649" t="s">
        <v>965</v>
      </c>
      <c r="B188" s="649"/>
      <c r="C188" s="82" t="s">
        <v>422</v>
      </c>
      <c r="D188" s="66">
        <v>20370946</v>
      </c>
      <c r="E188" s="66">
        <v>0</v>
      </c>
      <c r="F188" s="66">
        <v>11783</v>
      </c>
      <c r="G188" s="66">
        <v>10547347</v>
      </c>
      <c r="H188" s="66">
        <v>25492</v>
      </c>
      <c r="I188" s="66">
        <v>1374381</v>
      </c>
      <c r="J188" s="66">
        <v>810680</v>
      </c>
      <c r="K188" s="66">
        <v>7601263</v>
      </c>
      <c r="L188" s="283">
        <v>1.2047572992498601</v>
      </c>
      <c r="M188" s="66">
        <v>140306</v>
      </c>
    </row>
    <row r="189" spans="1:13">
      <c r="A189" s="649" t="s">
        <v>966</v>
      </c>
      <c r="B189" s="649"/>
      <c r="C189" s="82" t="s">
        <v>439</v>
      </c>
      <c r="D189" s="66">
        <v>7585077</v>
      </c>
      <c r="E189" s="66">
        <v>1</v>
      </c>
      <c r="F189" s="66">
        <v>0</v>
      </c>
      <c r="G189" s="66">
        <v>269312</v>
      </c>
      <c r="H189" s="66">
        <v>1</v>
      </c>
      <c r="I189" s="66">
        <v>0</v>
      </c>
      <c r="J189" s="66">
        <v>6138</v>
      </c>
      <c r="K189" s="66">
        <v>7309625</v>
      </c>
      <c r="L189" s="283">
        <v>1.6714660412120199</v>
      </c>
      <c r="M189" s="66">
        <v>161405</v>
      </c>
    </row>
    <row r="190" spans="1:13">
      <c r="A190" s="649" t="s">
        <v>915</v>
      </c>
      <c r="B190" s="649"/>
      <c r="C190" s="82" t="s">
        <v>431</v>
      </c>
      <c r="D190" s="66">
        <v>2434616</v>
      </c>
      <c r="E190" s="66">
        <v>0</v>
      </c>
      <c r="F190" s="66">
        <v>0</v>
      </c>
      <c r="G190" s="66">
        <v>0</v>
      </c>
      <c r="H190" s="66">
        <v>40775</v>
      </c>
      <c r="I190" s="66">
        <v>0</v>
      </c>
      <c r="J190" s="66">
        <v>44</v>
      </c>
      <c r="K190" s="66">
        <v>2393797</v>
      </c>
      <c r="L190" s="283">
        <v>1.0527762737850299</v>
      </c>
      <c r="M190" s="66">
        <v>41278</v>
      </c>
    </row>
    <row r="191" spans="1:13">
      <c r="A191" s="649" t="s">
        <v>916</v>
      </c>
      <c r="B191" s="649"/>
      <c r="C191" s="82" t="s">
        <v>431</v>
      </c>
      <c r="D191" s="66">
        <v>12197133</v>
      </c>
      <c r="E191" s="66">
        <v>0</v>
      </c>
      <c r="F191" s="66">
        <v>0</v>
      </c>
      <c r="G191" s="66">
        <v>4391214</v>
      </c>
      <c r="H191" s="66">
        <v>41934</v>
      </c>
      <c r="I191" s="66">
        <v>0</v>
      </c>
      <c r="J191" s="66">
        <v>3</v>
      </c>
      <c r="K191" s="66">
        <v>7763982</v>
      </c>
      <c r="L191" s="283">
        <v>1.11161538347254</v>
      </c>
      <c r="M191" s="66">
        <v>312821</v>
      </c>
    </row>
    <row r="192" spans="1:13">
      <c r="A192" s="649" t="s">
        <v>917</v>
      </c>
      <c r="B192" s="649"/>
      <c r="C192" s="82" t="s">
        <v>431</v>
      </c>
      <c r="D192" s="66">
        <v>14310198</v>
      </c>
      <c r="E192" s="66">
        <v>643985</v>
      </c>
      <c r="F192" s="66">
        <v>0</v>
      </c>
      <c r="G192" s="66">
        <v>5931530</v>
      </c>
      <c r="H192" s="66">
        <v>8899</v>
      </c>
      <c r="I192" s="66">
        <v>0</v>
      </c>
      <c r="J192" s="66">
        <v>3</v>
      </c>
      <c r="K192" s="66">
        <v>7725781</v>
      </c>
      <c r="L192" s="283">
        <v>1.0426382528348599</v>
      </c>
      <c r="M192" s="66">
        <v>143851</v>
      </c>
    </row>
    <row r="193" spans="1:13">
      <c r="A193" s="649" t="s">
        <v>918</v>
      </c>
      <c r="B193" s="649"/>
      <c r="C193" s="82" t="s">
        <v>431</v>
      </c>
      <c r="D193" s="66">
        <v>11184822</v>
      </c>
      <c r="E193" s="66">
        <v>0</v>
      </c>
      <c r="F193" s="66">
        <v>2</v>
      </c>
      <c r="G193" s="66">
        <v>3482065</v>
      </c>
      <c r="H193" s="66">
        <v>6079</v>
      </c>
      <c r="I193" s="66">
        <v>0</v>
      </c>
      <c r="J193" s="66">
        <v>61</v>
      </c>
      <c r="K193" s="66">
        <v>7696615</v>
      </c>
      <c r="L193" s="283">
        <v>1.2822795638612701</v>
      </c>
      <c r="M193" s="66">
        <v>388313</v>
      </c>
    </row>
    <row r="194" spans="1:13">
      <c r="A194" s="649" t="s">
        <v>919</v>
      </c>
      <c r="B194" s="649"/>
      <c r="C194" s="82" t="s">
        <v>431</v>
      </c>
      <c r="D194" s="66">
        <v>11307667</v>
      </c>
      <c r="E194" s="66">
        <v>0</v>
      </c>
      <c r="F194" s="66">
        <v>3</v>
      </c>
      <c r="G194" s="66">
        <v>3604897</v>
      </c>
      <c r="H194" s="66">
        <v>2861</v>
      </c>
      <c r="I194" s="66">
        <v>0</v>
      </c>
      <c r="J194" s="66">
        <v>73</v>
      </c>
      <c r="K194" s="66">
        <v>7699833</v>
      </c>
      <c r="L194" s="283">
        <v>1.14220126947349</v>
      </c>
      <c r="M194" s="66">
        <v>188701</v>
      </c>
    </row>
    <row r="195" spans="1:13">
      <c r="A195" s="649" t="s">
        <v>967</v>
      </c>
      <c r="B195" s="649"/>
      <c r="C195" s="82" t="s">
        <v>535</v>
      </c>
      <c r="D195" s="66">
        <v>7402823</v>
      </c>
      <c r="E195" s="66">
        <v>0</v>
      </c>
      <c r="F195" s="66">
        <v>0</v>
      </c>
      <c r="G195" s="66">
        <v>269086</v>
      </c>
      <c r="H195" s="66">
        <v>0</v>
      </c>
      <c r="I195" s="66">
        <v>0</v>
      </c>
      <c r="J195" s="66">
        <v>341892</v>
      </c>
      <c r="K195" s="66">
        <v>6791845</v>
      </c>
      <c r="L195" s="283">
        <v>1.0659177914999101</v>
      </c>
      <c r="M195" s="66">
        <v>95886.15</v>
      </c>
    </row>
    <row r="196" spans="1:13">
      <c r="A196" s="649" t="s">
        <v>968</v>
      </c>
      <c r="B196" s="649"/>
      <c r="C196" s="82" t="s">
        <v>535</v>
      </c>
      <c r="D196" s="66">
        <v>7237422</v>
      </c>
      <c r="E196" s="66">
        <v>0</v>
      </c>
      <c r="F196" s="66">
        <v>0</v>
      </c>
      <c r="G196" s="66">
        <v>199913</v>
      </c>
      <c r="H196" s="66">
        <v>0</v>
      </c>
      <c r="I196" s="66">
        <v>0</v>
      </c>
      <c r="J196" s="66">
        <v>334301</v>
      </c>
      <c r="K196" s="66">
        <v>6703208</v>
      </c>
      <c r="L196" s="283">
        <v>1.0644516498469301</v>
      </c>
      <c r="M196" s="66">
        <v>90232.15</v>
      </c>
    </row>
    <row r="197" spans="1:13">
      <c r="A197" s="649" t="s">
        <v>969</v>
      </c>
      <c r="B197" s="649"/>
      <c r="C197" s="82" t="s">
        <v>535</v>
      </c>
      <c r="D197" s="66">
        <v>7261505</v>
      </c>
      <c r="E197" s="66">
        <v>0</v>
      </c>
      <c r="F197" s="66">
        <v>0</v>
      </c>
      <c r="G197" s="66">
        <v>249700</v>
      </c>
      <c r="H197" s="66">
        <v>0</v>
      </c>
      <c r="I197" s="66">
        <v>0</v>
      </c>
      <c r="J197" s="66">
        <v>332296</v>
      </c>
      <c r="K197" s="66">
        <v>6679509</v>
      </c>
      <c r="L197" s="283">
        <v>1.06494019730017</v>
      </c>
      <c r="M197" s="66">
        <v>88878.15</v>
      </c>
    </row>
    <row r="198" spans="1:13">
      <c r="A198" s="649" t="s">
        <v>970</v>
      </c>
      <c r="B198" s="649"/>
      <c r="C198" s="82" t="s">
        <v>535</v>
      </c>
      <c r="D198" s="66">
        <v>7089080</v>
      </c>
      <c r="E198" s="66">
        <v>0</v>
      </c>
      <c r="F198" s="66">
        <v>0</v>
      </c>
      <c r="G198" s="66">
        <v>165106</v>
      </c>
      <c r="H198" s="66">
        <v>0</v>
      </c>
      <c r="I198" s="66">
        <v>0</v>
      </c>
      <c r="J198" s="66">
        <v>325831</v>
      </c>
      <c r="K198" s="66">
        <v>6598143</v>
      </c>
      <c r="L198" s="283">
        <v>1.0561717441227001</v>
      </c>
      <c r="M198" s="66">
        <v>85944.15</v>
      </c>
    </row>
    <row r="199" spans="1:13">
      <c r="A199" s="649" t="s">
        <v>971</v>
      </c>
      <c r="B199" s="649"/>
      <c r="C199" s="82" t="s">
        <v>535</v>
      </c>
      <c r="D199" s="66">
        <v>7353696</v>
      </c>
      <c r="E199" s="66">
        <v>0</v>
      </c>
      <c r="F199" s="66">
        <v>0</v>
      </c>
      <c r="G199" s="66">
        <v>267240</v>
      </c>
      <c r="H199" s="66">
        <v>0</v>
      </c>
      <c r="I199" s="66">
        <v>0</v>
      </c>
      <c r="J199" s="66">
        <v>338150</v>
      </c>
      <c r="K199" s="66">
        <v>6748306</v>
      </c>
      <c r="L199" s="283">
        <v>1.0600622010389</v>
      </c>
      <c r="M199" s="66">
        <v>91848.15</v>
      </c>
    </row>
    <row r="200" spans="1:13">
      <c r="A200" s="649" t="s">
        <v>972</v>
      </c>
      <c r="B200" s="649"/>
      <c r="C200" s="82" t="s">
        <v>535</v>
      </c>
      <c r="D200" s="66">
        <v>7088360</v>
      </c>
      <c r="E200" s="66">
        <v>0</v>
      </c>
      <c r="F200" s="66">
        <v>0</v>
      </c>
      <c r="G200" s="66">
        <v>164413</v>
      </c>
      <c r="H200" s="66">
        <v>0</v>
      </c>
      <c r="I200" s="66">
        <v>0</v>
      </c>
      <c r="J200" s="66">
        <v>328523</v>
      </c>
      <c r="K200" s="66">
        <v>6595424</v>
      </c>
      <c r="L200" s="283">
        <v>1.05471555195642</v>
      </c>
      <c r="M200" s="66">
        <v>81839.149999999994</v>
      </c>
    </row>
    <row r="201" spans="1:13">
      <c r="A201" s="649" t="s">
        <v>973</v>
      </c>
      <c r="B201" s="649"/>
      <c r="C201" s="82" t="s">
        <v>454</v>
      </c>
      <c r="D201" s="66">
        <v>10454875</v>
      </c>
      <c r="E201" s="66">
        <v>0</v>
      </c>
      <c r="F201" s="66">
        <v>0</v>
      </c>
      <c r="G201" s="66">
        <v>2563608</v>
      </c>
      <c r="H201" s="66">
        <v>89418</v>
      </c>
      <c r="I201" s="66">
        <v>0</v>
      </c>
      <c r="J201" s="66">
        <v>100</v>
      </c>
      <c r="K201" s="66">
        <v>7801749</v>
      </c>
      <c r="L201" s="283">
        <v>1.3755774188549399</v>
      </c>
      <c r="M201" s="66">
        <v>933970</v>
      </c>
    </row>
    <row r="202" spans="1:13">
      <c r="A202" s="648" t="s">
        <v>974</v>
      </c>
      <c r="B202" s="648"/>
      <c r="C202" s="209" t="s">
        <v>454</v>
      </c>
      <c r="D202" s="67">
        <v>12056346</v>
      </c>
      <c r="E202" s="67">
        <v>1959550</v>
      </c>
      <c r="F202" s="67">
        <v>0</v>
      </c>
      <c r="G202" s="67">
        <v>2299357</v>
      </c>
      <c r="H202" s="67">
        <v>18501</v>
      </c>
      <c r="I202" s="67">
        <v>0</v>
      </c>
      <c r="J202" s="67">
        <v>0</v>
      </c>
      <c r="K202" s="67">
        <v>7778938</v>
      </c>
      <c r="L202" s="292">
        <v>1.0965561008584199</v>
      </c>
      <c r="M202" s="67">
        <v>158186</v>
      </c>
    </row>
    <row r="203" spans="1:13" ht="44.95" customHeight="1">
      <c r="A203" s="647" t="s">
        <v>1469</v>
      </c>
      <c r="B203" s="647"/>
      <c r="C203" s="647"/>
      <c r="D203" s="647"/>
      <c r="E203" s="647"/>
      <c r="F203" s="647"/>
      <c r="G203" s="647"/>
      <c r="H203" s="647"/>
      <c r="I203" s="647"/>
      <c r="J203" s="647"/>
      <c r="K203" s="647"/>
      <c r="L203" s="647"/>
      <c r="M203" s="647"/>
    </row>
    <row r="205" spans="1:13">
      <c r="A205" s="293" t="s">
        <v>975</v>
      </c>
    </row>
    <row r="206" spans="1:13">
      <c r="A206" s="8">
        <v>1</v>
      </c>
      <c r="B206" s="136" t="s">
        <v>1468</v>
      </c>
    </row>
    <row r="207" spans="1:13">
      <c r="A207" s="8">
        <v>2</v>
      </c>
      <c r="B207" s="136" t="s">
        <v>976</v>
      </c>
    </row>
    <row r="208" spans="1:13">
      <c r="A208" s="8">
        <v>3</v>
      </c>
      <c r="B208" s="136" t="s">
        <v>977</v>
      </c>
    </row>
    <row r="209" spans="1:2">
      <c r="A209" s="8">
        <v>4</v>
      </c>
      <c r="B209" s="136" t="s">
        <v>978</v>
      </c>
    </row>
    <row r="210" spans="1:2">
      <c r="A210" s="8">
        <v>5</v>
      </c>
      <c r="B210" s="136" t="s">
        <v>979</v>
      </c>
    </row>
    <row r="211" spans="1:2">
      <c r="A211" s="8">
        <v>6</v>
      </c>
      <c r="B211" s="136" t="s">
        <v>980</v>
      </c>
    </row>
    <row r="212" spans="1:2">
      <c r="A212" s="8">
        <v>7</v>
      </c>
      <c r="B212" s="136" t="s">
        <v>981</v>
      </c>
    </row>
    <row r="213" spans="1:2">
      <c r="A213" s="8">
        <v>8</v>
      </c>
      <c r="B213" s="136" t="s">
        <v>982</v>
      </c>
    </row>
    <row r="214" spans="1:2">
      <c r="A214" s="8">
        <v>9</v>
      </c>
      <c r="B214" s="136" t="s">
        <v>983</v>
      </c>
    </row>
    <row r="215" spans="1:2">
      <c r="A215" s="8">
        <v>10</v>
      </c>
      <c r="B215" s="136" t="s">
        <v>984</v>
      </c>
    </row>
    <row r="216" spans="1:2">
      <c r="A216" s="8">
        <v>11</v>
      </c>
      <c r="B216" s="136" t="s">
        <v>985</v>
      </c>
    </row>
    <row r="217" spans="1:2">
      <c r="A217" s="8">
        <v>12</v>
      </c>
      <c r="B217" s="136" t="s">
        <v>986</v>
      </c>
    </row>
    <row r="218" spans="1:2">
      <c r="A218" s="8">
        <v>13</v>
      </c>
      <c r="B218" s="136" t="s">
        <v>987</v>
      </c>
    </row>
    <row r="219" spans="1:2">
      <c r="A219" s="8">
        <v>14</v>
      </c>
      <c r="B219" s="136" t="s">
        <v>988</v>
      </c>
    </row>
    <row r="220" spans="1:2">
      <c r="A220" s="8">
        <v>15</v>
      </c>
      <c r="B220" s="136" t="s">
        <v>989</v>
      </c>
    </row>
    <row r="221" spans="1:2">
      <c r="A221" s="8">
        <v>16</v>
      </c>
      <c r="B221" s="136" t="s">
        <v>990</v>
      </c>
    </row>
    <row r="222" spans="1:2">
      <c r="A222" s="8">
        <v>17</v>
      </c>
      <c r="B222" s="136" t="s">
        <v>991</v>
      </c>
    </row>
    <row r="223" spans="1:2">
      <c r="A223" s="8">
        <v>18</v>
      </c>
      <c r="B223" s="136" t="s">
        <v>992</v>
      </c>
    </row>
    <row r="224" spans="1:2">
      <c r="A224" s="8">
        <v>19</v>
      </c>
      <c r="B224" s="136" t="s">
        <v>993</v>
      </c>
    </row>
    <row r="225" spans="1:2">
      <c r="A225" s="8">
        <v>20</v>
      </c>
      <c r="B225" s="136" t="s">
        <v>994</v>
      </c>
    </row>
    <row r="226" spans="1:2">
      <c r="A226" s="8">
        <v>21</v>
      </c>
      <c r="B226" s="136" t="s">
        <v>995</v>
      </c>
    </row>
    <row r="227" spans="1:2">
      <c r="A227" s="8">
        <v>22</v>
      </c>
      <c r="B227" s="136" t="s">
        <v>996</v>
      </c>
    </row>
    <row r="228" spans="1:2">
      <c r="A228" s="8">
        <v>23</v>
      </c>
      <c r="B228" s="136" t="s">
        <v>997</v>
      </c>
    </row>
    <row r="229" spans="1:2">
      <c r="A229" s="8">
        <v>24</v>
      </c>
      <c r="B229" s="136" t="s">
        <v>998</v>
      </c>
    </row>
    <row r="230" spans="1:2">
      <c r="A230" s="8">
        <v>25</v>
      </c>
      <c r="B230" s="136" t="s">
        <v>999</v>
      </c>
    </row>
    <row r="231" spans="1:2">
      <c r="A231" s="8">
        <v>26</v>
      </c>
      <c r="B231" s="136" t="s">
        <v>1000</v>
      </c>
    </row>
    <row r="232" spans="1:2">
      <c r="A232" s="8">
        <v>27</v>
      </c>
      <c r="B232" s="136" t="s">
        <v>1001</v>
      </c>
    </row>
    <row r="233" spans="1:2">
      <c r="A233" s="8">
        <v>28</v>
      </c>
      <c r="B233" s="136" t="s">
        <v>1002</v>
      </c>
    </row>
    <row r="234" spans="1:2">
      <c r="A234" s="8">
        <v>29</v>
      </c>
      <c r="B234" s="136" t="s">
        <v>1003</v>
      </c>
    </row>
    <row r="235" spans="1:2">
      <c r="A235" s="8">
        <v>30</v>
      </c>
      <c r="B235" s="136" t="s">
        <v>1004</v>
      </c>
    </row>
    <row r="236" spans="1:2">
      <c r="A236" s="8">
        <v>31</v>
      </c>
      <c r="B236" s="136" t="s">
        <v>1005</v>
      </c>
    </row>
    <row r="237" spans="1:2">
      <c r="A237" s="8">
        <v>32</v>
      </c>
      <c r="B237" s="136" t="s">
        <v>1006</v>
      </c>
    </row>
    <row r="238" spans="1:2">
      <c r="A238" s="8">
        <v>33</v>
      </c>
      <c r="B238" s="136" t="s">
        <v>1007</v>
      </c>
    </row>
    <row r="239" spans="1:2">
      <c r="A239" s="8">
        <v>34</v>
      </c>
      <c r="B239" s="136" t="s">
        <v>1008</v>
      </c>
    </row>
    <row r="240" spans="1:2">
      <c r="A240" s="8">
        <v>35</v>
      </c>
      <c r="B240" s="136" t="s">
        <v>1009</v>
      </c>
    </row>
    <row r="241" spans="1:3">
      <c r="A241" s="306"/>
      <c r="B241" s="9"/>
      <c r="C241" s="90"/>
    </row>
  </sheetData>
  <mergeCells count="98">
    <mergeCell ref="A1:M1"/>
    <mergeCell ref="A79:B110"/>
    <mergeCell ref="A2:B2"/>
    <mergeCell ref="A13:B44"/>
    <mergeCell ref="A46:B77"/>
    <mergeCell ref="A3:B11"/>
    <mergeCell ref="A123:B123"/>
    <mergeCell ref="A112:B112"/>
    <mergeCell ref="A113:B113"/>
    <mergeCell ref="A114:B114"/>
    <mergeCell ref="A115:B115"/>
    <mergeCell ref="A116:B116"/>
    <mergeCell ref="A117:B117"/>
    <mergeCell ref="A118:B118"/>
    <mergeCell ref="A119:B119"/>
    <mergeCell ref="A120:B120"/>
    <mergeCell ref="A121:B121"/>
    <mergeCell ref="A122:B122"/>
    <mergeCell ref="A135:B135"/>
    <mergeCell ref="A124:B124"/>
    <mergeCell ref="A125:B125"/>
    <mergeCell ref="A126:B126"/>
    <mergeCell ref="A127:B127"/>
    <mergeCell ref="A128:B128"/>
    <mergeCell ref="A129:B129"/>
    <mergeCell ref="A130:B130"/>
    <mergeCell ref="A131:B131"/>
    <mergeCell ref="A132:B132"/>
    <mergeCell ref="A133:B133"/>
    <mergeCell ref="A134:B134"/>
    <mergeCell ref="A147:B147"/>
    <mergeCell ref="A136:B136"/>
    <mergeCell ref="A137:B137"/>
    <mergeCell ref="A138:B138"/>
    <mergeCell ref="A139:B139"/>
    <mergeCell ref="A140:B140"/>
    <mergeCell ref="A141:B141"/>
    <mergeCell ref="A142:B142"/>
    <mergeCell ref="A143:B143"/>
    <mergeCell ref="A144:B144"/>
    <mergeCell ref="A145:B145"/>
    <mergeCell ref="A146:B146"/>
    <mergeCell ref="A159:B159"/>
    <mergeCell ref="A148:B148"/>
    <mergeCell ref="A149:B149"/>
    <mergeCell ref="A150:B150"/>
    <mergeCell ref="A151:B151"/>
    <mergeCell ref="A152:B152"/>
    <mergeCell ref="A153:B153"/>
    <mergeCell ref="A154:B154"/>
    <mergeCell ref="A155:B155"/>
    <mergeCell ref="A156:B156"/>
    <mergeCell ref="A157:B157"/>
    <mergeCell ref="A158:B158"/>
    <mergeCell ref="A171:B171"/>
    <mergeCell ref="A160:B160"/>
    <mergeCell ref="A161:B161"/>
    <mergeCell ref="A162:B162"/>
    <mergeCell ref="A163:B163"/>
    <mergeCell ref="A164:B164"/>
    <mergeCell ref="A165:B165"/>
    <mergeCell ref="A166:B166"/>
    <mergeCell ref="A167:B167"/>
    <mergeCell ref="A168:B168"/>
    <mergeCell ref="A169:B169"/>
    <mergeCell ref="A170:B170"/>
    <mergeCell ref="A183:B183"/>
    <mergeCell ref="A172:B172"/>
    <mergeCell ref="A173:B173"/>
    <mergeCell ref="A174:B174"/>
    <mergeCell ref="A175:B175"/>
    <mergeCell ref="A176:B176"/>
    <mergeCell ref="A177:B177"/>
    <mergeCell ref="A178:B178"/>
    <mergeCell ref="A179:B179"/>
    <mergeCell ref="A180:B180"/>
    <mergeCell ref="A181:B181"/>
    <mergeCell ref="A182:B182"/>
    <mergeCell ref="A195:B195"/>
    <mergeCell ref="A184:B184"/>
    <mergeCell ref="A185:B185"/>
    <mergeCell ref="A186:B186"/>
    <mergeCell ref="A187:B187"/>
    <mergeCell ref="A188:B188"/>
    <mergeCell ref="A189:B189"/>
    <mergeCell ref="A190:B190"/>
    <mergeCell ref="A191:B191"/>
    <mergeCell ref="A192:B192"/>
    <mergeCell ref="A193:B193"/>
    <mergeCell ref="A194:B194"/>
    <mergeCell ref="A203:M203"/>
    <mergeCell ref="A202:B202"/>
    <mergeCell ref="A196:B196"/>
    <mergeCell ref="A197:B197"/>
    <mergeCell ref="A198:B198"/>
    <mergeCell ref="A199:B199"/>
    <mergeCell ref="A200:B200"/>
    <mergeCell ref="A201:B20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93018-CB94-4DEA-B201-6D367AFD7C83}">
  <dimension ref="A1:X323"/>
  <sheetViews>
    <sheetView topLeftCell="A305" zoomScaleNormal="100" workbookViewId="0">
      <selection activeCell="A2" sqref="A2"/>
    </sheetView>
  </sheetViews>
  <sheetFormatPr defaultColWidth="8.7890625" defaultRowHeight="14.4"/>
  <cols>
    <col min="1" max="1" width="8.7890625" style="189"/>
    <col min="2" max="2" width="28.7890625" style="189" customWidth="1"/>
    <col min="3" max="3" width="32.7890625" style="189" customWidth="1"/>
    <col min="4" max="4" width="9.47265625" style="190" bestFit="1" customWidth="1"/>
    <col min="5" max="5" width="7.47265625" style="192" customWidth="1"/>
    <col min="6" max="6" width="7.47265625" style="191" customWidth="1"/>
    <col min="7" max="7" width="7.15625" style="191" customWidth="1"/>
    <col min="8" max="10" width="8.7890625" style="191" bestFit="1" customWidth="1"/>
  </cols>
  <sheetData>
    <row r="1" spans="1:24">
      <c r="A1" s="650" t="s">
        <v>1546</v>
      </c>
      <c r="B1" s="650"/>
      <c r="C1" s="650"/>
      <c r="D1" s="650"/>
      <c r="E1" s="650"/>
      <c r="F1" s="650"/>
      <c r="G1" s="650"/>
      <c r="H1" s="650"/>
      <c r="I1" s="650"/>
      <c r="J1" s="650"/>
      <c r="K1" s="318"/>
      <c r="L1" s="318"/>
      <c r="M1" s="318"/>
    </row>
    <row r="2" spans="1:24">
      <c r="A2" s="82"/>
      <c r="B2" s="82"/>
      <c r="C2" s="196" t="s">
        <v>770</v>
      </c>
      <c r="D2" s="378" t="s">
        <v>771</v>
      </c>
      <c r="E2" s="379" t="s">
        <v>800</v>
      </c>
      <c r="F2" s="380" t="s">
        <v>1474</v>
      </c>
      <c r="G2" s="380" t="s">
        <v>801</v>
      </c>
      <c r="H2" s="380" t="s">
        <v>772</v>
      </c>
      <c r="I2" s="380" t="s">
        <v>698</v>
      </c>
      <c r="J2" s="380" t="s">
        <v>1472</v>
      </c>
    </row>
    <row r="3" spans="1:24" s="1" customFormat="1">
      <c r="A3" s="56" t="s">
        <v>6</v>
      </c>
      <c r="B3" s="52"/>
      <c r="C3" s="52"/>
      <c r="D3" s="54"/>
      <c r="E3" s="197"/>
      <c r="F3" s="198"/>
      <c r="G3" s="198"/>
      <c r="H3" s="198"/>
      <c r="I3" s="101"/>
      <c r="J3" s="100"/>
      <c r="K3" s="9"/>
    </row>
    <row r="4" spans="1:24">
      <c r="A4" s="82"/>
      <c r="B4" s="612" t="s">
        <v>7</v>
      </c>
      <c r="C4" s="82" t="s">
        <v>715</v>
      </c>
      <c r="D4" s="106">
        <v>1043169</v>
      </c>
      <c r="E4" s="208">
        <v>0.13</v>
      </c>
      <c r="F4" s="107">
        <v>5.5999999999999999E-3</v>
      </c>
      <c r="G4" s="107">
        <v>1.0771999999999999</v>
      </c>
      <c r="H4" s="107">
        <v>1.2652000000000001</v>
      </c>
      <c r="I4" s="107">
        <v>0.67410000000000003</v>
      </c>
      <c r="J4" s="107">
        <v>7.9000000000000008E-3</v>
      </c>
    </row>
    <row r="5" spans="1:24">
      <c r="A5" s="82"/>
      <c r="B5" s="616"/>
      <c r="C5" s="82" t="s">
        <v>14</v>
      </c>
      <c r="D5" s="106">
        <v>1169142</v>
      </c>
      <c r="E5" s="208">
        <v>0.23350000000000001</v>
      </c>
      <c r="F5" s="107">
        <v>9.1999999999999998E-3</v>
      </c>
      <c r="G5" s="107">
        <v>1.5585</v>
      </c>
      <c r="H5" s="107">
        <v>1.7367999999999999</v>
      </c>
      <c r="I5" s="107">
        <v>1.0590999999999999</v>
      </c>
      <c r="J5" s="107">
        <v>1.15E-2</v>
      </c>
    </row>
    <row r="6" spans="1:24">
      <c r="A6" s="82"/>
      <c r="B6" s="616"/>
      <c r="C6" s="82" t="s">
        <v>16</v>
      </c>
      <c r="D6" s="106">
        <v>1169237</v>
      </c>
      <c r="E6" s="208">
        <v>0.2364</v>
      </c>
      <c r="F6" s="107">
        <v>9.7000000000000003E-3</v>
      </c>
      <c r="G6" s="107">
        <v>1.5585</v>
      </c>
      <c r="H6" s="107">
        <v>1.7221</v>
      </c>
      <c r="I6" s="107">
        <v>1.0389999999999999</v>
      </c>
      <c r="J6" s="107">
        <v>1.04E-2</v>
      </c>
    </row>
    <row r="7" spans="1:24">
      <c r="A7" s="82"/>
      <c r="B7" s="613"/>
      <c r="C7" s="209" t="s">
        <v>18</v>
      </c>
      <c r="D7" s="210">
        <v>1169256</v>
      </c>
      <c r="E7" s="211">
        <v>0.24779999999999999</v>
      </c>
      <c r="F7" s="212">
        <v>9.4999999999999998E-3</v>
      </c>
      <c r="G7" s="212">
        <v>1.5585</v>
      </c>
      <c r="H7" s="212">
        <v>1.7504999999999999</v>
      </c>
      <c r="I7" s="212">
        <v>1.0313000000000001</v>
      </c>
      <c r="J7" s="212">
        <v>1.0800000000000001E-2</v>
      </c>
    </row>
    <row r="8" spans="1:24">
      <c r="A8" s="82"/>
      <c r="B8" s="616" t="s">
        <v>19</v>
      </c>
      <c r="C8" s="82" t="s">
        <v>747</v>
      </c>
      <c r="D8" s="106">
        <v>1081832</v>
      </c>
      <c r="E8" s="208">
        <v>0.41830000000000001</v>
      </c>
      <c r="F8" s="107">
        <v>2.0899999999999998E-2</v>
      </c>
      <c r="G8" s="107">
        <v>5.2270000000000003</v>
      </c>
      <c r="H8" s="107">
        <v>13.8604</v>
      </c>
      <c r="I8" s="107">
        <v>1.9077999999999999</v>
      </c>
      <c r="J8" s="107">
        <v>0.2029</v>
      </c>
    </row>
    <row r="9" spans="1:24">
      <c r="A9" s="82"/>
      <c r="B9" s="616"/>
      <c r="C9" s="82" t="s">
        <v>746</v>
      </c>
      <c r="D9" s="106">
        <v>1081891</v>
      </c>
      <c r="E9" s="208">
        <v>0.41660000000000003</v>
      </c>
      <c r="F9" s="107">
        <v>2.0799999999999999E-2</v>
      </c>
      <c r="G9" s="107">
        <v>4.6092000000000004</v>
      </c>
      <c r="H9" s="107">
        <v>12.006600000000001</v>
      </c>
      <c r="I9" s="107">
        <v>1.7174</v>
      </c>
      <c r="J9" s="107">
        <v>0.17530000000000001</v>
      </c>
    </row>
    <row r="10" spans="1:24">
      <c r="A10" s="82"/>
      <c r="B10" s="616"/>
      <c r="C10" s="82" t="s">
        <v>14</v>
      </c>
      <c r="D10" s="106">
        <v>1169127</v>
      </c>
      <c r="E10" s="208">
        <v>0.49030000000000001</v>
      </c>
      <c r="F10" s="107">
        <v>2.4299999999999999E-2</v>
      </c>
      <c r="G10" s="107">
        <v>1.8405</v>
      </c>
      <c r="H10" s="107">
        <v>2.8052000000000001</v>
      </c>
      <c r="I10" s="107">
        <v>1.2742</v>
      </c>
      <c r="J10" s="107">
        <v>2.06E-2</v>
      </c>
    </row>
    <row r="11" spans="1:24">
      <c r="A11" s="82"/>
      <c r="B11" s="616"/>
      <c r="C11" s="82" t="s">
        <v>16</v>
      </c>
      <c r="D11" s="106">
        <v>1169237</v>
      </c>
      <c r="E11" s="208">
        <v>0.47960000000000003</v>
      </c>
      <c r="F11" s="107">
        <v>2.47E-2</v>
      </c>
      <c r="G11" s="107">
        <v>1.7647999999999999</v>
      </c>
      <c r="H11" s="107">
        <v>2.7225999999999999</v>
      </c>
      <c r="I11" s="107">
        <v>1.2000999999999999</v>
      </c>
      <c r="J11" s="107">
        <v>2.1600000000000001E-2</v>
      </c>
    </row>
    <row r="12" spans="1:24">
      <c r="A12" s="82"/>
      <c r="B12" s="616"/>
      <c r="C12" s="82" t="s">
        <v>18</v>
      </c>
      <c r="D12" s="106">
        <v>1169247</v>
      </c>
      <c r="E12" s="208">
        <v>0.48749999999999999</v>
      </c>
      <c r="F12" s="107">
        <v>2.2499999999999999E-2</v>
      </c>
      <c r="G12" s="107">
        <v>1.8405</v>
      </c>
      <c r="H12" s="107">
        <v>2.7259000000000002</v>
      </c>
      <c r="I12" s="107">
        <v>1.2059</v>
      </c>
      <c r="J12" s="107">
        <v>2.2200000000000001E-2</v>
      </c>
    </row>
    <row r="13" spans="1:24">
      <c r="A13" s="82"/>
      <c r="B13" s="616"/>
      <c r="C13" s="82" t="s">
        <v>726</v>
      </c>
      <c r="D13" s="106">
        <v>1042620</v>
      </c>
      <c r="E13" s="208">
        <v>0.31540000000000001</v>
      </c>
      <c r="F13" s="107">
        <v>1.44E-2</v>
      </c>
      <c r="G13" s="107">
        <v>2.0007000000000001</v>
      </c>
      <c r="H13" s="107">
        <v>2.9855999999999998</v>
      </c>
      <c r="I13" s="107">
        <v>1.3290999999999999</v>
      </c>
      <c r="J13" s="107">
        <v>1.95E-2</v>
      </c>
    </row>
    <row r="14" spans="1:24">
      <c r="A14" s="82"/>
      <c r="B14" s="616"/>
      <c r="C14" s="82" t="s">
        <v>762</v>
      </c>
      <c r="D14" s="106">
        <v>1046661</v>
      </c>
      <c r="E14" s="208">
        <v>0.41489999999999999</v>
      </c>
      <c r="F14" s="107">
        <v>2.1999999999999999E-2</v>
      </c>
      <c r="G14" s="107">
        <v>5.3087</v>
      </c>
      <c r="H14" s="107">
        <v>15.625400000000001</v>
      </c>
      <c r="I14" s="107">
        <v>2.1128</v>
      </c>
      <c r="J14" s="107">
        <v>0.20699999999999999</v>
      </c>
    </row>
    <row r="15" spans="1:24">
      <c r="A15" s="209"/>
      <c r="B15" s="613"/>
      <c r="C15" s="209" t="s">
        <v>763</v>
      </c>
      <c r="D15" s="210">
        <v>1069628</v>
      </c>
      <c r="E15" s="211">
        <v>0.32719999999999999</v>
      </c>
      <c r="F15" s="212">
        <v>1.72E-2</v>
      </c>
      <c r="G15" s="212">
        <v>3.8012999999999999</v>
      </c>
      <c r="H15" s="212">
        <v>9.3012999999999995</v>
      </c>
      <c r="I15" s="212">
        <v>1.7946</v>
      </c>
      <c r="J15" s="212">
        <v>0.1231</v>
      </c>
    </row>
    <row r="16" spans="1:24" s="1" customFormat="1">
      <c r="A16" s="51" t="s">
        <v>564</v>
      </c>
      <c r="B16" s="52"/>
      <c r="C16" s="83"/>
      <c r="D16" s="54"/>
      <c r="E16" s="199"/>
      <c r="F16" s="200"/>
      <c r="G16" s="198"/>
      <c r="H16" s="198"/>
      <c r="I16" s="101"/>
      <c r="J16" s="213"/>
      <c r="K16" s="14"/>
      <c r="L16"/>
      <c r="M16" s="14"/>
      <c r="N16" s="14"/>
      <c r="O16" s="14"/>
      <c r="P16" s="14"/>
      <c r="Q16" s="14"/>
      <c r="R16" s="14"/>
      <c r="S16" s="14"/>
      <c r="T16" s="14"/>
      <c r="U16" s="14"/>
      <c r="V16" s="14"/>
      <c r="W16" s="14"/>
      <c r="X16" s="14"/>
    </row>
    <row r="17" spans="1:10">
      <c r="A17" s="82"/>
      <c r="B17" s="612" t="s">
        <v>234</v>
      </c>
      <c r="C17" s="204" t="s">
        <v>743</v>
      </c>
      <c r="D17" s="205">
        <v>1178017</v>
      </c>
      <c r="E17" s="206">
        <v>0.1502</v>
      </c>
      <c r="F17" s="207">
        <v>3.15E-2</v>
      </c>
      <c r="G17" s="207">
        <v>2.1372</v>
      </c>
      <c r="H17" s="207">
        <v>4.4678000000000004</v>
      </c>
      <c r="I17" s="207">
        <v>1.3499000000000001</v>
      </c>
      <c r="J17" s="207">
        <v>0.12139999999999999</v>
      </c>
    </row>
    <row r="18" spans="1:10">
      <c r="A18" s="82"/>
      <c r="B18" s="616"/>
      <c r="C18" s="82" t="s">
        <v>744</v>
      </c>
      <c r="D18" s="106">
        <v>1180073</v>
      </c>
      <c r="E18" s="208">
        <v>0.15440000000000001</v>
      </c>
      <c r="F18" s="107">
        <v>3.0499999999999999E-2</v>
      </c>
      <c r="G18" s="107">
        <v>1.9881</v>
      </c>
      <c r="H18" s="107">
        <v>3.7</v>
      </c>
      <c r="I18" s="107">
        <v>1.3427</v>
      </c>
      <c r="J18" s="107">
        <v>0.1114</v>
      </c>
    </row>
    <row r="19" spans="1:10">
      <c r="A19" s="82"/>
      <c r="B19" s="616"/>
      <c r="C19" s="82" t="s">
        <v>714</v>
      </c>
      <c r="D19" s="106">
        <v>1024883</v>
      </c>
      <c r="E19" s="208">
        <v>0.1915</v>
      </c>
      <c r="F19" s="107">
        <v>1.7399999999999999E-2</v>
      </c>
      <c r="G19" s="107">
        <v>1.7218</v>
      </c>
      <c r="H19" s="107">
        <v>2.5308000000000002</v>
      </c>
      <c r="I19" s="107">
        <v>1.2682</v>
      </c>
      <c r="J19" s="107">
        <v>0.1036</v>
      </c>
    </row>
    <row r="20" spans="1:10">
      <c r="A20" s="82"/>
      <c r="B20" s="616"/>
      <c r="C20" s="82" t="s">
        <v>14</v>
      </c>
      <c r="D20" s="106">
        <v>1168689</v>
      </c>
      <c r="E20" s="208">
        <v>0.22189999999999999</v>
      </c>
      <c r="F20" s="107">
        <v>2.58E-2</v>
      </c>
      <c r="G20" s="107">
        <v>1.3546</v>
      </c>
      <c r="H20" s="107">
        <v>1.7036</v>
      </c>
      <c r="I20" s="107">
        <v>1.1409</v>
      </c>
      <c r="J20" s="107">
        <v>5.1900000000000002E-2</v>
      </c>
    </row>
    <row r="21" spans="1:10">
      <c r="A21" s="82"/>
      <c r="B21" s="616"/>
      <c r="C21" s="82" t="s">
        <v>16</v>
      </c>
      <c r="D21" s="106">
        <v>1168829</v>
      </c>
      <c r="E21" s="208">
        <v>0.23269999999999999</v>
      </c>
      <c r="F21" s="107">
        <v>2.81E-2</v>
      </c>
      <c r="G21" s="107">
        <v>1.3581000000000001</v>
      </c>
      <c r="H21" s="107">
        <v>1.7074</v>
      </c>
      <c r="I21" s="107">
        <v>1.1258999999999999</v>
      </c>
      <c r="J21" s="107">
        <v>4.8099999999999997E-2</v>
      </c>
    </row>
    <row r="22" spans="1:10">
      <c r="A22" s="82"/>
      <c r="B22" s="613"/>
      <c r="C22" s="209" t="s">
        <v>18</v>
      </c>
      <c r="D22" s="210">
        <v>1168822</v>
      </c>
      <c r="E22" s="211">
        <v>0.222</v>
      </c>
      <c r="F22" s="212">
        <v>2.8299999999999999E-2</v>
      </c>
      <c r="G22" s="212">
        <v>1.3512</v>
      </c>
      <c r="H22" s="212">
        <v>1.6894</v>
      </c>
      <c r="I22" s="212">
        <v>1.1297999999999999</v>
      </c>
      <c r="J22" s="212">
        <v>4.9500000000000002E-2</v>
      </c>
    </row>
    <row r="23" spans="1:10">
      <c r="A23" s="82"/>
      <c r="B23" s="612" t="s">
        <v>245</v>
      </c>
      <c r="C23" s="204" t="s">
        <v>743</v>
      </c>
      <c r="D23" s="205">
        <v>1177123</v>
      </c>
      <c r="E23" s="206">
        <v>0.123</v>
      </c>
      <c r="F23" s="207">
        <v>3.1800000000000002E-2</v>
      </c>
      <c r="G23" s="207">
        <v>1.5437000000000001</v>
      </c>
      <c r="H23" s="207">
        <v>3.4649000000000001</v>
      </c>
      <c r="I23" s="207">
        <v>1.198</v>
      </c>
      <c r="J23" s="207">
        <v>0.11409999999999999</v>
      </c>
    </row>
    <row r="24" spans="1:10">
      <c r="A24" s="82"/>
      <c r="B24" s="616"/>
      <c r="C24" s="82" t="s">
        <v>744</v>
      </c>
      <c r="D24" s="106">
        <v>1180054</v>
      </c>
      <c r="E24" s="208">
        <v>0.11559999999999999</v>
      </c>
      <c r="F24" s="107">
        <v>2.29E-2</v>
      </c>
      <c r="G24" s="107">
        <v>1.4744999999999999</v>
      </c>
      <c r="H24" s="107">
        <v>2.7757999999999998</v>
      </c>
      <c r="I24" s="107">
        <v>1.1879</v>
      </c>
      <c r="J24" s="107">
        <v>0.1022</v>
      </c>
    </row>
    <row r="25" spans="1:10">
      <c r="A25" s="82"/>
      <c r="B25" s="616"/>
      <c r="C25" s="82" t="s">
        <v>714</v>
      </c>
      <c r="D25" s="106">
        <v>1024886</v>
      </c>
      <c r="E25" s="208">
        <v>0.15229999999999999</v>
      </c>
      <c r="F25" s="107">
        <v>1.8700000000000001E-2</v>
      </c>
      <c r="G25" s="107">
        <v>1.4069</v>
      </c>
      <c r="H25" s="107">
        <v>2.2660999999999998</v>
      </c>
      <c r="I25" s="107">
        <v>1.1496</v>
      </c>
      <c r="J25" s="107">
        <v>9.8400000000000001E-2</v>
      </c>
    </row>
    <row r="26" spans="1:10">
      <c r="A26" s="82"/>
      <c r="B26" s="616"/>
      <c r="C26" s="82" t="s">
        <v>14</v>
      </c>
      <c r="D26" s="106">
        <v>1168694</v>
      </c>
      <c r="E26" s="208">
        <v>0.18240000000000001</v>
      </c>
      <c r="F26" s="107">
        <v>2.7699999999999999E-2</v>
      </c>
      <c r="G26" s="107">
        <v>1.2498</v>
      </c>
      <c r="H26" s="107">
        <v>1.6186</v>
      </c>
      <c r="I26" s="107">
        <v>1.1234</v>
      </c>
      <c r="J26" s="107">
        <v>8.2699999999999996E-2</v>
      </c>
    </row>
    <row r="27" spans="1:10">
      <c r="A27" s="82"/>
      <c r="B27" s="616"/>
      <c r="C27" s="82" t="s">
        <v>16</v>
      </c>
      <c r="D27" s="106">
        <v>1168809</v>
      </c>
      <c r="E27" s="208">
        <v>0.17399999999999999</v>
      </c>
      <c r="F27" s="107">
        <v>2.63E-2</v>
      </c>
      <c r="G27" s="107">
        <v>1.2234</v>
      </c>
      <c r="H27" s="107">
        <v>1.5852999999999999</v>
      </c>
      <c r="I27" s="107">
        <v>1.1160000000000001</v>
      </c>
      <c r="J27" s="107">
        <v>8.5199999999999998E-2</v>
      </c>
    </row>
    <row r="28" spans="1:10">
      <c r="A28" s="82"/>
      <c r="B28" s="613"/>
      <c r="C28" s="209" t="s">
        <v>18</v>
      </c>
      <c r="D28" s="210">
        <v>1168815</v>
      </c>
      <c r="E28" s="211">
        <v>0.1666</v>
      </c>
      <c r="F28" s="212">
        <v>2.8500000000000001E-2</v>
      </c>
      <c r="G28" s="212">
        <v>1.2168000000000001</v>
      </c>
      <c r="H28" s="212">
        <v>1.5782</v>
      </c>
      <c r="I28" s="212">
        <v>1.1234999999999999</v>
      </c>
      <c r="J28" s="212">
        <v>8.0600000000000005E-2</v>
      </c>
    </row>
    <row r="29" spans="1:10">
      <c r="A29" s="82"/>
      <c r="B29" s="654" t="s">
        <v>251</v>
      </c>
      <c r="C29" s="204" t="s">
        <v>743</v>
      </c>
      <c r="D29" s="205">
        <v>1172719</v>
      </c>
      <c r="E29" s="206">
        <v>0.12239999999999999</v>
      </c>
      <c r="F29" s="207">
        <v>2.1700000000000001E-2</v>
      </c>
      <c r="G29" s="207">
        <v>1.5327</v>
      </c>
      <c r="H29" s="207">
        <v>3.1236999999999999</v>
      </c>
      <c r="I29" s="207">
        <v>1.2079</v>
      </c>
      <c r="J29" s="207">
        <v>9.4E-2</v>
      </c>
    </row>
    <row r="30" spans="1:10">
      <c r="A30" s="82"/>
      <c r="B30" s="655"/>
      <c r="C30" s="82" t="s">
        <v>744</v>
      </c>
      <c r="D30" s="106">
        <v>1178954</v>
      </c>
      <c r="E30" s="208">
        <v>0.125</v>
      </c>
      <c r="F30" s="107">
        <v>1.66E-2</v>
      </c>
      <c r="G30" s="107">
        <v>1.4744999999999999</v>
      </c>
      <c r="H30" s="107">
        <v>2.4826000000000001</v>
      </c>
      <c r="I30" s="107">
        <v>1.2101999999999999</v>
      </c>
      <c r="J30" s="107">
        <v>8.1799999999999998E-2</v>
      </c>
    </row>
    <row r="31" spans="1:10">
      <c r="A31" s="82"/>
      <c r="B31" s="655"/>
      <c r="C31" s="82" t="s">
        <v>14</v>
      </c>
      <c r="D31" s="106">
        <v>1168689</v>
      </c>
      <c r="E31" s="208">
        <v>0.18390000000000001</v>
      </c>
      <c r="F31" s="107">
        <v>3.3500000000000002E-2</v>
      </c>
      <c r="G31" s="107">
        <v>1.2531000000000001</v>
      </c>
      <c r="H31" s="107">
        <v>1.5985</v>
      </c>
      <c r="I31" s="107">
        <v>1.1284000000000001</v>
      </c>
      <c r="J31" s="107">
        <v>8.1100000000000005E-2</v>
      </c>
    </row>
    <row r="32" spans="1:10">
      <c r="A32" s="82"/>
      <c r="B32" s="655"/>
      <c r="C32" s="82" t="s">
        <v>16</v>
      </c>
      <c r="D32" s="106">
        <v>1168828</v>
      </c>
      <c r="E32" s="208">
        <v>0.1711</v>
      </c>
      <c r="F32" s="107">
        <v>3.3599999999999998E-2</v>
      </c>
      <c r="G32" s="107">
        <v>1.2266999999999999</v>
      </c>
      <c r="H32" s="107">
        <v>1.5710999999999999</v>
      </c>
      <c r="I32" s="107">
        <v>1.1345000000000001</v>
      </c>
      <c r="J32" s="107">
        <v>8.7099999999999997E-2</v>
      </c>
    </row>
    <row r="33" spans="1:10">
      <c r="A33" s="82"/>
      <c r="B33" s="656"/>
      <c r="C33" s="209" t="s">
        <v>18</v>
      </c>
      <c r="D33" s="210">
        <v>1168822</v>
      </c>
      <c r="E33" s="211">
        <v>0.1593</v>
      </c>
      <c r="F33" s="212">
        <v>3.4799999999999998E-2</v>
      </c>
      <c r="G33" s="212">
        <v>1.2168000000000001</v>
      </c>
      <c r="H33" s="212">
        <v>1.5518000000000001</v>
      </c>
      <c r="I33" s="212">
        <v>1.1418999999999999</v>
      </c>
      <c r="J33" s="212">
        <v>8.43E-2</v>
      </c>
    </row>
    <row r="34" spans="1:10">
      <c r="A34" s="82"/>
      <c r="B34" s="612" t="s">
        <v>258</v>
      </c>
      <c r="C34" s="204" t="s">
        <v>743</v>
      </c>
      <c r="D34" s="205">
        <v>1177436</v>
      </c>
      <c r="E34" s="206">
        <v>0.1205</v>
      </c>
      <c r="F34" s="207">
        <v>2.0899999999999998E-2</v>
      </c>
      <c r="G34" s="207">
        <v>1.984</v>
      </c>
      <c r="H34" s="207">
        <v>4.2580999999999998</v>
      </c>
      <c r="I34" s="207">
        <v>1.1412</v>
      </c>
      <c r="J34" s="207">
        <v>0.1573</v>
      </c>
    </row>
    <row r="35" spans="1:10">
      <c r="A35" s="82"/>
      <c r="B35" s="616"/>
      <c r="C35" s="82" t="s">
        <v>744</v>
      </c>
      <c r="D35" s="106">
        <v>1180144</v>
      </c>
      <c r="E35" s="208">
        <v>0.13669999999999999</v>
      </c>
      <c r="F35" s="107">
        <v>2.4500000000000001E-2</v>
      </c>
      <c r="G35" s="107">
        <v>1.8485</v>
      </c>
      <c r="H35" s="107">
        <v>3.556</v>
      </c>
      <c r="I35" s="107">
        <v>1.1234</v>
      </c>
      <c r="J35" s="107">
        <v>0.1258</v>
      </c>
    </row>
    <row r="36" spans="1:10">
      <c r="A36" s="82"/>
      <c r="B36" s="616"/>
      <c r="C36" s="82" t="s">
        <v>714</v>
      </c>
      <c r="D36" s="106">
        <v>1024891</v>
      </c>
      <c r="E36" s="208">
        <v>0.18629999999999999</v>
      </c>
      <c r="F36" s="107">
        <v>2.7799999999999998E-2</v>
      </c>
      <c r="G36" s="107">
        <v>1.641</v>
      </c>
      <c r="H36" s="107">
        <v>2.4923000000000002</v>
      </c>
      <c r="I36" s="107">
        <v>1.0753999999999999</v>
      </c>
      <c r="J36" s="107">
        <v>4.6899999999999997E-2</v>
      </c>
    </row>
    <row r="37" spans="1:10">
      <c r="A37" s="82"/>
      <c r="B37" s="616"/>
      <c r="C37" s="82" t="s">
        <v>14</v>
      </c>
      <c r="D37" s="106">
        <v>1168698</v>
      </c>
      <c r="E37" s="208">
        <v>0.2198</v>
      </c>
      <c r="F37" s="107">
        <v>3.6499999999999998E-2</v>
      </c>
      <c r="G37" s="107">
        <v>1.3134999999999999</v>
      </c>
      <c r="H37" s="107">
        <v>1.6698999999999999</v>
      </c>
      <c r="I37" s="107">
        <v>1.0309999999999999</v>
      </c>
      <c r="J37" s="107">
        <v>3.0200000000000001E-2</v>
      </c>
    </row>
    <row r="38" spans="1:10">
      <c r="A38" s="82"/>
      <c r="B38" s="616"/>
      <c r="C38" s="82" t="s">
        <v>16</v>
      </c>
      <c r="D38" s="106">
        <v>1168814</v>
      </c>
      <c r="E38" s="208">
        <v>0.21490000000000001</v>
      </c>
      <c r="F38" s="107">
        <v>3.5499999999999997E-2</v>
      </c>
      <c r="G38" s="107">
        <v>1.3068</v>
      </c>
      <c r="H38" s="107">
        <v>1.6546000000000001</v>
      </c>
      <c r="I38" s="107">
        <v>1.0371999999999999</v>
      </c>
      <c r="J38" s="107">
        <v>2.93E-2</v>
      </c>
    </row>
    <row r="39" spans="1:10">
      <c r="A39" s="82"/>
      <c r="B39" s="613"/>
      <c r="C39" s="209" t="s">
        <v>18</v>
      </c>
      <c r="D39" s="210">
        <v>1168814</v>
      </c>
      <c r="E39" s="211">
        <v>0.21240000000000001</v>
      </c>
      <c r="F39" s="212">
        <v>3.5499999999999997E-2</v>
      </c>
      <c r="G39" s="212">
        <v>1.3068</v>
      </c>
      <c r="H39" s="212">
        <v>1.6479999999999999</v>
      </c>
      <c r="I39" s="212">
        <v>1.0331999999999999</v>
      </c>
      <c r="J39" s="212">
        <v>2.9899999999999999E-2</v>
      </c>
    </row>
    <row r="40" spans="1:10">
      <c r="A40" s="82"/>
      <c r="B40" s="612" t="s">
        <v>264</v>
      </c>
      <c r="C40" s="204" t="s">
        <v>743</v>
      </c>
      <c r="D40" s="205">
        <v>1177153</v>
      </c>
      <c r="E40" s="206">
        <v>9.4100000000000003E-2</v>
      </c>
      <c r="F40" s="207">
        <v>8.8000000000000005E-3</v>
      </c>
      <c r="G40" s="207">
        <v>1.984</v>
      </c>
      <c r="H40" s="207">
        <v>3.5514999999999999</v>
      </c>
      <c r="I40" s="207">
        <v>1.2015</v>
      </c>
      <c r="J40" s="207">
        <v>9.7900000000000001E-2</v>
      </c>
    </row>
    <row r="41" spans="1:10">
      <c r="A41" s="82"/>
      <c r="B41" s="616"/>
      <c r="C41" s="82" t="s">
        <v>744</v>
      </c>
      <c r="D41" s="106">
        <v>1179937</v>
      </c>
      <c r="E41" s="208">
        <v>0.11</v>
      </c>
      <c r="F41" s="107">
        <v>1.18E-2</v>
      </c>
      <c r="G41" s="107">
        <v>1.8485</v>
      </c>
      <c r="H41" s="107">
        <v>3.1023999999999998</v>
      </c>
      <c r="I41" s="107">
        <v>1.1702999999999999</v>
      </c>
      <c r="J41" s="107">
        <v>8.0500000000000002E-2</v>
      </c>
    </row>
    <row r="42" spans="1:10">
      <c r="A42" s="82"/>
      <c r="B42" s="616"/>
      <c r="C42" s="82" t="s">
        <v>714</v>
      </c>
      <c r="D42" s="106">
        <v>1024848</v>
      </c>
      <c r="E42" s="208">
        <v>0.16719999999999999</v>
      </c>
      <c r="F42" s="107">
        <v>1.8800000000000001E-2</v>
      </c>
      <c r="G42" s="107">
        <v>1.6334</v>
      </c>
      <c r="H42" s="107">
        <v>2.3993000000000002</v>
      </c>
      <c r="I42" s="107">
        <v>1.1103000000000001</v>
      </c>
      <c r="J42" s="107">
        <v>5.0599999999999999E-2</v>
      </c>
    </row>
    <row r="43" spans="1:10">
      <c r="A43" s="82"/>
      <c r="B43" s="616"/>
      <c r="C43" s="82" t="s">
        <v>14</v>
      </c>
      <c r="D43" s="106">
        <v>1168697</v>
      </c>
      <c r="E43" s="208">
        <v>0.219</v>
      </c>
      <c r="F43" s="107">
        <v>3.5999999999999997E-2</v>
      </c>
      <c r="G43" s="107">
        <v>1.3101</v>
      </c>
      <c r="H43" s="107">
        <v>1.6686000000000001</v>
      </c>
      <c r="I43" s="107">
        <v>1.0317000000000001</v>
      </c>
      <c r="J43" s="107">
        <v>3.0099999999999998E-2</v>
      </c>
    </row>
    <row r="44" spans="1:10">
      <c r="A44" s="82"/>
      <c r="B44" s="616"/>
      <c r="C44" s="82" t="s">
        <v>16</v>
      </c>
      <c r="D44" s="106">
        <v>1168814</v>
      </c>
      <c r="E44" s="208">
        <v>0.21490000000000001</v>
      </c>
      <c r="F44" s="107">
        <v>3.5499999999999997E-2</v>
      </c>
      <c r="G44" s="107">
        <v>1.3101</v>
      </c>
      <c r="H44" s="107">
        <v>1.6547000000000001</v>
      </c>
      <c r="I44" s="107">
        <v>1.0374000000000001</v>
      </c>
      <c r="J44" s="107">
        <v>2.93E-2</v>
      </c>
    </row>
    <row r="45" spans="1:10">
      <c r="A45" s="82"/>
      <c r="B45" s="613"/>
      <c r="C45" s="209" t="s">
        <v>18</v>
      </c>
      <c r="D45" s="210">
        <v>1168813</v>
      </c>
      <c r="E45" s="211">
        <v>0.21160000000000001</v>
      </c>
      <c r="F45" s="212">
        <v>3.5099999999999999E-2</v>
      </c>
      <c r="G45" s="212">
        <v>1.3101</v>
      </c>
      <c r="H45" s="212">
        <v>1.6468</v>
      </c>
      <c r="I45" s="212">
        <v>1.0339</v>
      </c>
      <c r="J45" s="212">
        <v>2.9899999999999999E-2</v>
      </c>
    </row>
    <row r="46" spans="1:10">
      <c r="A46" s="82"/>
      <c r="B46" s="654" t="s">
        <v>269</v>
      </c>
      <c r="C46" s="204" t="s">
        <v>716</v>
      </c>
      <c r="D46" s="205">
        <v>1152930</v>
      </c>
      <c r="E46" s="206">
        <v>0.1363</v>
      </c>
      <c r="F46" s="207">
        <v>6.4999999999999997E-3</v>
      </c>
      <c r="G46" s="207">
        <v>2.0640999999999998</v>
      </c>
      <c r="H46" s="207">
        <v>3.2161</v>
      </c>
      <c r="I46" s="207">
        <v>1.095</v>
      </c>
      <c r="J46" s="207">
        <v>3.6400000000000002E-2</v>
      </c>
    </row>
    <row r="47" spans="1:10">
      <c r="A47" s="82"/>
      <c r="B47" s="655"/>
      <c r="C47" s="82" t="s">
        <v>748</v>
      </c>
      <c r="D47" s="106">
        <v>1079712</v>
      </c>
      <c r="E47" s="208">
        <v>0.1072</v>
      </c>
      <c r="F47" s="107">
        <v>6.8999999999999999E-3</v>
      </c>
      <c r="G47" s="107">
        <v>1.4744999999999999</v>
      </c>
      <c r="H47" s="107">
        <v>1.7422</v>
      </c>
      <c r="I47" s="107">
        <v>1.0658000000000001</v>
      </c>
      <c r="J47" s="107">
        <v>1.9099999999999999E-2</v>
      </c>
    </row>
    <row r="48" spans="1:10">
      <c r="A48" s="82"/>
      <c r="B48" s="655"/>
      <c r="C48" s="82" t="s">
        <v>14</v>
      </c>
      <c r="D48" s="106">
        <v>1168697</v>
      </c>
      <c r="E48" s="208">
        <v>0.19650000000000001</v>
      </c>
      <c r="F48" s="107">
        <v>1.15E-2</v>
      </c>
      <c r="G48" s="107">
        <v>1.4280999999999999</v>
      </c>
      <c r="H48" s="107">
        <v>1.6642999999999999</v>
      </c>
      <c r="I48" s="107">
        <v>1.0596000000000001</v>
      </c>
      <c r="J48" s="107">
        <v>1.44E-2</v>
      </c>
    </row>
    <row r="49" spans="1:24">
      <c r="A49" s="82"/>
      <c r="B49" s="655"/>
      <c r="C49" s="82" t="s">
        <v>16</v>
      </c>
      <c r="D49" s="106">
        <v>1168807</v>
      </c>
      <c r="E49" s="208">
        <v>0.1782</v>
      </c>
      <c r="F49" s="107">
        <v>9.4999999999999998E-3</v>
      </c>
      <c r="G49" s="107">
        <v>1.4280999999999999</v>
      </c>
      <c r="H49" s="107">
        <v>1.5891999999999999</v>
      </c>
      <c r="I49" s="107">
        <v>1.0533999999999999</v>
      </c>
      <c r="J49" s="107">
        <v>1.2200000000000001E-2</v>
      </c>
    </row>
    <row r="50" spans="1:24">
      <c r="A50" s="82"/>
      <c r="B50" s="656"/>
      <c r="C50" s="209" t="s">
        <v>18</v>
      </c>
      <c r="D50" s="210">
        <v>1168823</v>
      </c>
      <c r="E50" s="211">
        <v>0.1883</v>
      </c>
      <c r="F50" s="212">
        <v>9.4999999999999998E-3</v>
      </c>
      <c r="G50" s="212">
        <v>1.4280999999999999</v>
      </c>
      <c r="H50" s="212">
        <v>1.6025</v>
      </c>
      <c r="I50" s="212">
        <v>1.0397000000000001</v>
      </c>
      <c r="J50" s="212">
        <v>1.1599999999999999E-2</v>
      </c>
    </row>
    <row r="51" spans="1:24">
      <c r="A51" s="82"/>
      <c r="B51" s="654" t="s">
        <v>279</v>
      </c>
      <c r="C51" s="204" t="s">
        <v>716</v>
      </c>
      <c r="D51" s="205">
        <v>1151628</v>
      </c>
      <c r="E51" s="206">
        <v>0.12330000000000001</v>
      </c>
      <c r="F51" s="207">
        <v>5.1999999999999998E-3</v>
      </c>
      <c r="G51" s="207">
        <v>1.9258999999999999</v>
      </c>
      <c r="H51" s="207">
        <v>2.84</v>
      </c>
      <c r="I51" s="207">
        <v>1.0227999999999999</v>
      </c>
      <c r="J51" s="207">
        <v>2.9100000000000001E-2</v>
      </c>
    </row>
    <row r="52" spans="1:24">
      <c r="A52" s="82"/>
      <c r="B52" s="655"/>
      <c r="C52" s="82" t="s">
        <v>748</v>
      </c>
      <c r="D52" s="106">
        <v>1072641</v>
      </c>
      <c r="E52" s="208">
        <v>8.5699999999999998E-2</v>
      </c>
      <c r="F52" s="107">
        <v>5.4000000000000003E-3</v>
      </c>
      <c r="G52" s="107">
        <v>1.3789</v>
      </c>
      <c r="H52" s="107">
        <v>1.5463</v>
      </c>
      <c r="I52" s="107">
        <v>1.0471999999999999</v>
      </c>
      <c r="J52" s="107">
        <v>1.61E-2</v>
      </c>
    </row>
    <row r="53" spans="1:24">
      <c r="A53" s="82"/>
      <c r="B53" s="655"/>
      <c r="C53" s="82" t="s">
        <v>14</v>
      </c>
      <c r="D53" s="106">
        <v>1168697</v>
      </c>
      <c r="E53" s="208">
        <v>0.17710000000000001</v>
      </c>
      <c r="F53" s="107">
        <v>1.01E-2</v>
      </c>
      <c r="G53" s="107">
        <v>1.3685</v>
      </c>
      <c r="H53" s="107">
        <v>1.5915999999999999</v>
      </c>
      <c r="I53" s="107">
        <v>1.0624</v>
      </c>
      <c r="J53" s="107">
        <v>1.41E-2</v>
      </c>
    </row>
    <row r="54" spans="1:24">
      <c r="A54" s="82"/>
      <c r="B54" s="655"/>
      <c r="C54" s="82" t="s">
        <v>16</v>
      </c>
      <c r="D54" s="106">
        <v>1168807</v>
      </c>
      <c r="E54" s="208">
        <v>0.18160000000000001</v>
      </c>
      <c r="F54" s="107">
        <v>9.9000000000000008E-3</v>
      </c>
      <c r="G54" s="107">
        <v>1.3685</v>
      </c>
      <c r="H54" s="107">
        <v>1.5551999999999999</v>
      </c>
      <c r="I54" s="107">
        <v>1.0206999999999999</v>
      </c>
      <c r="J54" s="107">
        <v>1.2500000000000001E-2</v>
      </c>
    </row>
    <row r="55" spans="1:24">
      <c r="A55" s="82"/>
      <c r="B55" s="656"/>
      <c r="C55" s="209" t="s">
        <v>18</v>
      </c>
      <c r="D55" s="210">
        <v>1168823</v>
      </c>
      <c r="E55" s="211">
        <v>0.17710000000000001</v>
      </c>
      <c r="F55" s="212">
        <v>9.2999999999999992E-3</v>
      </c>
      <c r="G55" s="212">
        <v>1.3685</v>
      </c>
      <c r="H55" s="212">
        <v>1.5516000000000001</v>
      </c>
      <c r="I55" s="212">
        <v>1.0335000000000001</v>
      </c>
      <c r="J55" s="212">
        <v>1.3299999999999999E-2</v>
      </c>
    </row>
    <row r="56" spans="1:24">
      <c r="A56" s="82"/>
      <c r="B56" s="654" t="s">
        <v>285</v>
      </c>
      <c r="C56" s="204" t="s">
        <v>716</v>
      </c>
      <c r="D56" s="205">
        <v>1151605</v>
      </c>
      <c r="E56" s="206">
        <v>0.14050000000000001</v>
      </c>
      <c r="F56" s="207">
        <v>6.1000000000000004E-3</v>
      </c>
      <c r="G56" s="207">
        <v>2.1069</v>
      </c>
      <c r="H56" s="207">
        <v>3.1776</v>
      </c>
      <c r="I56" s="207">
        <v>1.0772999999999999</v>
      </c>
      <c r="J56" s="207">
        <v>3.3700000000000001E-2</v>
      </c>
    </row>
    <row r="57" spans="1:24">
      <c r="A57" s="82"/>
      <c r="B57" s="655"/>
      <c r="C57" s="82" t="s">
        <v>748</v>
      </c>
      <c r="D57" s="106">
        <v>1072645</v>
      </c>
      <c r="E57" s="208">
        <v>0.1149</v>
      </c>
      <c r="F57" s="107">
        <v>7.1000000000000004E-3</v>
      </c>
      <c r="G57" s="107">
        <v>1.4890000000000001</v>
      </c>
      <c r="H57" s="107">
        <v>1.7486999999999999</v>
      </c>
      <c r="I57" s="107">
        <v>1.0689</v>
      </c>
      <c r="J57" s="107">
        <v>1.9300000000000001E-2</v>
      </c>
    </row>
    <row r="58" spans="1:24">
      <c r="A58" s="82"/>
      <c r="B58" s="655"/>
      <c r="C58" s="82" t="s">
        <v>14</v>
      </c>
      <c r="D58" s="106">
        <v>1168697</v>
      </c>
      <c r="E58" s="208">
        <v>0.18590000000000001</v>
      </c>
      <c r="F58" s="107">
        <v>1.12E-2</v>
      </c>
      <c r="G58" s="107">
        <v>1.4280999999999999</v>
      </c>
      <c r="H58" s="107">
        <v>1.6456</v>
      </c>
      <c r="I58" s="107">
        <v>1.0775999999999999</v>
      </c>
      <c r="J58" s="107">
        <v>1.44E-2</v>
      </c>
    </row>
    <row r="59" spans="1:24">
      <c r="A59" s="82"/>
      <c r="B59" s="655"/>
      <c r="C59" s="82" t="s">
        <v>16</v>
      </c>
      <c r="D59" s="106">
        <v>1168807</v>
      </c>
      <c r="E59" s="208">
        <v>0.18360000000000001</v>
      </c>
      <c r="F59" s="107">
        <v>9.4000000000000004E-3</v>
      </c>
      <c r="G59" s="107">
        <v>1.4280999999999999</v>
      </c>
      <c r="H59" s="107">
        <v>1.5867</v>
      </c>
      <c r="I59" s="107">
        <v>1.0419</v>
      </c>
      <c r="J59" s="107">
        <v>1.17E-2</v>
      </c>
    </row>
    <row r="60" spans="1:24">
      <c r="A60" s="82"/>
      <c r="B60" s="656"/>
      <c r="C60" s="209" t="s">
        <v>18</v>
      </c>
      <c r="D60" s="210">
        <v>1168823</v>
      </c>
      <c r="E60" s="211">
        <v>0.1893</v>
      </c>
      <c r="F60" s="212">
        <v>8.9999999999999993E-3</v>
      </c>
      <c r="G60" s="212">
        <v>1.4280999999999999</v>
      </c>
      <c r="H60" s="212">
        <v>1.5993999999999999</v>
      </c>
      <c r="I60" s="212">
        <v>1.0409999999999999</v>
      </c>
      <c r="J60" s="212">
        <v>1.15E-2</v>
      </c>
    </row>
    <row r="61" spans="1:24" s="1" customFormat="1">
      <c r="A61" s="51" t="s">
        <v>32</v>
      </c>
      <c r="B61" s="52"/>
      <c r="C61" s="52"/>
      <c r="D61" s="54"/>
      <c r="E61" s="201"/>
      <c r="F61" s="198"/>
      <c r="G61" s="198"/>
      <c r="H61" s="198"/>
      <c r="I61" s="101"/>
      <c r="J61" s="213"/>
      <c r="K61" s="14"/>
      <c r="L61"/>
      <c r="M61" s="14"/>
      <c r="N61" s="14"/>
      <c r="O61" s="14"/>
      <c r="P61" s="14"/>
      <c r="Q61" s="14"/>
      <c r="R61" s="14"/>
      <c r="S61" s="14"/>
      <c r="T61" s="14"/>
      <c r="U61" s="14"/>
      <c r="V61" s="14"/>
      <c r="W61" s="14"/>
      <c r="X61" s="14"/>
    </row>
    <row r="62" spans="1:24">
      <c r="A62" s="82"/>
      <c r="B62" s="647" t="s">
        <v>33</v>
      </c>
      <c r="C62" s="204" t="s">
        <v>144</v>
      </c>
      <c r="D62" s="205">
        <v>935145</v>
      </c>
      <c r="E62" s="206">
        <v>-2.8008E-5</v>
      </c>
      <c r="F62" s="207">
        <v>4.7999999999999996E-3</v>
      </c>
      <c r="G62" s="207">
        <v>1.0345</v>
      </c>
      <c r="H62" s="207">
        <v>1.0484</v>
      </c>
      <c r="I62" s="207">
        <v>1.0486</v>
      </c>
      <c r="J62" s="207">
        <v>4.0399999999999998E-2</v>
      </c>
    </row>
    <row r="63" spans="1:24">
      <c r="A63" s="82"/>
      <c r="B63" s="614"/>
      <c r="C63" s="82" t="s">
        <v>703</v>
      </c>
      <c r="D63" s="106">
        <v>1170090</v>
      </c>
      <c r="E63" s="208">
        <v>1.9300000000000001E-2</v>
      </c>
      <c r="F63" s="107">
        <v>3.3E-3</v>
      </c>
      <c r="G63" s="107">
        <v>1.2038</v>
      </c>
      <c r="H63" s="107">
        <v>1.2774000000000001</v>
      </c>
      <c r="I63" s="107">
        <v>1.0891</v>
      </c>
      <c r="J63" s="107">
        <v>2.76E-2</v>
      </c>
    </row>
    <row r="64" spans="1:24">
      <c r="A64" s="82"/>
      <c r="B64" s="614"/>
      <c r="C64" s="82" t="s">
        <v>1219</v>
      </c>
      <c r="D64" s="106">
        <v>1183032</v>
      </c>
      <c r="E64" s="208">
        <v>4.8800000000000003E-2</v>
      </c>
      <c r="F64" s="107">
        <v>2.2499999999999999E-2</v>
      </c>
      <c r="G64" s="107">
        <v>1.0926</v>
      </c>
      <c r="H64" s="107">
        <v>1.1189</v>
      </c>
      <c r="I64" s="107">
        <v>1.0570999999999999</v>
      </c>
      <c r="J64" s="107">
        <v>3.4299999999999997E-2</v>
      </c>
    </row>
    <row r="65" spans="1:10">
      <c r="A65" s="82"/>
      <c r="B65" s="615"/>
      <c r="C65" s="209" t="s">
        <v>704</v>
      </c>
      <c r="D65" s="210">
        <v>1133014</v>
      </c>
      <c r="E65" s="211">
        <v>5.7000000000000002E-3</v>
      </c>
      <c r="F65" s="212">
        <v>4.7000000000000002E-3</v>
      </c>
      <c r="G65" s="212">
        <v>1.0988</v>
      </c>
      <c r="H65" s="212">
        <v>1.1817</v>
      </c>
      <c r="I65" s="212">
        <v>1.0933999999999999</v>
      </c>
      <c r="J65" s="212">
        <v>8.7800000000000003E-2</v>
      </c>
    </row>
    <row r="66" spans="1:10">
      <c r="A66" s="82"/>
      <c r="B66" s="42" t="s">
        <v>46</v>
      </c>
      <c r="C66" s="214" t="s">
        <v>144</v>
      </c>
      <c r="D66" s="215">
        <v>1132843</v>
      </c>
      <c r="E66" s="216">
        <v>7.0300000000000001E-2</v>
      </c>
      <c r="F66" s="217">
        <v>4.3E-3</v>
      </c>
      <c r="G66" s="217">
        <v>1.2398</v>
      </c>
      <c r="H66" s="217">
        <v>1.2705</v>
      </c>
      <c r="I66" s="217">
        <v>1.0230999999999999</v>
      </c>
      <c r="J66" s="217">
        <v>8.2000000000000007E-3</v>
      </c>
    </row>
    <row r="67" spans="1:10">
      <c r="A67" s="82"/>
      <c r="B67" s="612" t="s">
        <v>50</v>
      </c>
      <c r="C67" s="204" t="s">
        <v>722</v>
      </c>
      <c r="D67" s="205">
        <v>1105907</v>
      </c>
      <c r="E67" s="206">
        <v>0.1313</v>
      </c>
      <c r="F67" s="207">
        <v>1.5100000000000001E-2</v>
      </c>
      <c r="G67" s="207">
        <v>1.1237999999999999</v>
      </c>
      <c r="H67" s="207">
        <v>1.1399999999999999</v>
      </c>
      <c r="I67" s="207">
        <v>1.0483</v>
      </c>
      <c r="J67" s="207">
        <v>7.0000000000000001E-3</v>
      </c>
    </row>
    <row r="68" spans="1:10">
      <c r="A68" s="82"/>
      <c r="B68" s="616"/>
      <c r="C68" s="82" t="s">
        <v>14</v>
      </c>
      <c r="D68" s="106">
        <v>1169114</v>
      </c>
      <c r="E68" s="208">
        <v>0.23400000000000001</v>
      </c>
      <c r="F68" s="107">
        <v>1.2E-2</v>
      </c>
      <c r="G68" s="107">
        <v>1.3101</v>
      </c>
      <c r="H68" s="107">
        <v>1.4108000000000001</v>
      </c>
      <c r="I68" s="107">
        <v>1.026</v>
      </c>
      <c r="J68" s="107">
        <v>8.6E-3</v>
      </c>
    </row>
    <row r="69" spans="1:10">
      <c r="A69" s="82"/>
      <c r="B69" s="616"/>
      <c r="C69" s="82" t="s">
        <v>16</v>
      </c>
      <c r="D69" s="106">
        <v>1169228</v>
      </c>
      <c r="E69" s="208">
        <v>0.2142</v>
      </c>
      <c r="F69" s="107">
        <v>1.09E-2</v>
      </c>
      <c r="G69" s="107">
        <v>1.2531000000000001</v>
      </c>
      <c r="H69" s="107">
        <v>1.3153999999999999</v>
      </c>
      <c r="I69" s="107">
        <v>1.0129999999999999</v>
      </c>
      <c r="J69" s="107">
        <v>8.3999999999999995E-3</v>
      </c>
    </row>
    <row r="70" spans="1:10">
      <c r="A70" s="82"/>
      <c r="B70" s="613"/>
      <c r="C70" s="209" t="s">
        <v>18</v>
      </c>
      <c r="D70" s="210">
        <v>1169329</v>
      </c>
      <c r="E70" s="211">
        <v>0.21920000000000001</v>
      </c>
      <c r="F70" s="212">
        <v>1.29E-2</v>
      </c>
      <c r="G70" s="212">
        <v>1.2531000000000001</v>
      </c>
      <c r="H70" s="212">
        <v>1.3352999999999999</v>
      </c>
      <c r="I70" s="212">
        <v>1.0088999999999999</v>
      </c>
      <c r="J70" s="212">
        <v>8.3999999999999995E-3</v>
      </c>
    </row>
    <row r="71" spans="1:10">
      <c r="A71" s="82"/>
      <c r="B71" s="612" t="s">
        <v>65</v>
      </c>
      <c r="C71" s="204" t="s">
        <v>144</v>
      </c>
      <c r="D71" s="205">
        <v>1061576</v>
      </c>
      <c r="E71" s="206">
        <v>0.13919999999999999</v>
      </c>
      <c r="F71" s="207">
        <v>3.7000000000000002E-3</v>
      </c>
      <c r="G71" s="207">
        <v>5.3497000000000003</v>
      </c>
      <c r="H71" s="207">
        <v>8.0329999999999995</v>
      </c>
      <c r="I71" s="207">
        <v>1.6332</v>
      </c>
      <c r="J71" s="207">
        <v>4.9200000000000001E-2</v>
      </c>
    </row>
    <row r="72" spans="1:10">
      <c r="A72" s="82"/>
      <c r="B72" s="616"/>
      <c r="C72" s="82" t="s">
        <v>750</v>
      </c>
      <c r="D72" s="106">
        <v>1144154</v>
      </c>
      <c r="E72" s="208">
        <v>0.13789999999999999</v>
      </c>
      <c r="F72" s="107">
        <v>3.7000000000000002E-3</v>
      </c>
      <c r="G72" s="107">
        <v>2.2961</v>
      </c>
      <c r="H72" s="107">
        <v>3.0480999999999998</v>
      </c>
      <c r="I72" s="107">
        <v>1</v>
      </c>
      <c r="J72" s="107">
        <v>1.8599999999999998E-2</v>
      </c>
    </row>
    <row r="73" spans="1:10">
      <c r="A73" s="82"/>
      <c r="B73" s="616"/>
      <c r="C73" s="82" t="s">
        <v>751</v>
      </c>
      <c r="D73" s="106">
        <v>1144148</v>
      </c>
      <c r="E73" s="208">
        <v>0.13800000000000001</v>
      </c>
      <c r="F73" s="107">
        <v>3.7000000000000002E-3</v>
      </c>
      <c r="G73" s="107">
        <v>2.3006000000000002</v>
      </c>
      <c r="H73" s="107">
        <v>3.0550999999999999</v>
      </c>
      <c r="I73" s="107">
        <v>1</v>
      </c>
      <c r="J73" s="107">
        <v>1.8499999999999999E-2</v>
      </c>
    </row>
    <row r="74" spans="1:10">
      <c r="A74" s="82"/>
      <c r="B74" s="616"/>
      <c r="C74" s="82" t="s">
        <v>753</v>
      </c>
      <c r="D74" s="106">
        <v>1144150</v>
      </c>
      <c r="E74" s="208">
        <v>0.1384</v>
      </c>
      <c r="F74" s="107">
        <v>3.7000000000000002E-3</v>
      </c>
      <c r="G74" s="107">
        <v>2.2961</v>
      </c>
      <c r="H74" s="107">
        <v>3.0537000000000001</v>
      </c>
      <c r="I74" s="107">
        <v>0.99990000000000001</v>
      </c>
      <c r="J74" s="107">
        <v>1.83E-2</v>
      </c>
    </row>
    <row r="75" spans="1:10">
      <c r="A75" s="82"/>
      <c r="B75" s="616"/>
      <c r="C75" s="82" t="s">
        <v>752</v>
      </c>
      <c r="D75" s="106">
        <v>1143935</v>
      </c>
      <c r="E75" s="208">
        <v>0.14080000000000001</v>
      </c>
      <c r="F75" s="107">
        <v>3.8E-3</v>
      </c>
      <c r="G75" s="107">
        <v>2.2692000000000001</v>
      </c>
      <c r="H75" s="107">
        <v>3.0028000000000001</v>
      </c>
      <c r="I75" s="107">
        <v>0.99990000000000001</v>
      </c>
      <c r="J75" s="107">
        <v>1.84E-2</v>
      </c>
    </row>
    <row r="76" spans="1:10">
      <c r="A76" s="82"/>
      <c r="B76" s="616"/>
      <c r="C76" s="82" t="s">
        <v>754</v>
      </c>
      <c r="D76" s="106">
        <v>1143891</v>
      </c>
      <c r="E76" s="208">
        <v>0.13819999999999999</v>
      </c>
      <c r="F76" s="107">
        <v>3.7000000000000002E-3</v>
      </c>
      <c r="G76" s="107">
        <v>2.2780999999999998</v>
      </c>
      <c r="H76" s="107">
        <v>3.0289000000000001</v>
      </c>
      <c r="I76" s="107">
        <v>0.99980000000000002</v>
      </c>
      <c r="J76" s="107">
        <v>1.84E-2</v>
      </c>
    </row>
    <row r="77" spans="1:10">
      <c r="A77" s="82"/>
      <c r="B77" s="616"/>
      <c r="C77" s="82" t="s">
        <v>755</v>
      </c>
      <c r="D77" s="106">
        <v>1144187</v>
      </c>
      <c r="E77" s="208">
        <v>0.1411</v>
      </c>
      <c r="F77" s="107">
        <v>3.7000000000000002E-3</v>
      </c>
      <c r="G77" s="107">
        <v>2.3096000000000001</v>
      </c>
      <c r="H77" s="107">
        <v>3.0661</v>
      </c>
      <c r="I77" s="107">
        <v>0.99990000000000001</v>
      </c>
      <c r="J77" s="107">
        <v>1.8499999999999999E-2</v>
      </c>
    </row>
    <row r="78" spans="1:10">
      <c r="A78" s="82"/>
      <c r="B78" s="616"/>
      <c r="C78" s="82" t="s">
        <v>756</v>
      </c>
      <c r="D78" s="106">
        <v>1144151</v>
      </c>
      <c r="E78" s="208">
        <v>0.13869999999999999</v>
      </c>
      <c r="F78" s="107">
        <v>3.7000000000000002E-3</v>
      </c>
      <c r="G78" s="107">
        <v>2.2961</v>
      </c>
      <c r="H78" s="107">
        <v>3.0457999999999998</v>
      </c>
      <c r="I78" s="107">
        <v>1</v>
      </c>
      <c r="J78" s="107">
        <v>1.84E-2</v>
      </c>
    </row>
    <row r="79" spans="1:10">
      <c r="A79" s="82"/>
      <c r="B79" s="616"/>
      <c r="C79" s="82" t="s">
        <v>757</v>
      </c>
      <c r="D79" s="106">
        <v>1144148</v>
      </c>
      <c r="E79" s="208">
        <v>0.13780000000000001</v>
      </c>
      <c r="F79" s="107">
        <v>3.7000000000000002E-3</v>
      </c>
      <c r="G79" s="107">
        <v>2.3006000000000002</v>
      </c>
      <c r="H79" s="107">
        <v>3.0495000000000001</v>
      </c>
      <c r="I79" s="107">
        <v>1</v>
      </c>
      <c r="J79" s="107">
        <v>1.84E-2</v>
      </c>
    </row>
    <row r="80" spans="1:10">
      <c r="A80" s="82"/>
      <c r="B80" s="616"/>
      <c r="C80" s="82" t="s">
        <v>758</v>
      </c>
      <c r="D80" s="106">
        <v>1144126</v>
      </c>
      <c r="E80" s="208">
        <v>0.1384</v>
      </c>
      <c r="F80" s="107">
        <v>3.7000000000000002E-3</v>
      </c>
      <c r="G80" s="107">
        <v>2.3006000000000002</v>
      </c>
      <c r="H80" s="107">
        <v>3.0609000000000002</v>
      </c>
      <c r="I80" s="107">
        <v>1</v>
      </c>
      <c r="J80" s="107">
        <v>1.8599999999999998E-2</v>
      </c>
    </row>
    <row r="81" spans="1:13">
      <c r="A81" s="82"/>
      <c r="B81" s="616"/>
      <c r="C81" s="82" t="s">
        <v>759</v>
      </c>
      <c r="D81" s="106">
        <v>1144141</v>
      </c>
      <c r="E81" s="208">
        <v>0.1396</v>
      </c>
      <c r="F81" s="107">
        <v>3.7000000000000002E-3</v>
      </c>
      <c r="G81" s="107">
        <v>2.2915999999999999</v>
      </c>
      <c r="H81" s="107">
        <v>3.0476999999999999</v>
      </c>
      <c r="I81" s="107">
        <v>1</v>
      </c>
      <c r="J81" s="107">
        <v>1.84E-2</v>
      </c>
    </row>
    <row r="82" spans="1:13">
      <c r="A82" s="82"/>
      <c r="B82" s="616"/>
      <c r="C82" s="82" t="s">
        <v>760</v>
      </c>
      <c r="D82" s="106">
        <v>1169121</v>
      </c>
      <c r="E82" s="208">
        <v>0.1013</v>
      </c>
      <c r="F82" s="107">
        <v>3.8E-3</v>
      </c>
      <c r="G82" s="107">
        <v>1.4781</v>
      </c>
      <c r="H82" s="107">
        <v>1.6278999999999999</v>
      </c>
      <c r="I82" s="107">
        <v>0.99990000000000001</v>
      </c>
      <c r="J82" s="107">
        <v>9.7999999999999997E-3</v>
      </c>
    </row>
    <row r="83" spans="1:13">
      <c r="A83" s="82"/>
      <c r="B83" s="616"/>
      <c r="C83" s="82" t="s">
        <v>761</v>
      </c>
      <c r="D83" s="106">
        <v>1144154</v>
      </c>
      <c r="E83" s="208">
        <v>0.13880000000000001</v>
      </c>
      <c r="F83" s="107">
        <v>3.7000000000000002E-3</v>
      </c>
      <c r="G83" s="107">
        <v>2.3006000000000002</v>
      </c>
      <c r="H83" s="107">
        <v>3.0522999999999998</v>
      </c>
      <c r="I83" s="107">
        <v>0.99990000000000001</v>
      </c>
      <c r="J83" s="107">
        <v>1.8700000000000001E-2</v>
      </c>
    </row>
    <row r="84" spans="1:13">
      <c r="A84" s="82"/>
      <c r="B84" s="616"/>
      <c r="C84" s="82" t="s">
        <v>724</v>
      </c>
      <c r="D84" s="106">
        <v>1144131</v>
      </c>
      <c r="E84" s="208">
        <v>0.13830000000000001</v>
      </c>
      <c r="F84" s="107">
        <v>3.7000000000000002E-3</v>
      </c>
      <c r="G84" s="107">
        <v>2.3050999999999999</v>
      </c>
      <c r="H84" s="107">
        <v>3.0670999999999999</v>
      </c>
      <c r="I84" s="107">
        <v>1</v>
      </c>
      <c r="J84" s="107">
        <v>1.8499999999999999E-2</v>
      </c>
    </row>
    <row r="85" spans="1:13">
      <c r="A85" s="82"/>
      <c r="B85" s="616"/>
      <c r="C85" s="82" t="s">
        <v>14</v>
      </c>
      <c r="D85" s="106">
        <v>1168697</v>
      </c>
      <c r="E85" s="208">
        <v>0.18720000000000001</v>
      </c>
      <c r="F85" s="107">
        <v>7.4000000000000003E-3</v>
      </c>
      <c r="G85" s="107">
        <v>1.5585</v>
      </c>
      <c r="H85" s="107">
        <v>1.6336999999999999</v>
      </c>
      <c r="I85" s="107">
        <v>1.0905</v>
      </c>
      <c r="J85" s="107">
        <v>9.1999999999999998E-3</v>
      </c>
    </row>
    <row r="86" spans="1:13">
      <c r="A86" s="82"/>
      <c r="B86" s="616"/>
      <c r="C86" s="82" t="s">
        <v>16</v>
      </c>
      <c r="D86" s="106">
        <v>1168805</v>
      </c>
      <c r="E86" s="208">
        <v>0.20949999999999999</v>
      </c>
      <c r="F86" s="107">
        <v>8.2000000000000007E-3</v>
      </c>
      <c r="G86" s="107">
        <v>1.4925999999999999</v>
      </c>
      <c r="H86" s="107">
        <v>1.6304000000000001</v>
      </c>
      <c r="I86" s="107">
        <v>1.0303</v>
      </c>
      <c r="J86" s="107">
        <v>1.03E-2</v>
      </c>
    </row>
    <row r="87" spans="1:13">
      <c r="A87" s="82"/>
      <c r="B87" s="613"/>
      <c r="C87" s="209" t="s">
        <v>18</v>
      </c>
      <c r="D87" s="210">
        <v>1168830</v>
      </c>
      <c r="E87" s="211">
        <v>0.19950000000000001</v>
      </c>
      <c r="F87" s="212">
        <v>8.3000000000000001E-3</v>
      </c>
      <c r="G87" s="212">
        <v>1.4925999999999999</v>
      </c>
      <c r="H87" s="212">
        <v>1.6108</v>
      </c>
      <c r="I87" s="212">
        <v>1.0327999999999999</v>
      </c>
      <c r="J87" s="212">
        <v>1.0200000000000001E-2</v>
      </c>
    </row>
    <row r="88" spans="1:13">
      <c r="A88" s="82"/>
      <c r="B88" s="48" t="s">
        <v>107</v>
      </c>
      <c r="C88" s="214" t="s">
        <v>144</v>
      </c>
      <c r="D88" s="215">
        <v>1132932</v>
      </c>
      <c r="E88" s="216">
        <v>0.1573</v>
      </c>
      <c r="F88" s="217">
        <v>4.4999999999999997E-3</v>
      </c>
      <c r="G88" s="217">
        <v>2.0726</v>
      </c>
      <c r="H88" s="217">
        <v>2.5449000000000002</v>
      </c>
      <c r="I88" s="217">
        <v>1.1525000000000001</v>
      </c>
      <c r="J88" s="217">
        <v>1.41E-2</v>
      </c>
    </row>
    <row r="89" spans="1:13">
      <c r="A89" s="82"/>
      <c r="B89" s="48" t="s">
        <v>109</v>
      </c>
      <c r="C89" s="214" t="s">
        <v>144</v>
      </c>
      <c r="D89" s="215">
        <v>1132962</v>
      </c>
      <c r="E89" s="216">
        <v>0.1479</v>
      </c>
      <c r="F89" s="217">
        <v>4.0000000000000001E-3</v>
      </c>
      <c r="G89" s="217">
        <v>2.2826</v>
      </c>
      <c r="H89" s="217">
        <v>2.8727999999999998</v>
      </c>
      <c r="I89" s="217">
        <v>1.1355</v>
      </c>
      <c r="J89" s="217">
        <v>1.5699999999999999E-2</v>
      </c>
    </row>
    <row r="90" spans="1:13" s="1" customFormat="1">
      <c r="A90" s="61" t="s">
        <v>111</v>
      </c>
      <c r="B90" s="62"/>
      <c r="C90" s="52"/>
      <c r="D90" s="54"/>
      <c r="E90" s="201"/>
      <c r="F90" s="198"/>
      <c r="G90" s="198"/>
      <c r="H90" s="198"/>
      <c r="I90" s="101"/>
      <c r="J90" s="102"/>
      <c r="K90" s="16"/>
      <c r="L90"/>
      <c r="M90" s="14"/>
    </row>
    <row r="91" spans="1:13">
      <c r="A91" s="82"/>
      <c r="B91" s="652" t="s">
        <v>112</v>
      </c>
      <c r="C91" s="204" t="s">
        <v>144</v>
      </c>
      <c r="D91" s="205">
        <v>1061425</v>
      </c>
      <c r="E91" s="206">
        <v>0.2026</v>
      </c>
      <c r="F91" s="207">
        <v>5.0900000000000001E-2</v>
      </c>
      <c r="G91" s="207">
        <v>1.0557000000000001</v>
      </c>
      <c r="H91" s="207">
        <v>1.0427</v>
      </c>
      <c r="I91" s="207">
        <v>1.0047999999999999</v>
      </c>
      <c r="J91" s="207">
        <v>6.6E-3</v>
      </c>
    </row>
    <row r="92" spans="1:13">
      <c r="A92" s="82"/>
      <c r="B92" s="645"/>
      <c r="C92" s="82" t="s">
        <v>701</v>
      </c>
      <c r="D92" s="106">
        <v>1055176</v>
      </c>
      <c r="E92" s="208">
        <v>5.6500000000000002E-2</v>
      </c>
      <c r="F92" s="107">
        <v>3.0000000000000001E-3</v>
      </c>
      <c r="G92" s="107">
        <v>1.1908000000000001</v>
      </c>
      <c r="H92" s="107">
        <v>1.2259</v>
      </c>
      <c r="I92" s="107">
        <v>0.95689999999999997</v>
      </c>
      <c r="J92" s="107">
        <v>7.4999999999999997E-3</v>
      </c>
    </row>
    <row r="93" spans="1:13">
      <c r="A93" s="82"/>
      <c r="B93" s="645"/>
      <c r="C93" s="82" t="s">
        <v>702</v>
      </c>
      <c r="D93" s="106">
        <v>1179389</v>
      </c>
      <c r="E93" s="208">
        <v>5.5399999999999998E-2</v>
      </c>
      <c r="F93" s="107">
        <v>2.0999999999999999E-3</v>
      </c>
      <c r="G93" s="107">
        <v>1.4709000000000001</v>
      </c>
      <c r="H93" s="107">
        <v>1.6207</v>
      </c>
      <c r="I93" s="107">
        <v>1.0216000000000001</v>
      </c>
      <c r="J93" s="107">
        <v>0.01</v>
      </c>
    </row>
    <row r="94" spans="1:13">
      <c r="A94" s="82"/>
      <c r="B94" s="645"/>
      <c r="C94" s="82" t="s">
        <v>14</v>
      </c>
      <c r="D94" s="106">
        <v>1169144</v>
      </c>
      <c r="E94" s="208">
        <v>0.1173</v>
      </c>
      <c r="F94" s="107">
        <v>0.01</v>
      </c>
      <c r="G94" s="107">
        <v>1.1458999999999999</v>
      </c>
      <c r="H94" s="107">
        <v>1.1950000000000001</v>
      </c>
      <c r="I94" s="107">
        <v>1.0363</v>
      </c>
      <c r="J94" s="107">
        <v>7.7999999999999996E-3</v>
      </c>
    </row>
    <row r="95" spans="1:13">
      <c r="A95" s="82"/>
      <c r="B95" s="645"/>
      <c r="C95" s="82" t="s">
        <v>16</v>
      </c>
      <c r="D95" s="106">
        <v>1169263</v>
      </c>
      <c r="E95" s="208">
        <v>0.13969999999999999</v>
      </c>
      <c r="F95" s="107">
        <v>0.01</v>
      </c>
      <c r="G95" s="107">
        <v>1.1458999999999999</v>
      </c>
      <c r="H95" s="107">
        <v>1.1859999999999999</v>
      </c>
      <c r="I95" s="107">
        <v>1.0089999999999999</v>
      </c>
      <c r="J95" s="107">
        <v>6.6E-3</v>
      </c>
    </row>
    <row r="96" spans="1:13">
      <c r="A96" s="82"/>
      <c r="B96" s="653"/>
      <c r="C96" s="209" t="s">
        <v>18</v>
      </c>
      <c r="D96" s="210">
        <v>1169308</v>
      </c>
      <c r="E96" s="211">
        <v>0.13589999999999999</v>
      </c>
      <c r="F96" s="212">
        <v>9.2999999999999992E-3</v>
      </c>
      <c r="G96" s="212">
        <v>1.1458999999999999</v>
      </c>
      <c r="H96" s="212">
        <v>1.1902999999999999</v>
      </c>
      <c r="I96" s="212">
        <v>1.0166999999999999</v>
      </c>
      <c r="J96" s="212">
        <v>7.7000000000000002E-3</v>
      </c>
    </row>
    <row r="97" spans="1:10">
      <c r="A97" s="82"/>
      <c r="B97" s="652" t="s">
        <v>123</v>
      </c>
      <c r="C97" s="204" t="s">
        <v>144</v>
      </c>
      <c r="D97" s="205">
        <v>1135892</v>
      </c>
      <c r="E97" s="206">
        <v>0.1905</v>
      </c>
      <c r="F97" s="207">
        <v>1.17E-2</v>
      </c>
      <c r="G97" s="207">
        <v>1.0926</v>
      </c>
      <c r="H97" s="207">
        <v>1.1863999999999999</v>
      </c>
      <c r="I97" s="207">
        <v>0.89400000000000002</v>
      </c>
      <c r="J97" s="207">
        <v>8.3999999999999995E-3</v>
      </c>
    </row>
    <row r="98" spans="1:10">
      <c r="A98" s="82"/>
      <c r="B98" s="645"/>
      <c r="C98" s="82" t="s">
        <v>728</v>
      </c>
      <c r="D98" s="106">
        <v>1175506</v>
      </c>
      <c r="E98" s="208">
        <v>0.18340000000000001</v>
      </c>
      <c r="F98" s="107">
        <v>6.0000000000000001E-3</v>
      </c>
      <c r="G98" s="107">
        <v>1.6372</v>
      </c>
      <c r="H98" s="107">
        <v>1.9711000000000001</v>
      </c>
      <c r="I98" s="107">
        <v>1.06</v>
      </c>
      <c r="J98" s="107">
        <v>1.15E-2</v>
      </c>
    </row>
    <row r="99" spans="1:10">
      <c r="A99" s="82"/>
      <c r="B99" s="645"/>
      <c r="C99" s="82" t="s">
        <v>729</v>
      </c>
      <c r="D99" s="106">
        <v>1053931</v>
      </c>
      <c r="E99" s="208">
        <v>0.15670000000000001</v>
      </c>
      <c r="F99" s="107">
        <v>7.1000000000000004E-3</v>
      </c>
      <c r="G99" s="107">
        <v>1.3101</v>
      </c>
      <c r="H99" s="107">
        <v>1.401</v>
      </c>
      <c r="I99" s="107">
        <v>0.98809999999999998</v>
      </c>
      <c r="J99" s="107">
        <v>9.9000000000000008E-3</v>
      </c>
    </row>
    <row r="100" spans="1:10">
      <c r="A100" s="82"/>
      <c r="B100" s="645"/>
      <c r="C100" s="82" t="s">
        <v>14</v>
      </c>
      <c r="D100" s="106">
        <v>1169146</v>
      </c>
      <c r="E100" s="208">
        <v>0.24199999999999999</v>
      </c>
      <c r="F100" s="107">
        <v>1.3100000000000001E-2</v>
      </c>
      <c r="G100" s="107">
        <v>1.3101</v>
      </c>
      <c r="H100" s="107">
        <v>1.4023000000000001</v>
      </c>
      <c r="I100" s="107">
        <v>1.0223</v>
      </c>
      <c r="J100" s="107">
        <v>8.3999999999999995E-3</v>
      </c>
    </row>
    <row r="101" spans="1:10">
      <c r="A101" s="82"/>
      <c r="B101" s="645"/>
      <c r="C101" s="82" t="s">
        <v>16</v>
      </c>
      <c r="D101" s="106">
        <v>1169234</v>
      </c>
      <c r="E101" s="208">
        <v>0.24160000000000001</v>
      </c>
      <c r="F101" s="107">
        <v>1.3299999999999999E-2</v>
      </c>
      <c r="G101" s="107">
        <v>1.3101</v>
      </c>
      <c r="H101" s="107">
        <v>1.3898999999999999</v>
      </c>
      <c r="I101" s="107">
        <v>1.0188999999999999</v>
      </c>
      <c r="J101" s="107">
        <v>7.7999999999999996E-3</v>
      </c>
    </row>
    <row r="102" spans="1:10">
      <c r="A102" s="82"/>
      <c r="B102" s="653"/>
      <c r="C102" s="209" t="s">
        <v>18</v>
      </c>
      <c r="D102" s="210">
        <v>1169308</v>
      </c>
      <c r="E102" s="211">
        <v>0.22459999999999999</v>
      </c>
      <c r="F102" s="212">
        <v>1.34E-2</v>
      </c>
      <c r="G102" s="212">
        <v>1.2531000000000001</v>
      </c>
      <c r="H102" s="212">
        <v>1.3629</v>
      </c>
      <c r="I102" s="212">
        <v>1.0162</v>
      </c>
      <c r="J102" s="212">
        <v>9.1000000000000004E-3</v>
      </c>
    </row>
    <row r="103" spans="1:10">
      <c r="A103" s="82"/>
      <c r="B103" s="652" t="s">
        <v>137</v>
      </c>
      <c r="C103" s="204" t="s">
        <v>702</v>
      </c>
      <c r="D103" s="205">
        <v>1180279</v>
      </c>
      <c r="E103" s="206">
        <v>0.15090000000000001</v>
      </c>
      <c r="F103" s="207">
        <v>4.8999999999999998E-3</v>
      </c>
      <c r="G103" s="207">
        <v>1.8405</v>
      </c>
      <c r="H103" s="207">
        <v>2.2235999999999998</v>
      </c>
      <c r="I103" s="207">
        <v>1.0336000000000001</v>
      </c>
      <c r="J103" s="207">
        <v>1.3899999999999999E-2</v>
      </c>
    </row>
    <row r="104" spans="1:10">
      <c r="A104" s="82"/>
      <c r="B104" s="645"/>
      <c r="C104" s="82" t="s">
        <v>14</v>
      </c>
      <c r="D104" s="106">
        <v>1168686</v>
      </c>
      <c r="E104" s="208">
        <v>0.1193</v>
      </c>
      <c r="F104" s="107">
        <v>6.4999999999999997E-3</v>
      </c>
      <c r="G104" s="107">
        <v>1.3101</v>
      </c>
      <c r="H104" s="107">
        <v>1.3420000000000001</v>
      </c>
      <c r="I104" s="107">
        <v>1.0325</v>
      </c>
      <c r="J104" s="107">
        <v>8.8999999999999999E-3</v>
      </c>
    </row>
    <row r="105" spans="1:10">
      <c r="A105" s="82"/>
      <c r="B105" s="645"/>
      <c r="C105" s="82" t="s">
        <v>16</v>
      </c>
      <c r="D105" s="106">
        <v>1168808</v>
      </c>
      <c r="E105" s="208">
        <v>0.12790000000000001</v>
      </c>
      <c r="F105" s="107">
        <v>6.7999999999999996E-3</v>
      </c>
      <c r="G105" s="107">
        <v>1.2531000000000001</v>
      </c>
      <c r="H105" s="107">
        <v>1.3255999999999999</v>
      </c>
      <c r="I105" s="107">
        <v>0.99539999999999995</v>
      </c>
      <c r="J105" s="107">
        <v>8.2000000000000007E-3</v>
      </c>
    </row>
    <row r="106" spans="1:10">
      <c r="A106" s="82"/>
      <c r="B106" s="653"/>
      <c r="C106" s="209" t="s">
        <v>18</v>
      </c>
      <c r="D106" s="210">
        <v>1168825</v>
      </c>
      <c r="E106" s="211">
        <v>0.12230000000000001</v>
      </c>
      <c r="F106" s="212">
        <v>7.9000000000000008E-3</v>
      </c>
      <c r="G106" s="212">
        <v>1.2531000000000001</v>
      </c>
      <c r="H106" s="212">
        <v>1.3347</v>
      </c>
      <c r="I106" s="212">
        <v>1.0111000000000001</v>
      </c>
      <c r="J106" s="212">
        <v>9.1999999999999998E-3</v>
      </c>
    </row>
    <row r="107" spans="1:10">
      <c r="A107" s="82"/>
      <c r="B107" s="50" t="s">
        <v>143</v>
      </c>
      <c r="C107" s="214" t="s">
        <v>144</v>
      </c>
      <c r="D107" s="215">
        <v>1135979</v>
      </c>
      <c r="E107" s="216">
        <v>8.8499999999999995E-2</v>
      </c>
      <c r="F107" s="217">
        <v>9.5999999999999992E-3</v>
      </c>
      <c r="G107" s="217">
        <v>1.0436000000000001</v>
      </c>
      <c r="H107" s="217">
        <v>1.0565</v>
      </c>
      <c r="I107" s="217">
        <v>0.95640000000000003</v>
      </c>
      <c r="J107" s="217">
        <v>7.3000000000000001E-3</v>
      </c>
    </row>
    <row r="108" spans="1:10">
      <c r="A108" s="82"/>
      <c r="B108" s="612" t="s">
        <v>145</v>
      </c>
      <c r="C108" s="204" t="s">
        <v>14</v>
      </c>
      <c r="D108" s="205">
        <v>1168625</v>
      </c>
      <c r="E108" s="206">
        <v>4.9700000000000001E-2</v>
      </c>
      <c r="F108" s="207">
        <v>1.32E-2</v>
      </c>
      <c r="G108" s="207">
        <v>1.0466</v>
      </c>
      <c r="H108" s="207">
        <v>1.0417000000000001</v>
      </c>
      <c r="I108" s="207">
        <v>0.99439999999999995</v>
      </c>
      <c r="J108" s="207">
        <v>7.4999999999999997E-3</v>
      </c>
    </row>
    <row r="109" spans="1:10">
      <c r="A109" s="82"/>
      <c r="B109" s="616"/>
      <c r="C109" s="82" t="s">
        <v>16</v>
      </c>
      <c r="D109" s="106">
        <v>1168756</v>
      </c>
      <c r="E109" s="208">
        <v>5.5800000000000002E-2</v>
      </c>
      <c r="F109" s="107">
        <v>1.1299999999999999E-2</v>
      </c>
      <c r="G109" s="107">
        <v>1.0466</v>
      </c>
      <c r="H109" s="107">
        <v>1.0374000000000001</v>
      </c>
      <c r="I109" s="107">
        <v>0.98780000000000001</v>
      </c>
      <c r="J109" s="107">
        <v>6.3E-3</v>
      </c>
    </row>
    <row r="110" spans="1:10">
      <c r="A110" s="82"/>
      <c r="B110" s="613"/>
      <c r="C110" s="209" t="s">
        <v>18</v>
      </c>
      <c r="D110" s="210">
        <v>1168752</v>
      </c>
      <c r="E110" s="211">
        <v>3.2300000000000002E-2</v>
      </c>
      <c r="F110" s="212">
        <v>1.15E-2</v>
      </c>
      <c r="G110" s="212">
        <v>1.0466</v>
      </c>
      <c r="H110" s="212">
        <v>1.0324</v>
      </c>
      <c r="I110" s="212">
        <v>1.0041</v>
      </c>
      <c r="J110" s="212">
        <v>6.7999999999999996E-3</v>
      </c>
    </row>
    <row r="111" spans="1:10">
      <c r="A111" s="82"/>
      <c r="B111" s="214" t="s">
        <v>147</v>
      </c>
      <c r="C111" s="214" t="s">
        <v>733</v>
      </c>
      <c r="D111" s="215">
        <v>1174558</v>
      </c>
      <c r="E111" s="216">
        <v>3.6400000000000002E-2</v>
      </c>
      <c r="F111" s="217">
        <v>2E-3</v>
      </c>
      <c r="G111" s="217">
        <v>1.2531000000000001</v>
      </c>
      <c r="H111" s="217">
        <v>1.3363</v>
      </c>
      <c r="I111" s="217">
        <v>1.0124</v>
      </c>
      <c r="J111" s="217">
        <v>8.2000000000000007E-3</v>
      </c>
    </row>
    <row r="112" spans="1:10">
      <c r="A112" s="82"/>
      <c r="B112" s="616" t="s">
        <v>146</v>
      </c>
      <c r="C112" s="82" t="s">
        <v>14</v>
      </c>
      <c r="D112" s="106">
        <v>1168688</v>
      </c>
      <c r="E112" s="208">
        <v>4.6300000000000001E-2</v>
      </c>
      <c r="F112" s="107">
        <v>7.1999999999999998E-3</v>
      </c>
      <c r="G112" s="107">
        <v>1.0956999999999999</v>
      </c>
      <c r="H112" s="107">
        <v>1.0821000000000001</v>
      </c>
      <c r="I112" s="107">
        <v>1.0117</v>
      </c>
      <c r="J112" s="107">
        <v>6.7999999999999996E-3</v>
      </c>
    </row>
    <row r="113" spans="1:24">
      <c r="A113" s="82"/>
      <c r="B113" s="616"/>
      <c r="C113" s="82" t="s">
        <v>16</v>
      </c>
      <c r="D113" s="106">
        <v>1168825</v>
      </c>
      <c r="E113" s="208">
        <v>2.8000000000000001E-2</v>
      </c>
      <c r="F113" s="107">
        <v>7.4000000000000003E-3</v>
      </c>
      <c r="G113" s="107">
        <v>1.0466</v>
      </c>
      <c r="H113" s="107">
        <v>1.0584</v>
      </c>
      <c r="I113" s="107">
        <v>1.0183</v>
      </c>
      <c r="J113" s="107">
        <v>7.3000000000000001E-3</v>
      </c>
    </row>
    <row r="114" spans="1:24">
      <c r="A114" s="82"/>
      <c r="B114" s="613"/>
      <c r="C114" s="209" t="s">
        <v>18</v>
      </c>
      <c r="D114" s="210">
        <v>1168878</v>
      </c>
      <c r="E114" s="211">
        <v>5.0999999999999997E-2</v>
      </c>
      <c r="F114" s="212">
        <v>7.4000000000000003E-3</v>
      </c>
      <c r="G114" s="212">
        <v>1.0466</v>
      </c>
      <c r="H114" s="212">
        <v>1.0656000000000001</v>
      </c>
      <c r="I114" s="212">
        <v>0.99239999999999995</v>
      </c>
      <c r="J114" s="212">
        <v>6.4999999999999997E-3</v>
      </c>
    </row>
    <row r="115" spans="1:24">
      <c r="A115" s="82"/>
      <c r="B115" s="612" t="s">
        <v>149</v>
      </c>
      <c r="C115" s="82" t="s">
        <v>701</v>
      </c>
      <c r="D115" s="106">
        <v>1055168</v>
      </c>
      <c r="E115" s="208">
        <v>3.8800000000000001E-2</v>
      </c>
      <c r="F115" s="107">
        <v>5.5999999999999999E-3</v>
      </c>
      <c r="G115" s="107">
        <v>1.0405</v>
      </c>
      <c r="H115" s="107">
        <v>1.0417000000000001</v>
      </c>
      <c r="I115" s="107">
        <v>0.97150000000000003</v>
      </c>
      <c r="J115" s="107">
        <v>6.1999999999999998E-3</v>
      </c>
    </row>
    <row r="116" spans="1:24">
      <c r="A116" s="82"/>
      <c r="B116" s="616"/>
      <c r="C116" s="82" t="s">
        <v>14</v>
      </c>
      <c r="D116" s="106">
        <v>1168625</v>
      </c>
      <c r="E116" s="208">
        <v>4.5999999999999999E-2</v>
      </c>
      <c r="F116" s="107">
        <v>1.11E-2</v>
      </c>
      <c r="G116" s="107">
        <v>1.0466</v>
      </c>
      <c r="H116" s="107">
        <v>1.0457000000000001</v>
      </c>
      <c r="I116" s="107">
        <v>1.0024</v>
      </c>
      <c r="J116" s="107">
        <v>6.7000000000000002E-3</v>
      </c>
    </row>
    <row r="117" spans="1:24">
      <c r="A117" s="82"/>
      <c r="B117" s="616"/>
      <c r="C117" s="82" t="s">
        <v>16</v>
      </c>
      <c r="D117" s="106">
        <v>1168756</v>
      </c>
      <c r="E117" s="208">
        <v>0.05</v>
      </c>
      <c r="F117" s="107">
        <v>1.18E-2</v>
      </c>
      <c r="G117" s="107">
        <v>1.0466</v>
      </c>
      <c r="H117" s="107">
        <v>1.0378000000000001</v>
      </c>
      <c r="I117" s="107">
        <v>0.99319999999999997</v>
      </c>
      <c r="J117" s="107">
        <v>6.4000000000000003E-3</v>
      </c>
    </row>
    <row r="118" spans="1:24">
      <c r="A118" s="82"/>
      <c r="B118" s="613"/>
      <c r="C118" s="209" t="s">
        <v>18</v>
      </c>
      <c r="D118" s="210">
        <v>1168752</v>
      </c>
      <c r="E118" s="211">
        <v>3.5400000000000001E-2</v>
      </c>
      <c r="F118" s="212">
        <v>1.1900000000000001E-2</v>
      </c>
      <c r="G118" s="212">
        <v>1.0466</v>
      </c>
      <c r="H118" s="212">
        <v>1.0338000000000001</v>
      </c>
      <c r="I118" s="212">
        <v>1.0035000000000001</v>
      </c>
      <c r="J118" s="212">
        <v>6.8999999999999999E-3</v>
      </c>
    </row>
    <row r="119" spans="1:24">
      <c r="A119" s="82"/>
      <c r="B119" s="214" t="s">
        <v>158</v>
      </c>
      <c r="C119" s="214" t="s">
        <v>733</v>
      </c>
      <c r="D119" s="215">
        <v>1176570</v>
      </c>
      <c r="E119" s="216">
        <v>2.8799999999999999E-2</v>
      </c>
      <c r="F119" s="217">
        <v>1.4E-3</v>
      </c>
      <c r="G119" s="217">
        <v>1.3614999999999999</v>
      </c>
      <c r="H119" s="217">
        <v>1.4577</v>
      </c>
      <c r="I119" s="217">
        <v>1.0105</v>
      </c>
      <c r="J119" s="217">
        <v>8.0999999999999996E-3</v>
      </c>
    </row>
    <row r="120" spans="1:24">
      <c r="A120" s="82"/>
      <c r="B120" s="612" t="s">
        <v>151</v>
      </c>
      <c r="C120" s="204" t="s">
        <v>701</v>
      </c>
      <c r="D120" s="205">
        <v>1055172</v>
      </c>
      <c r="E120" s="206">
        <v>2.41E-2</v>
      </c>
      <c r="F120" s="207">
        <v>2.3999999999999998E-3</v>
      </c>
      <c r="G120" s="207">
        <v>1.0588</v>
      </c>
      <c r="H120" s="207">
        <v>1.0717000000000001</v>
      </c>
      <c r="I120" s="207">
        <v>0.97289999999999999</v>
      </c>
      <c r="J120" s="207">
        <v>6.6E-3</v>
      </c>
    </row>
    <row r="121" spans="1:24">
      <c r="A121" s="82"/>
      <c r="B121" s="616"/>
      <c r="C121" s="82" t="s">
        <v>14</v>
      </c>
      <c r="D121" s="106">
        <v>1168688</v>
      </c>
      <c r="E121" s="208">
        <v>5.79E-2</v>
      </c>
      <c r="F121" s="107">
        <v>7.1999999999999998E-3</v>
      </c>
      <c r="G121" s="107">
        <v>1.0956999999999999</v>
      </c>
      <c r="H121" s="107">
        <v>1.1042000000000001</v>
      </c>
      <c r="I121" s="107">
        <v>1.0158</v>
      </c>
      <c r="J121" s="107">
        <v>6.1999999999999998E-3</v>
      </c>
    </row>
    <row r="122" spans="1:24">
      <c r="A122" s="82"/>
      <c r="B122" s="616"/>
      <c r="C122" s="82" t="s">
        <v>16</v>
      </c>
      <c r="D122" s="106">
        <v>1168825</v>
      </c>
      <c r="E122" s="208">
        <v>5.4800000000000001E-2</v>
      </c>
      <c r="F122" s="107">
        <v>8.0999999999999996E-3</v>
      </c>
      <c r="G122" s="107">
        <v>1.0956999999999999</v>
      </c>
      <c r="H122" s="107">
        <v>1.0884</v>
      </c>
      <c r="I122" s="107">
        <v>1.0098</v>
      </c>
      <c r="J122" s="107">
        <v>7.6E-3</v>
      </c>
    </row>
    <row r="123" spans="1:24">
      <c r="A123" s="82"/>
      <c r="B123" s="613"/>
      <c r="C123" s="209" t="s">
        <v>18</v>
      </c>
      <c r="D123" s="210">
        <v>1168878</v>
      </c>
      <c r="E123" s="211">
        <v>7.9200000000000007E-2</v>
      </c>
      <c r="F123" s="212">
        <v>8.3000000000000001E-3</v>
      </c>
      <c r="G123" s="212">
        <v>1.0956999999999999</v>
      </c>
      <c r="H123" s="212">
        <v>1.0966</v>
      </c>
      <c r="I123" s="212">
        <v>0.9819</v>
      </c>
      <c r="J123" s="212">
        <v>6.4000000000000003E-3</v>
      </c>
    </row>
    <row r="124" spans="1:24" s="1" customFormat="1">
      <c r="A124" s="61" t="s">
        <v>574</v>
      </c>
      <c r="B124" s="62"/>
      <c r="C124" s="52"/>
      <c r="D124" s="54"/>
      <c r="E124" s="201"/>
      <c r="F124" s="198"/>
      <c r="G124" s="198"/>
      <c r="H124" s="198"/>
      <c r="I124" s="102"/>
      <c r="J124" s="102"/>
      <c r="K124" s="14"/>
      <c r="L124"/>
      <c r="M124" s="14"/>
      <c r="N124" s="14"/>
      <c r="O124" s="14"/>
      <c r="P124" s="14"/>
      <c r="Q124" s="14"/>
      <c r="R124" s="14"/>
      <c r="S124" s="14"/>
      <c r="T124" s="14"/>
      <c r="U124" s="14"/>
      <c r="V124" s="14"/>
      <c r="W124" s="14"/>
      <c r="X124" s="14"/>
    </row>
    <row r="125" spans="1:24">
      <c r="A125" s="82"/>
      <c r="B125" s="64" t="s">
        <v>186</v>
      </c>
      <c r="C125" s="209" t="s">
        <v>144</v>
      </c>
      <c r="D125" s="210">
        <v>1064902</v>
      </c>
      <c r="E125" s="211">
        <v>9.9099999999999994E-2</v>
      </c>
      <c r="F125" s="212">
        <v>1.34E-2</v>
      </c>
      <c r="G125" s="212">
        <v>1.071</v>
      </c>
      <c r="H125" s="212">
        <v>1.0942000000000001</v>
      </c>
      <c r="I125" s="212">
        <v>0.99990000000000001</v>
      </c>
      <c r="J125" s="212">
        <v>7.7999999999999996E-3</v>
      </c>
    </row>
    <row r="126" spans="1:24">
      <c r="A126" s="82"/>
      <c r="B126" s="64" t="s">
        <v>187</v>
      </c>
      <c r="C126" s="214" t="s">
        <v>144</v>
      </c>
      <c r="D126" s="215">
        <v>1064902</v>
      </c>
      <c r="E126" s="216">
        <v>8.5199999999999998E-2</v>
      </c>
      <c r="F126" s="217">
        <v>1.24E-2</v>
      </c>
      <c r="G126" s="217">
        <v>1.0649</v>
      </c>
      <c r="H126" s="217">
        <v>1.0770999999999999</v>
      </c>
      <c r="I126" s="217">
        <v>0.99560000000000004</v>
      </c>
      <c r="J126" s="217">
        <v>7.1000000000000004E-3</v>
      </c>
    </row>
    <row r="127" spans="1:24">
      <c r="A127" s="82"/>
      <c r="B127" s="652" t="s">
        <v>188</v>
      </c>
      <c r="C127" s="204" t="s">
        <v>144</v>
      </c>
      <c r="D127" s="205">
        <v>1064902</v>
      </c>
      <c r="E127" s="206">
        <v>0.12</v>
      </c>
      <c r="F127" s="207">
        <v>1.49E-2</v>
      </c>
      <c r="G127" s="207">
        <v>1.0802</v>
      </c>
      <c r="H127" s="207">
        <v>1.1143000000000001</v>
      </c>
      <c r="I127" s="207">
        <v>0.99929999999999997</v>
      </c>
      <c r="J127" s="207">
        <v>8.3000000000000001E-3</v>
      </c>
    </row>
    <row r="128" spans="1:24">
      <c r="A128" s="82"/>
      <c r="B128" s="645"/>
      <c r="C128" s="82" t="s">
        <v>14</v>
      </c>
      <c r="D128" s="106">
        <v>1168697</v>
      </c>
      <c r="E128" s="208">
        <v>8.2000000000000007E-3</v>
      </c>
      <c r="F128" s="107">
        <v>3.5999999999999999E-3</v>
      </c>
      <c r="G128" s="107">
        <v>1.0466</v>
      </c>
      <c r="H128" s="107">
        <v>1.0421</v>
      </c>
      <c r="I128" s="107">
        <v>1.0182</v>
      </c>
      <c r="J128" s="107">
        <v>6.6E-3</v>
      </c>
    </row>
    <row r="129" spans="1:10">
      <c r="A129" s="82"/>
      <c r="B129" s="645"/>
      <c r="C129" s="82" t="s">
        <v>16</v>
      </c>
      <c r="D129" s="106">
        <v>1168803</v>
      </c>
      <c r="E129" s="208">
        <v>1.6400000000000001E-2</v>
      </c>
      <c r="F129" s="107">
        <v>3.8E-3</v>
      </c>
      <c r="G129" s="107">
        <v>1.0466</v>
      </c>
      <c r="H129" s="107">
        <v>1.0507</v>
      </c>
      <c r="I129" s="107">
        <v>1.0026999999999999</v>
      </c>
      <c r="J129" s="107">
        <v>6.8999999999999999E-3</v>
      </c>
    </row>
    <row r="130" spans="1:10">
      <c r="A130" s="82"/>
      <c r="B130" s="653"/>
      <c r="C130" s="209" t="s">
        <v>18</v>
      </c>
      <c r="D130" s="210">
        <v>1168823</v>
      </c>
      <c r="E130" s="211">
        <v>8.2000000000000007E-3</v>
      </c>
      <c r="F130" s="212">
        <v>3.8999999999999998E-3</v>
      </c>
      <c r="G130" s="212">
        <v>0.99860000000000004</v>
      </c>
      <c r="H130" s="212">
        <v>1.0310999999999999</v>
      </c>
      <c r="I130" s="212">
        <v>1.0073000000000001</v>
      </c>
      <c r="J130" s="212">
        <v>7.3000000000000001E-3</v>
      </c>
    </row>
    <row r="131" spans="1:10">
      <c r="A131" s="82"/>
      <c r="B131" s="647" t="s">
        <v>198</v>
      </c>
      <c r="C131" s="204" t="s">
        <v>144</v>
      </c>
      <c r="D131" s="205">
        <v>1062533</v>
      </c>
      <c r="E131" s="206">
        <v>0.19</v>
      </c>
      <c r="F131" s="207">
        <v>3.8800000000000001E-2</v>
      </c>
      <c r="G131" s="207">
        <v>1.0618000000000001</v>
      </c>
      <c r="H131" s="207">
        <v>1.0685</v>
      </c>
      <c r="I131" s="207">
        <v>1.0084</v>
      </c>
      <c r="J131" s="207">
        <v>7.7999999999999996E-3</v>
      </c>
    </row>
    <row r="132" spans="1:10">
      <c r="A132" s="82"/>
      <c r="B132" s="614"/>
      <c r="C132" s="82" t="s">
        <v>745</v>
      </c>
      <c r="D132" s="106">
        <v>948330</v>
      </c>
      <c r="E132" s="208">
        <v>1.9599999999999999E-2</v>
      </c>
      <c r="F132" s="107">
        <v>1.6000000000000001E-3</v>
      </c>
      <c r="G132" s="107">
        <v>1.3718999999999999</v>
      </c>
      <c r="H132" s="107">
        <v>1.5798000000000001</v>
      </c>
      <c r="I132" s="107">
        <v>1.0710999999999999</v>
      </c>
      <c r="J132" s="107">
        <v>1.6799999999999999E-2</v>
      </c>
    </row>
    <row r="133" spans="1:10">
      <c r="A133" s="82"/>
      <c r="B133" s="614"/>
      <c r="C133" s="82" t="s">
        <v>14</v>
      </c>
      <c r="D133" s="106">
        <v>1168694</v>
      </c>
      <c r="E133" s="208">
        <v>6.3500000000000001E-2</v>
      </c>
      <c r="F133" s="107">
        <v>7.3000000000000001E-3</v>
      </c>
      <c r="G133" s="107">
        <v>1.1458999999999999</v>
      </c>
      <c r="H133" s="107">
        <v>1.2078</v>
      </c>
      <c r="I133" s="107">
        <v>1.0209999999999999</v>
      </c>
      <c r="J133" s="107">
        <v>9.2999999999999992E-3</v>
      </c>
    </row>
    <row r="134" spans="1:10">
      <c r="A134" s="82"/>
      <c r="B134" s="614"/>
      <c r="C134" s="82" t="s">
        <v>16</v>
      </c>
      <c r="D134" s="106">
        <v>1168811</v>
      </c>
      <c r="E134" s="208">
        <v>5.3800000000000001E-2</v>
      </c>
      <c r="F134" s="107">
        <v>6.8999999999999999E-3</v>
      </c>
      <c r="G134" s="107">
        <v>1.1458999999999999</v>
      </c>
      <c r="H134" s="107">
        <v>1.1749000000000001</v>
      </c>
      <c r="I134" s="107">
        <v>1.0185</v>
      </c>
      <c r="J134" s="107">
        <v>9.1000000000000004E-3</v>
      </c>
    </row>
    <row r="135" spans="1:10">
      <c r="A135" s="82"/>
      <c r="B135" s="615"/>
      <c r="C135" s="209" t="s">
        <v>18</v>
      </c>
      <c r="D135" s="210">
        <v>1168824</v>
      </c>
      <c r="E135" s="211">
        <v>6.2100000000000002E-2</v>
      </c>
      <c r="F135" s="212">
        <v>6.7999999999999996E-3</v>
      </c>
      <c r="G135" s="212">
        <v>1.1458999999999999</v>
      </c>
      <c r="H135" s="212">
        <v>1.1970000000000001</v>
      </c>
      <c r="I135" s="212">
        <v>1.014</v>
      </c>
      <c r="J135" s="212">
        <v>8.8999999999999999E-3</v>
      </c>
    </row>
    <row r="136" spans="1:10">
      <c r="A136" s="82"/>
      <c r="B136" s="647" t="s">
        <v>210</v>
      </c>
      <c r="C136" s="204" t="s">
        <v>144</v>
      </c>
      <c r="D136" s="205">
        <v>1136006</v>
      </c>
      <c r="E136" s="206">
        <v>5.7700000000000001E-2</v>
      </c>
      <c r="F136" s="207">
        <v>7.1000000000000004E-3</v>
      </c>
      <c r="G136" s="207">
        <v>1.2038</v>
      </c>
      <c r="H136" s="207">
        <v>1.2755000000000001</v>
      </c>
      <c r="I136" s="207">
        <v>1.1164000000000001</v>
      </c>
      <c r="J136" s="207">
        <v>0.01</v>
      </c>
    </row>
    <row r="137" spans="1:10">
      <c r="A137" s="82"/>
      <c r="B137" s="614"/>
      <c r="C137" s="82" t="s">
        <v>709</v>
      </c>
      <c r="D137" s="106">
        <v>1171067</v>
      </c>
      <c r="E137" s="208">
        <v>7.2499999999999995E-2</v>
      </c>
      <c r="F137" s="107">
        <v>6.6E-3</v>
      </c>
      <c r="G137" s="107">
        <v>1.2136</v>
      </c>
      <c r="H137" s="107">
        <v>1.3512</v>
      </c>
      <c r="I137" s="107">
        <v>1.0052000000000001</v>
      </c>
      <c r="J137" s="107">
        <v>1.24E-2</v>
      </c>
    </row>
    <row r="138" spans="1:10">
      <c r="A138" s="82"/>
      <c r="B138" s="614"/>
      <c r="C138" s="82" t="s">
        <v>14</v>
      </c>
      <c r="D138" s="106">
        <v>1168692</v>
      </c>
      <c r="E138" s="208">
        <v>7.9699999999999993E-2</v>
      </c>
      <c r="F138" s="107">
        <v>7.3000000000000001E-3</v>
      </c>
      <c r="G138" s="107">
        <v>1.1458999999999999</v>
      </c>
      <c r="H138" s="107">
        <v>1.2516</v>
      </c>
      <c r="I138" s="107">
        <v>1.0289999999999999</v>
      </c>
      <c r="J138" s="107">
        <v>1.03E-2</v>
      </c>
    </row>
    <row r="139" spans="1:10">
      <c r="A139" s="82"/>
      <c r="B139" s="614"/>
      <c r="C139" s="82" t="s">
        <v>16</v>
      </c>
      <c r="D139" s="106">
        <v>1168817</v>
      </c>
      <c r="E139" s="208">
        <v>6.8900000000000003E-2</v>
      </c>
      <c r="F139" s="107">
        <v>7.1000000000000004E-3</v>
      </c>
      <c r="G139" s="107">
        <v>1.1458999999999999</v>
      </c>
      <c r="H139" s="107">
        <v>1.2228000000000001</v>
      </c>
      <c r="I139" s="107">
        <v>1.0331999999999999</v>
      </c>
      <c r="J139" s="107">
        <v>9.7000000000000003E-3</v>
      </c>
    </row>
    <row r="140" spans="1:10">
      <c r="A140" s="82"/>
      <c r="B140" s="615"/>
      <c r="C140" s="209" t="s">
        <v>18</v>
      </c>
      <c r="D140" s="210">
        <v>1168828</v>
      </c>
      <c r="E140" s="211">
        <v>8.2100000000000006E-2</v>
      </c>
      <c r="F140" s="212">
        <v>8.0999999999999996E-3</v>
      </c>
      <c r="G140" s="212">
        <v>1.1458999999999999</v>
      </c>
      <c r="H140" s="212">
        <v>1.2367999999999999</v>
      </c>
      <c r="I140" s="212">
        <v>1.0073000000000001</v>
      </c>
      <c r="J140" s="212">
        <v>1.0500000000000001E-2</v>
      </c>
    </row>
    <row r="141" spans="1:10">
      <c r="A141" s="82"/>
      <c r="B141" s="612" t="s">
        <v>291</v>
      </c>
      <c r="C141" s="204" t="s">
        <v>14</v>
      </c>
      <c r="D141" s="205">
        <v>1168706</v>
      </c>
      <c r="E141" s="206">
        <v>2.81E-2</v>
      </c>
      <c r="F141" s="207">
        <v>8.2000000000000007E-3</v>
      </c>
      <c r="G141" s="207">
        <v>1.0466</v>
      </c>
      <c r="H141" s="207">
        <v>1.0626</v>
      </c>
      <c r="I141" s="207">
        <v>1.0174000000000001</v>
      </c>
      <c r="J141" s="207">
        <v>7.7999999999999996E-3</v>
      </c>
    </row>
    <row r="142" spans="1:10">
      <c r="A142" s="82"/>
      <c r="B142" s="616"/>
      <c r="C142" s="82" t="s">
        <v>16</v>
      </c>
      <c r="D142" s="106">
        <v>1168825</v>
      </c>
      <c r="E142" s="208">
        <v>4.02E-2</v>
      </c>
      <c r="F142" s="107">
        <v>8.8999999999999999E-3</v>
      </c>
      <c r="G142" s="107">
        <v>1.0466</v>
      </c>
      <c r="H142" s="107">
        <v>1.0686</v>
      </c>
      <c r="I142" s="107">
        <v>1.0054000000000001</v>
      </c>
      <c r="J142" s="107">
        <v>8.3000000000000001E-3</v>
      </c>
    </row>
    <row r="143" spans="1:10">
      <c r="A143" s="82"/>
      <c r="B143" s="616"/>
      <c r="C143" s="82" t="s">
        <v>18</v>
      </c>
      <c r="D143" s="106">
        <v>1168879</v>
      </c>
      <c r="E143" s="208">
        <v>3.9699999999999999E-2</v>
      </c>
      <c r="F143" s="107">
        <v>7.6E-3</v>
      </c>
      <c r="G143" s="107">
        <v>1.0466</v>
      </c>
      <c r="H143" s="107">
        <v>1.0741000000000001</v>
      </c>
      <c r="I143" s="107">
        <v>1.0115000000000001</v>
      </c>
      <c r="J143" s="107">
        <v>8.0000000000000002E-3</v>
      </c>
    </row>
    <row r="144" spans="1:10">
      <c r="A144" s="82"/>
      <c r="B144" s="613"/>
      <c r="C144" s="209" t="s">
        <v>717</v>
      </c>
      <c r="D144" s="210">
        <v>811905</v>
      </c>
      <c r="E144" s="211">
        <v>9.9599999999999994E-2</v>
      </c>
      <c r="F144" s="212">
        <v>1.4E-2</v>
      </c>
      <c r="G144" s="212">
        <v>1.4673</v>
      </c>
      <c r="H144" s="212">
        <v>1.9400999999999999</v>
      </c>
      <c r="I144" s="212">
        <v>1.3694999999999999</v>
      </c>
      <c r="J144" s="212">
        <v>7.0699999999999999E-2</v>
      </c>
    </row>
    <row r="145" spans="1:10">
      <c r="A145" s="82"/>
      <c r="B145" s="612" t="s">
        <v>332</v>
      </c>
      <c r="C145" s="204" t="s">
        <v>710</v>
      </c>
      <c r="D145" s="205">
        <v>951681</v>
      </c>
      <c r="E145" s="206">
        <v>1.83E-2</v>
      </c>
      <c r="F145" s="207">
        <v>1E-3</v>
      </c>
      <c r="G145" s="207">
        <v>1.2865</v>
      </c>
      <c r="H145" s="207">
        <v>1.3687</v>
      </c>
      <c r="I145" s="207">
        <v>1.02</v>
      </c>
      <c r="J145" s="207">
        <v>9.7999999999999997E-3</v>
      </c>
    </row>
    <row r="146" spans="1:10">
      <c r="A146" s="82"/>
      <c r="B146" s="616"/>
      <c r="C146" s="82" t="s">
        <v>14</v>
      </c>
      <c r="D146" s="106">
        <v>1168695</v>
      </c>
      <c r="E146" s="208">
        <v>2.2200000000000001E-2</v>
      </c>
      <c r="F146" s="107">
        <v>3.3999999999999998E-3</v>
      </c>
      <c r="G146" s="107">
        <v>1.0956999999999999</v>
      </c>
      <c r="H146" s="107">
        <v>1.0801000000000001</v>
      </c>
      <c r="I146" s="107">
        <v>1.0147999999999999</v>
      </c>
      <c r="J146" s="107">
        <v>6.4000000000000003E-3</v>
      </c>
    </row>
    <row r="147" spans="1:10">
      <c r="A147" s="82"/>
      <c r="B147" s="616"/>
      <c r="C147" s="82" t="s">
        <v>16</v>
      </c>
      <c r="D147" s="106">
        <v>1168811</v>
      </c>
      <c r="E147" s="208">
        <v>3.3099999999999997E-2</v>
      </c>
      <c r="F147" s="107">
        <v>3.8E-3</v>
      </c>
      <c r="G147" s="107">
        <v>1.0956999999999999</v>
      </c>
      <c r="H147" s="107">
        <v>1.0982000000000001</v>
      </c>
      <c r="I147" s="107">
        <v>1.002</v>
      </c>
      <c r="J147" s="107">
        <v>7.0000000000000001E-3</v>
      </c>
    </row>
    <row r="148" spans="1:10">
      <c r="A148" s="82"/>
      <c r="B148" s="613"/>
      <c r="C148" s="209" t="s">
        <v>18</v>
      </c>
      <c r="D148" s="210">
        <v>1168824</v>
      </c>
      <c r="E148" s="211">
        <v>4.3499999999999997E-2</v>
      </c>
      <c r="F148" s="212">
        <v>4.0000000000000001E-3</v>
      </c>
      <c r="G148" s="212">
        <v>1.0956999999999999</v>
      </c>
      <c r="H148" s="212">
        <v>1.1119000000000001</v>
      </c>
      <c r="I148" s="212">
        <v>0.98350000000000004</v>
      </c>
      <c r="J148" s="212">
        <v>6.6E-3</v>
      </c>
    </row>
    <row r="149" spans="1:10">
      <c r="A149" s="82"/>
      <c r="B149" s="612" t="s">
        <v>563</v>
      </c>
      <c r="C149" s="204" t="s">
        <v>720</v>
      </c>
      <c r="D149" s="205">
        <v>639328</v>
      </c>
      <c r="E149" s="206">
        <v>6.6500000000000004E-2</v>
      </c>
      <c r="F149" s="207">
        <v>4.7999999999999996E-3</v>
      </c>
      <c r="G149" s="207">
        <v>1.4316</v>
      </c>
      <c r="H149" s="207">
        <v>1.7879</v>
      </c>
      <c r="I149" s="207">
        <v>0.99470000000000003</v>
      </c>
      <c r="J149" s="207">
        <v>2.12E-2</v>
      </c>
    </row>
    <row r="150" spans="1:10">
      <c r="A150" s="82"/>
      <c r="B150" s="616"/>
      <c r="C150" s="82" t="s">
        <v>718</v>
      </c>
      <c r="D150" s="106">
        <v>1162323</v>
      </c>
      <c r="E150" s="208">
        <v>4.41E-2</v>
      </c>
      <c r="F150" s="107">
        <v>2.8E-3</v>
      </c>
      <c r="G150" s="107">
        <v>1.0496000000000001</v>
      </c>
      <c r="H150" s="107">
        <v>1.1452</v>
      </c>
      <c r="I150" s="107">
        <v>0.85419999999999996</v>
      </c>
      <c r="J150" s="107">
        <v>9.1999999999999998E-3</v>
      </c>
    </row>
    <row r="151" spans="1:10">
      <c r="A151" s="82"/>
      <c r="B151" s="616"/>
      <c r="C151" s="82" t="s">
        <v>719</v>
      </c>
      <c r="D151" s="106">
        <v>1124720</v>
      </c>
      <c r="E151" s="208">
        <v>6.7199999999999996E-2</v>
      </c>
      <c r="F151" s="107">
        <v>5.1000000000000004E-3</v>
      </c>
      <c r="G151" s="107">
        <v>1.0527</v>
      </c>
      <c r="H151" s="107">
        <v>1.1328</v>
      </c>
      <c r="I151" s="107">
        <v>0.88280000000000003</v>
      </c>
      <c r="J151" s="107">
        <v>8.6E-3</v>
      </c>
    </row>
    <row r="152" spans="1:10">
      <c r="A152" s="82"/>
      <c r="B152" s="616"/>
      <c r="C152" s="82" t="s">
        <v>14</v>
      </c>
      <c r="D152" s="106">
        <v>1168696</v>
      </c>
      <c r="E152" s="208">
        <v>3.8100000000000002E-2</v>
      </c>
      <c r="F152" s="107">
        <v>4.0000000000000001E-3</v>
      </c>
      <c r="G152" s="107">
        <v>1.0956999999999999</v>
      </c>
      <c r="H152" s="107">
        <v>1.1384000000000001</v>
      </c>
      <c r="I152" s="107">
        <v>1.0271999999999999</v>
      </c>
      <c r="J152" s="107">
        <v>7.3000000000000001E-3</v>
      </c>
    </row>
    <row r="153" spans="1:10">
      <c r="A153" s="82"/>
      <c r="B153" s="616"/>
      <c r="C153" s="82" t="s">
        <v>16</v>
      </c>
      <c r="D153" s="106">
        <v>1168810</v>
      </c>
      <c r="E153" s="208">
        <v>4.5400000000000003E-2</v>
      </c>
      <c r="F153" s="107">
        <v>4.3E-3</v>
      </c>
      <c r="G153" s="107">
        <v>1.1458999999999999</v>
      </c>
      <c r="H153" s="107">
        <v>1.1432</v>
      </c>
      <c r="I153" s="107">
        <v>1.0129999999999999</v>
      </c>
      <c r="J153" s="107">
        <v>6.8999999999999999E-3</v>
      </c>
    </row>
    <row r="154" spans="1:10">
      <c r="A154" s="82"/>
      <c r="B154" s="613"/>
      <c r="C154" s="209" t="s">
        <v>18</v>
      </c>
      <c r="D154" s="210">
        <v>1168826</v>
      </c>
      <c r="E154" s="211">
        <v>5.3699999999999998E-2</v>
      </c>
      <c r="F154" s="212">
        <v>4.4999999999999997E-3</v>
      </c>
      <c r="G154" s="212">
        <v>1.0956999999999999</v>
      </c>
      <c r="H154" s="212">
        <v>1.1566000000000001</v>
      </c>
      <c r="I154" s="212">
        <v>1.0005999999999999</v>
      </c>
      <c r="J154" s="212">
        <v>7.7999999999999996E-3</v>
      </c>
    </row>
    <row r="155" spans="1:10">
      <c r="A155" s="82"/>
      <c r="B155" s="612" t="s">
        <v>371</v>
      </c>
      <c r="C155" s="204" t="s">
        <v>14</v>
      </c>
      <c r="D155" s="205">
        <v>1168668</v>
      </c>
      <c r="E155" s="206">
        <v>2.7000000000000001E-3</v>
      </c>
      <c r="F155" s="207">
        <v>4.3E-3</v>
      </c>
      <c r="G155" s="207">
        <v>0.99860000000000004</v>
      </c>
      <c r="H155" s="207">
        <v>1.0290999999999999</v>
      </c>
      <c r="I155" s="207">
        <v>1.0235000000000001</v>
      </c>
      <c r="J155" s="207">
        <v>6.6E-3</v>
      </c>
    </row>
    <row r="156" spans="1:10">
      <c r="A156" s="82"/>
      <c r="B156" s="616"/>
      <c r="C156" s="82" t="s">
        <v>16</v>
      </c>
      <c r="D156" s="106">
        <v>1168771</v>
      </c>
      <c r="E156" s="208">
        <v>9.2999999999999992E-3</v>
      </c>
      <c r="F156" s="107">
        <v>4.7000000000000002E-3</v>
      </c>
      <c r="G156" s="107">
        <v>0.99860000000000004</v>
      </c>
      <c r="H156" s="107">
        <v>1.0174000000000001</v>
      </c>
      <c r="I156" s="107">
        <v>0.99709999999999999</v>
      </c>
      <c r="J156" s="107">
        <v>7.1999999999999998E-3</v>
      </c>
    </row>
    <row r="157" spans="1:10">
      <c r="A157" s="82"/>
      <c r="B157" s="613"/>
      <c r="C157" s="209" t="s">
        <v>18</v>
      </c>
      <c r="D157" s="210">
        <v>1168824</v>
      </c>
      <c r="E157" s="211">
        <v>0.01</v>
      </c>
      <c r="F157" s="212">
        <v>4.3E-3</v>
      </c>
      <c r="G157" s="212">
        <v>0.99860000000000004</v>
      </c>
      <c r="H157" s="212">
        <v>1.0216000000000001</v>
      </c>
      <c r="I157" s="212">
        <v>1</v>
      </c>
      <c r="J157" s="212">
        <v>6.1999999999999998E-3</v>
      </c>
    </row>
    <row r="158" spans="1:10">
      <c r="A158" s="82"/>
      <c r="B158" s="614" t="s">
        <v>379</v>
      </c>
      <c r="C158" s="82" t="s">
        <v>144</v>
      </c>
      <c r="D158" s="106">
        <v>1062533</v>
      </c>
      <c r="E158" s="208">
        <v>0.19</v>
      </c>
      <c r="F158" s="107">
        <v>3.8800000000000001E-2</v>
      </c>
      <c r="G158" s="107">
        <v>1.0618000000000001</v>
      </c>
      <c r="H158" s="107">
        <v>1.0685</v>
      </c>
      <c r="I158" s="107">
        <v>1.0084</v>
      </c>
      <c r="J158" s="107">
        <v>7.7999999999999996E-3</v>
      </c>
    </row>
    <row r="159" spans="1:10">
      <c r="A159" s="82"/>
      <c r="B159" s="614"/>
      <c r="C159" s="82" t="s">
        <v>14</v>
      </c>
      <c r="D159" s="106">
        <v>1168697</v>
      </c>
      <c r="E159" s="208">
        <v>6.6600000000000006E-2</v>
      </c>
      <c r="F159" s="107">
        <v>6.7000000000000002E-3</v>
      </c>
      <c r="G159" s="107">
        <v>1.1458999999999999</v>
      </c>
      <c r="H159" s="107">
        <v>1.2051000000000001</v>
      </c>
      <c r="I159" s="107">
        <v>1.0314000000000001</v>
      </c>
      <c r="J159" s="107">
        <v>8.8999999999999999E-3</v>
      </c>
    </row>
    <row r="160" spans="1:10">
      <c r="A160" s="82"/>
      <c r="B160" s="614"/>
      <c r="C160" s="82" t="s">
        <v>16</v>
      </c>
      <c r="D160" s="106">
        <v>1168801</v>
      </c>
      <c r="E160" s="208">
        <v>6.25E-2</v>
      </c>
      <c r="F160" s="107">
        <v>6.4999999999999997E-3</v>
      </c>
      <c r="G160" s="107">
        <v>1.1458999999999999</v>
      </c>
      <c r="H160" s="107">
        <v>1.1738</v>
      </c>
      <c r="I160" s="107">
        <v>1.0145</v>
      </c>
      <c r="J160" s="107">
        <v>8.3000000000000001E-3</v>
      </c>
    </row>
    <row r="161" spans="1:10">
      <c r="A161" s="82"/>
      <c r="B161" s="615"/>
      <c r="C161" s="209" t="s">
        <v>18</v>
      </c>
      <c r="D161" s="210">
        <v>1168833</v>
      </c>
      <c r="E161" s="211">
        <v>5.9799999999999999E-2</v>
      </c>
      <c r="F161" s="212">
        <v>6.7000000000000002E-3</v>
      </c>
      <c r="G161" s="212">
        <v>1.0956999999999999</v>
      </c>
      <c r="H161" s="212">
        <v>1.1617</v>
      </c>
      <c r="I161" s="212">
        <v>1.0088999999999999</v>
      </c>
      <c r="J161" s="212">
        <v>7.9000000000000008E-3</v>
      </c>
    </row>
    <row r="162" spans="1:10">
      <c r="A162" s="82"/>
      <c r="B162" s="612" t="s">
        <v>384</v>
      </c>
      <c r="C162" s="204" t="s">
        <v>708</v>
      </c>
      <c r="D162" s="205">
        <v>1079952</v>
      </c>
      <c r="E162" s="206">
        <v>0.32429999999999998</v>
      </c>
      <c r="F162" s="207">
        <v>3.7600000000000001E-2</v>
      </c>
      <c r="G162" s="207">
        <v>1.1842999999999999</v>
      </c>
      <c r="H162" s="207">
        <v>1.2946</v>
      </c>
      <c r="I162" s="207">
        <v>1.0593999999999999</v>
      </c>
      <c r="J162" s="207">
        <v>1.3599999999999999E-2</v>
      </c>
    </row>
    <row r="163" spans="1:10">
      <c r="A163" s="82"/>
      <c r="B163" s="616"/>
      <c r="C163" s="82" t="s">
        <v>14</v>
      </c>
      <c r="D163" s="106">
        <v>1168703</v>
      </c>
      <c r="E163" s="208">
        <v>1.15E-2</v>
      </c>
      <c r="F163" s="107">
        <v>3.3999999999999998E-3</v>
      </c>
      <c r="G163" s="107">
        <v>1.0466</v>
      </c>
      <c r="H163" s="107">
        <v>1.0381</v>
      </c>
      <c r="I163" s="107">
        <v>1.0058</v>
      </c>
      <c r="J163" s="107">
        <v>6.1999999999999998E-3</v>
      </c>
    </row>
    <row r="164" spans="1:10">
      <c r="A164" s="82"/>
      <c r="B164" s="616"/>
      <c r="C164" s="82" t="s">
        <v>16</v>
      </c>
      <c r="D164" s="106">
        <v>1168816</v>
      </c>
      <c r="E164" s="208">
        <v>1.14E-2</v>
      </c>
      <c r="F164" s="107">
        <v>4.3E-3</v>
      </c>
      <c r="G164" s="107">
        <v>1.0466</v>
      </c>
      <c r="H164" s="107">
        <v>1.0472999999999999</v>
      </c>
      <c r="I164" s="107">
        <v>1.0150999999999999</v>
      </c>
      <c r="J164" s="107">
        <v>7.7000000000000002E-3</v>
      </c>
    </row>
    <row r="165" spans="1:10">
      <c r="A165" s="82"/>
      <c r="B165" s="613"/>
      <c r="C165" s="209" t="s">
        <v>18</v>
      </c>
      <c r="D165" s="210">
        <v>1168822</v>
      </c>
      <c r="E165" s="211">
        <v>1.5599999999999999E-2</v>
      </c>
      <c r="F165" s="212">
        <v>3.7000000000000002E-3</v>
      </c>
      <c r="G165" s="212">
        <v>1.0466</v>
      </c>
      <c r="H165" s="212">
        <v>1.0392999999999999</v>
      </c>
      <c r="I165" s="212">
        <v>0.996</v>
      </c>
      <c r="J165" s="212">
        <v>6.7000000000000002E-3</v>
      </c>
    </row>
    <row r="166" spans="1:10">
      <c r="A166" s="82"/>
      <c r="B166" s="612" t="s">
        <v>397</v>
      </c>
      <c r="C166" s="204" t="s">
        <v>144</v>
      </c>
      <c r="D166" s="205">
        <v>1136053</v>
      </c>
      <c r="E166" s="206">
        <v>6.0400000000000002E-2</v>
      </c>
      <c r="F166" s="207">
        <v>2.8999999999999998E-3</v>
      </c>
      <c r="G166" s="207">
        <v>1.3033999999999999</v>
      </c>
      <c r="H166" s="207">
        <v>1.3742000000000001</v>
      </c>
      <c r="I166" s="207">
        <v>1.0337000000000001</v>
      </c>
      <c r="J166" s="207">
        <v>9.4000000000000004E-3</v>
      </c>
    </row>
    <row r="167" spans="1:10">
      <c r="A167" s="82"/>
      <c r="B167" s="616"/>
      <c r="C167" s="82" t="s">
        <v>730</v>
      </c>
      <c r="D167" s="106">
        <v>1163856</v>
      </c>
      <c r="E167" s="208">
        <v>3.6999999999999998E-2</v>
      </c>
      <c r="F167" s="107">
        <v>3.2000000000000002E-3</v>
      </c>
      <c r="G167" s="107">
        <v>1.1428</v>
      </c>
      <c r="H167" s="107">
        <v>1.1735</v>
      </c>
      <c r="I167" s="107">
        <v>1.0258</v>
      </c>
      <c r="J167" s="107">
        <v>8.0999999999999996E-3</v>
      </c>
    </row>
    <row r="168" spans="1:10">
      <c r="A168" s="82"/>
      <c r="B168" s="616"/>
      <c r="C168" s="82" t="s">
        <v>731</v>
      </c>
      <c r="D168" s="106">
        <v>1161768</v>
      </c>
      <c r="E168" s="208">
        <v>2.8400000000000002E-2</v>
      </c>
      <c r="F168" s="107">
        <v>1.6999999999999999E-3</v>
      </c>
      <c r="G168" s="107">
        <v>1.2664</v>
      </c>
      <c r="H168" s="107">
        <v>1.3552999999999999</v>
      </c>
      <c r="I168" s="107">
        <v>1.0328999999999999</v>
      </c>
      <c r="J168" s="107">
        <v>9.7000000000000003E-3</v>
      </c>
    </row>
    <row r="169" spans="1:10">
      <c r="A169" s="82"/>
      <c r="B169" s="616"/>
      <c r="C169" s="82" t="s">
        <v>14</v>
      </c>
      <c r="D169" s="106">
        <v>1168668</v>
      </c>
      <c r="E169" s="208">
        <v>4.4600000000000001E-2</v>
      </c>
      <c r="F169" s="107">
        <v>4.1999999999999997E-3</v>
      </c>
      <c r="G169" s="107">
        <v>1.0956999999999999</v>
      </c>
      <c r="H169" s="107">
        <v>1.1336999999999999</v>
      </c>
      <c r="I169" s="107">
        <v>1.0086999999999999</v>
      </c>
      <c r="J169" s="107">
        <v>7.4999999999999997E-3</v>
      </c>
    </row>
    <row r="170" spans="1:10">
      <c r="A170" s="82"/>
      <c r="B170" s="616"/>
      <c r="C170" s="82" t="s">
        <v>16</v>
      </c>
      <c r="D170" s="106">
        <v>1168816</v>
      </c>
      <c r="E170" s="208">
        <v>3.6600000000000001E-2</v>
      </c>
      <c r="F170" s="107">
        <v>3.8E-3</v>
      </c>
      <c r="G170" s="107">
        <v>1.0956999999999999</v>
      </c>
      <c r="H170" s="107">
        <v>1.1026</v>
      </c>
      <c r="I170" s="107">
        <v>1.0016</v>
      </c>
      <c r="J170" s="107">
        <v>6.7999999999999996E-3</v>
      </c>
    </row>
    <row r="171" spans="1:10">
      <c r="A171" s="82"/>
      <c r="B171" s="613"/>
      <c r="C171" s="209" t="s">
        <v>18</v>
      </c>
      <c r="D171" s="210">
        <v>1168827</v>
      </c>
      <c r="E171" s="211">
        <v>3.6499999999999998E-2</v>
      </c>
      <c r="F171" s="212">
        <v>4.1999999999999997E-3</v>
      </c>
      <c r="G171" s="212">
        <v>1.0956999999999999</v>
      </c>
      <c r="H171" s="212">
        <v>1.0998000000000001</v>
      </c>
      <c r="I171" s="212">
        <v>0.99719999999999998</v>
      </c>
      <c r="J171" s="212">
        <v>6.7999999999999996E-3</v>
      </c>
    </row>
    <row r="172" spans="1:10">
      <c r="A172" s="82"/>
      <c r="B172" s="647" t="s">
        <v>407</v>
      </c>
      <c r="C172" s="204" t="s">
        <v>144</v>
      </c>
      <c r="D172" s="205">
        <v>1135992</v>
      </c>
      <c r="E172" s="206">
        <v>0.16489999999999999</v>
      </c>
      <c r="F172" s="207">
        <v>7.9000000000000008E-3</v>
      </c>
      <c r="G172" s="207">
        <v>1.4245000000000001</v>
      </c>
      <c r="H172" s="207">
        <v>1.6808000000000001</v>
      </c>
      <c r="I172" s="207">
        <v>1.0477000000000001</v>
      </c>
      <c r="J172" s="207">
        <v>1.0800000000000001E-2</v>
      </c>
    </row>
    <row r="173" spans="1:10">
      <c r="A173" s="82"/>
      <c r="B173" s="614"/>
      <c r="C173" s="82" t="s">
        <v>732</v>
      </c>
      <c r="D173" s="106">
        <v>1177524</v>
      </c>
      <c r="E173" s="208">
        <v>0.26700000000000002</v>
      </c>
      <c r="F173" s="107">
        <v>1.2699999999999999E-2</v>
      </c>
      <c r="G173" s="107">
        <v>1.7925</v>
      </c>
      <c r="H173" s="107">
        <v>2.4207999999999998</v>
      </c>
      <c r="I173" s="107">
        <v>1.1035999999999999</v>
      </c>
      <c r="J173" s="107">
        <v>2.3900000000000001E-2</v>
      </c>
    </row>
    <row r="174" spans="1:10">
      <c r="A174" s="82"/>
      <c r="B174" s="614"/>
      <c r="C174" s="82" t="s">
        <v>14</v>
      </c>
      <c r="D174" s="106">
        <v>1168678</v>
      </c>
      <c r="E174" s="208">
        <v>0.14499999999999999</v>
      </c>
      <c r="F174" s="107">
        <v>1.09E-2</v>
      </c>
      <c r="G174" s="107">
        <v>1.1715</v>
      </c>
      <c r="H174" s="107">
        <v>1.2232000000000001</v>
      </c>
      <c r="I174" s="107">
        <v>1.0148999999999999</v>
      </c>
      <c r="J174" s="107">
        <v>1.0200000000000001E-2</v>
      </c>
    </row>
    <row r="175" spans="1:10">
      <c r="A175" s="82"/>
      <c r="B175" s="614"/>
      <c r="C175" s="82" t="s">
        <v>16</v>
      </c>
      <c r="D175" s="106">
        <v>1168823</v>
      </c>
      <c r="E175" s="208">
        <v>0.12909999999999999</v>
      </c>
      <c r="F175" s="107">
        <v>-1.12E-2</v>
      </c>
      <c r="G175" s="107">
        <v>1.1333</v>
      </c>
      <c r="H175" s="107">
        <v>1.1673</v>
      </c>
      <c r="I175" s="107">
        <v>1.0301</v>
      </c>
      <c r="J175" s="107">
        <v>7.4000000000000003E-3</v>
      </c>
    </row>
    <row r="176" spans="1:10">
      <c r="A176" s="82"/>
      <c r="B176" s="615"/>
      <c r="C176" s="209" t="s">
        <v>18</v>
      </c>
      <c r="D176" s="210">
        <v>1168898</v>
      </c>
      <c r="E176" s="211">
        <v>0.13550000000000001</v>
      </c>
      <c r="F176" s="212">
        <v>-1.34E-2</v>
      </c>
      <c r="G176" s="212">
        <v>1.1301000000000001</v>
      </c>
      <c r="H176" s="212">
        <v>1.1591</v>
      </c>
      <c r="I176" s="212">
        <v>1.0125</v>
      </c>
      <c r="J176" s="212">
        <v>7.4999999999999997E-3</v>
      </c>
    </row>
    <row r="177" spans="1:12">
      <c r="A177" s="82"/>
      <c r="B177" s="614" t="s">
        <v>422</v>
      </c>
      <c r="C177" s="82" t="s">
        <v>735</v>
      </c>
      <c r="D177" s="106">
        <v>807796</v>
      </c>
      <c r="E177" s="208">
        <v>0.1008</v>
      </c>
      <c r="F177" s="107">
        <v>2.3699999999999999E-2</v>
      </c>
      <c r="G177" s="107">
        <v>1.2266999999999999</v>
      </c>
      <c r="H177" s="107">
        <v>1.4773000000000001</v>
      </c>
      <c r="I177" s="107">
        <v>1.177</v>
      </c>
      <c r="J177" s="107">
        <v>9.1600000000000001E-2</v>
      </c>
    </row>
    <row r="178" spans="1:12">
      <c r="A178" s="82"/>
      <c r="B178" s="614"/>
      <c r="C178" s="82" t="s">
        <v>14</v>
      </c>
      <c r="D178" s="106">
        <v>1168662</v>
      </c>
      <c r="E178" s="208">
        <v>5.5E-2</v>
      </c>
      <c r="F178" s="107">
        <v>9.1999999999999998E-3</v>
      </c>
      <c r="G178" s="107">
        <v>1.0466</v>
      </c>
      <c r="H178" s="107">
        <v>1.0916999999999999</v>
      </c>
      <c r="I178" s="107">
        <v>1.0175000000000001</v>
      </c>
      <c r="J178" s="107">
        <v>9.7999999999999997E-3</v>
      </c>
    </row>
    <row r="179" spans="1:12">
      <c r="A179" s="82"/>
      <c r="B179" s="614"/>
      <c r="C179" s="82" t="s">
        <v>16</v>
      </c>
      <c r="D179" s="106">
        <v>1168798</v>
      </c>
      <c r="E179" s="208">
        <v>3.9100000000000003E-2</v>
      </c>
      <c r="F179" s="107">
        <v>7.9000000000000008E-3</v>
      </c>
      <c r="G179" s="107">
        <v>1.0466</v>
      </c>
      <c r="H179" s="107">
        <v>1.0697000000000001</v>
      </c>
      <c r="I179" s="107">
        <v>1.0159</v>
      </c>
      <c r="J179" s="107">
        <v>9.5999999999999992E-3</v>
      </c>
    </row>
    <row r="180" spans="1:12">
      <c r="A180" s="82"/>
      <c r="B180" s="615"/>
      <c r="C180" s="209" t="s">
        <v>18</v>
      </c>
      <c r="D180" s="210">
        <v>1168786</v>
      </c>
      <c r="E180" s="211">
        <v>4.6399999999999997E-2</v>
      </c>
      <c r="F180" s="212">
        <v>8.8000000000000005E-3</v>
      </c>
      <c r="G180" s="212">
        <v>1.0466</v>
      </c>
      <c r="H180" s="212">
        <v>1.0808</v>
      </c>
      <c r="I180" s="212">
        <v>1.0183</v>
      </c>
      <c r="J180" s="212">
        <v>9.1999999999999998E-3</v>
      </c>
    </row>
    <row r="181" spans="1:12">
      <c r="A181" s="82"/>
      <c r="B181" s="652" t="s">
        <v>449</v>
      </c>
      <c r="C181" s="204" t="s">
        <v>144</v>
      </c>
      <c r="D181" s="205">
        <v>1132993</v>
      </c>
      <c r="E181" s="206">
        <v>7.46E-2</v>
      </c>
      <c r="F181" s="207">
        <v>2.0999999999999999E-3</v>
      </c>
      <c r="G181" s="207">
        <v>1.9464999999999999</v>
      </c>
      <c r="H181" s="207">
        <v>2.2871000000000001</v>
      </c>
      <c r="I181" s="207">
        <v>1.1245000000000001</v>
      </c>
      <c r="J181" s="207">
        <v>1.3299999999999999E-2</v>
      </c>
    </row>
    <row r="182" spans="1:12">
      <c r="A182" s="82"/>
      <c r="B182" s="645"/>
      <c r="C182" s="82" t="s">
        <v>14</v>
      </c>
      <c r="D182" s="106">
        <v>1169127</v>
      </c>
      <c r="E182" s="208">
        <v>9.1399999999999995E-2</v>
      </c>
      <c r="F182" s="107">
        <v>5.1000000000000004E-3</v>
      </c>
      <c r="G182" s="107">
        <v>1.2531000000000001</v>
      </c>
      <c r="H182" s="107">
        <v>1.2984</v>
      </c>
      <c r="I182" s="107">
        <v>1.0334000000000001</v>
      </c>
      <c r="J182" s="107">
        <v>7.7999999999999996E-3</v>
      </c>
    </row>
    <row r="183" spans="1:12">
      <c r="A183" s="82"/>
      <c r="B183" s="645"/>
      <c r="C183" s="82" t="s">
        <v>16</v>
      </c>
      <c r="D183" s="106">
        <v>1169235</v>
      </c>
      <c r="E183" s="208">
        <v>9.1300000000000006E-2</v>
      </c>
      <c r="F183" s="107">
        <v>5.1000000000000004E-3</v>
      </c>
      <c r="G183" s="107">
        <v>1.2531000000000001</v>
      </c>
      <c r="H183" s="107">
        <v>1.2818000000000001</v>
      </c>
      <c r="I183" s="107">
        <v>1.0173000000000001</v>
      </c>
      <c r="J183" s="107">
        <v>8.2000000000000007E-3</v>
      </c>
    </row>
    <row r="184" spans="1:12">
      <c r="A184" s="82"/>
      <c r="B184" s="653"/>
      <c r="C184" s="209" t="s">
        <v>18</v>
      </c>
      <c r="D184" s="210">
        <v>1169253</v>
      </c>
      <c r="E184" s="211">
        <v>9.3399999999999997E-2</v>
      </c>
      <c r="F184" s="212">
        <v>4.5999999999999999E-3</v>
      </c>
      <c r="G184" s="212">
        <v>1.2531000000000001</v>
      </c>
      <c r="H184" s="212">
        <v>1.2907</v>
      </c>
      <c r="I184" s="212">
        <v>1.0141</v>
      </c>
      <c r="J184" s="212">
        <v>7.6E-3</v>
      </c>
    </row>
    <row r="185" spans="1:12">
      <c r="A185" s="82"/>
      <c r="B185" s="616" t="s">
        <v>454</v>
      </c>
      <c r="C185" s="82" t="s">
        <v>738</v>
      </c>
      <c r="D185" s="106">
        <v>1173507</v>
      </c>
      <c r="E185" s="208">
        <v>4.8099999999999997E-2</v>
      </c>
      <c r="F185" s="107">
        <v>2.5000000000000001E-3</v>
      </c>
      <c r="G185" s="107">
        <v>1.4925999999999999</v>
      </c>
      <c r="H185" s="107">
        <v>1.8535999999999999</v>
      </c>
      <c r="I185" s="107">
        <v>0.98939999999999995</v>
      </c>
      <c r="J185" s="107">
        <v>2.1299999999999999E-2</v>
      </c>
    </row>
    <row r="186" spans="1:12">
      <c r="A186" s="82"/>
      <c r="B186" s="616"/>
      <c r="C186" s="82" t="s">
        <v>739</v>
      </c>
      <c r="D186" s="106">
        <v>1182926</v>
      </c>
      <c r="E186" s="208">
        <v>7.85E-2</v>
      </c>
      <c r="F186" s="107">
        <v>5.7000000000000002E-3</v>
      </c>
      <c r="G186" s="107">
        <v>1.1458999999999999</v>
      </c>
      <c r="H186" s="107">
        <v>1.2316</v>
      </c>
      <c r="I186" s="107">
        <v>0.99790000000000001</v>
      </c>
      <c r="J186" s="107">
        <v>9.5999999999999992E-3</v>
      </c>
    </row>
    <row r="187" spans="1:12">
      <c r="A187" s="82"/>
      <c r="B187" s="616"/>
      <c r="C187" s="82" t="s">
        <v>14</v>
      </c>
      <c r="D187" s="106">
        <v>1168700</v>
      </c>
      <c r="E187" s="208">
        <v>5.8599999999999999E-2</v>
      </c>
      <c r="F187" s="107">
        <v>5.1000000000000004E-3</v>
      </c>
      <c r="G187" s="107">
        <v>1.2004999999999999</v>
      </c>
      <c r="H187" s="107">
        <v>1.2164999999999999</v>
      </c>
      <c r="I187" s="107">
        <v>1.0414000000000001</v>
      </c>
      <c r="J187" s="107">
        <v>8.6999999999999994E-3</v>
      </c>
    </row>
    <row r="188" spans="1:12">
      <c r="A188" s="82"/>
      <c r="B188" s="616"/>
      <c r="C188" s="82" t="s">
        <v>16</v>
      </c>
      <c r="D188" s="106">
        <v>1168808</v>
      </c>
      <c r="E188" s="208">
        <v>6.6600000000000006E-2</v>
      </c>
      <c r="F188" s="107">
        <v>5.4999999999999997E-3</v>
      </c>
      <c r="G188" s="107">
        <v>1.1458999999999999</v>
      </c>
      <c r="H188" s="107">
        <v>1.2251000000000001</v>
      </c>
      <c r="I188" s="107">
        <v>1.0345</v>
      </c>
      <c r="J188" s="107">
        <v>7.4000000000000003E-3</v>
      </c>
    </row>
    <row r="189" spans="1:12">
      <c r="A189" s="209"/>
      <c r="B189" s="613"/>
      <c r="C189" s="209" t="s">
        <v>18</v>
      </c>
      <c r="D189" s="210">
        <v>1168818</v>
      </c>
      <c r="E189" s="211">
        <v>7.0000000000000007E-2</v>
      </c>
      <c r="F189" s="212">
        <v>4.7999999999999996E-3</v>
      </c>
      <c r="G189" s="212">
        <v>1.2004999999999999</v>
      </c>
      <c r="H189" s="212">
        <v>1.2276</v>
      </c>
      <c r="I189" s="212">
        <v>1.0248999999999999</v>
      </c>
      <c r="J189" s="212">
        <v>8.9999999999999993E-3</v>
      </c>
    </row>
    <row r="190" spans="1:12" s="1" customFormat="1">
      <c r="A190" s="76" t="s">
        <v>466</v>
      </c>
      <c r="B190" s="77"/>
      <c r="C190" s="78"/>
      <c r="D190" s="218"/>
      <c r="E190" s="219"/>
      <c r="F190" s="220"/>
      <c r="G190" s="220"/>
      <c r="H190" s="220"/>
      <c r="I190" s="221"/>
      <c r="J190" s="222"/>
      <c r="L190"/>
    </row>
    <row r="191" spans="1:12">
      <c r="A191" s="82"/>
      <c r="B191" s="42" t="s">
        <v>467</v>
      </c>
      <c r="C191" s="214" t="s">
        <v>144</v>
      </c>
      <c r="D191" s="215">
        <v>1132963</v>
      </c>
      <c r="E191" s="216">
        <v>8.0799999999999997E-2</v>
      </c>
      <c r="F191" s="217">
        <v>2.5000000000000001E-3</v>
      </c>
      <c r="G191" s="217">
        <v>1.7061999999999999</v>
      </c>
      <c r="H191" s="217">
        <v>1.9952000000000001</v>
      </c>
      <c r="I191" s="217">
        <v>1.0498000000000001</v>
      </c>
      <c r="J191" s="217">
        <v>1.1599999999999999E-2</v>
      </c>
    </row>
    <row r="192" spans="1:12">
      <c r="A192" s="82"/>
      <c r="B192" s="42" t="s">
        <v>469</v>
      </c>
      <c r="C192" s="214" t="s">
        <v>144</v>
      </c>
      <c r="D192" s="215">
        <v>1135891</v>
      </c>
      <c r="E192" s="216">
        <v>8.2299999999999998E-2</v>
      </c>
      <c r="F192" s="217">
        <v>8.8999999999999999E-3</v>
      </c>
      <c r="G192" s="217">
        <v>1.0466</v>
      </c>
      <c r="H192" s="217">
        <v>1.0502</v>
      </c>
      <c r="I192" s="217">
        <v>0.9506</v>
      </c>
      <c r="J192" s="217">
        <v>7.1000000000000004E-3</v>
      </c>
    </row>
    <row r="193" spans="1:10">
      <c r="A193" s="82"/>
      <c r="B193" s="42" t="s">
        <v>470</v>
      </c>
      <c r="C193" s="214" t="s">
        <v>144</v>
      </c>
      <c r="D193" s="215">
        <v>1135837</v>
      </c>
      <c r="E193" s="216">
        <v>0.10199999999999999</v>
      </c>
      <c r="F193" s="217">
        <v>1.34E-2</v>
      </c>
      <c r="G193" s="217">
        <v>1.0926</v>
      </c>
      <c r="H193" s="217">
        <v>1.0975999999999999</v>
      </c>
      <c r="I193" s="217">
        <v>1.0007999999999999</v>
      </c>
      <c r="J193" s="217">
        <v>7.7999999999999996E-3</v>
      </c>
    </row>
    <row r="194" spans="1:10">
      <c r="A194" s="82"/>
      <c r="B194" s="42" t="s">
        <v>471</v>
      </c>
      <c r="C194" s="214" t="s">
        <v>144</v>
      </c>
      <c r="D194" s="215">
        <v>1135891</v>
      </c>
      <c r="E194" s="216">
        <v>9.1600000000000001E-2</v>
      </c>
      <c r="F194" s="217">
        <v>8.2000000000000007E-3</v>
      </c>
      <c r="G194" s="217">
        <v>1.0466</v>
      </c>
      <c r="H194" s="217">
        <v>1.0489999999999999</v>
      </c>
      <c r="I194" s="217">
        <v>0.94130000000000003</v>
      </c>
      <c r="J194" s="217">
        <v>6.3E-3</v>
      </c>
    </row>
    <row r="195" spans="1:10">
      <c r="A195" s="82"/>
      <c r="B195" s="42" t="s">
        <v>472</v>
      </c>
      <c r="C195" s="214" t="s">
        <v>144</v>
      </c>
      <c r="D195" s="215">
        <v>1139056</v>
      </c>
      <c r="E195" s="216">
        <v>7.2099999999999997E-2</v>
      </c>
      <c r="F195" s="217">
        <v>1.9400000000000001E-2</v>
      </c>
      <c r="G195" s="217">
        <v>1.0436000000000001</v>
      </c>
      <c r="H195" s="217">
        <v>1.0461</v>
      </c>
      <c r="I195" s="217">
        <v>1.0130999999999999</v>
      </c>
      <c r="J195" s="217">
        <v>6.6E-3</v>
      </c>
    </row>
    <row r="196" spans="1:10">
      <c r="A196" s="82"/>
      <c r="B196" s="647" t="s">
        <v>473</v>
      </c>
      <c r="C196" s="204" t="s">
        <v>144</v>
      </c>
      <c r="D196" s="205">
        <v>1135894</v>
      </c>
      <c r="E196" s="206">
        <v>0.17710000000000001</v>
      </c>
      <c r="F196" s="207">
        <v>9.1999999999999998E-3</v>
      </c>
      <c r="G196" s="207">
        <v>1.0741000000000001</v>
      </c>
      <c r="H196" s="207">
        <v>1.1026</v>
      </c>
      <c r="I196" s="207">
        <v>0.89170000000000005</v>
      </c>
      <c r="J196" s="207">
        <v>6.7999999999999996E-3</v>
      </c>
    </row>
    <row r="197" spans="1:10">
      <c r="A197" s="82"/>
      <c r="B197" s="615"/>
      <c r="C197" s="209" t="s">
        <v>725</v>
      </c>
      <c r="D197" s="210">
        <v>1143380</v>
      </c>
      <c r="E197" s="211">
        <v>5.0299999999999997E-2</v>
      </c>
      <c r="F197" s="212">
        <v>7.9000000000000008E-3</v>
      </c>
      <c r="G197" s="212">
        <v>1.0588</v>
      </c>
      <c r="H197" s="212">
        <v>1.0660000000000001</v>
      </c>
      <c r="I197" s="212">
        <v>1.0021</v>
      </c>
      <c r="J197" s="212">
        <v>6.4000000000000003E-3</v>
      </c>
    </row>
    <row r="198" spans="1:10">
      <c r="A198" s="82"/>
      <c r="B198" s="42" t="s">
        <v>478</v>
      </c>
      <c r="C198" s="214" t="s">
        <v>144</v>
      </c>
      <c r="D198" s="215">
        <v>1132962</v>
      </c>
      <c r="E198" s="216">
        <v>5.8799999999999998E-2</v>
      </c>
      <c r="F198" s="217">
        <v>2.0999999999999999E-3</v>
      </c>
      <c r="G198" s="217">
        <v>1.4853000000000001</v>
      </c>
      <c r="H198" s="217">
        <v>1.6323000000000001</v>
      </c>
      <c r="I198" s="217">
        <v>1.0286999999999999</v>
      </c>
      <c r="J198" s="217">
        <v>1.0500000000000001E-2</v>
      </c>
    </row>
    <row r="199" spans="1:10">
      <c r="A199" s="82"/>
      <c r="B199" s="612" t="s">
        <v>480</v>
      </c>
      <c r="C199" s="204" t="s">
        <v>14</v>
      </c>
      <c r="D199" s="205">
        <v>1169102</v>
      </c>
      <c r="E199" s="206">
        <v>6.6699999999999995E-2</v>
      </c>
      <c r="F199" s="207">
        <v>8.9999999999999993E-3</v>
      </c>
      <c r="G199" s="207">
        <v>1.0956999999999999</v>
      </c>
      <c r="H199" s="207">
        <v>1.0906</v>
      </c>
      <c r="I199" s="207">
        <v>1.0091000000000001</v>
      </c>
      <c r="J199" s="207">
        <v>6.8999999999999999E-3</v>
      </c>
    </row>
    <row r="200" spans="1:10">
      <c r="A200" s="82"/>
      <c r="B200" s="616"/>
      <c r="C200" s="82" t="s">
        <v>16</v>
      </c>
      <c r="D200" s="106">
        <v>1169260</v>
      </c>
      <c r="E200" s="208">
        <v>4.8399999999999999E-2</v>
      </c>
      <c r="F200" s="107">
        <v>8.3000000000000001E-3</v>
      </c>
      <c r="G200" s="107">
        <v>1.0466</v>
      </c>
      <c r="H200" s="107">
        <v>1.0506</v>
      </c>
      <c r="I200" s="107">
        <v>0.99970000000000003</v>
      </c>
      <c r="J200" s="107">
        <v>6.1999999999999998E-3</v>
      </c>
    </row>
    <row r="201" spans="1:10">
      <c r="A201" s="82"/>
      <c r="B201" s="613"/>
      <c r="C201" s="209" t="s">
        <v>18</v>
      </c>
      <c r="D201" s="210">
        <v>1169319</v>
      </c>
      <c r="E201" s="211">
        <v>6.6500000000000004E-2</v>
      </c>
      <c r="F201" s="212">
        <v>8.9999999999999993E-3</v>
      </c>
      <c r="G201" s="212">
        <v>1.0466</v>
      </c>
      <c r="H201" s="212">
        <v>1.0660000000000001</v>
      </c>
      <c r="I201" s="212">
        <v>0.996</v>
      </c>
      <c r="J201" s="212">
        <v>6.7999999999999996E-3</v>
      </c>
    </row>
    <row r="202" spans="1:10">
      <c r="A202" s="82"/>
      <c r="B202" s="612" t="s">
        <v>485</v>
      </c>
      <c r="C202" s="204" t="s">
        <v>14</v>
      </c>
      <c r="D202" s="205">
        <v>1169104</v>
      </c>
      <c r="E202" s="206">
        <v>5.5899999999999998E-2</v>
      </c>
      <c r="F202" s="207">
        <v>8.2000000000000007E-3</v>
      </c>
      <c r="G202" s="207">
        <v>1.0956999999999999</v>
      </c>
      <c r="H202" s="207">
        <v>1.0786</v>
      </c>
      <c r="I202" s="207">
        <v>1.0106999999999999</v>
      </c>
      <c r="J202" s="207">
        <v>7.1000000000000004E-3</v>
      </c>
    </row>
    <row r="203" spans="1:10">
      <c r="A203" s="82"/>
      <c r="B203" s="616"/>
      <c r="C203" s="82" t="s">
        <v>16</v>
      </c>
      <c r="D203" s="106">
        <v>1169271</v>
      </c>
      <c r="E203" s="208">
        <v>4.6300000000000001E-2</v>
      </c>
      <c r="F203" s="107">
        <v>9.7000000000000003E-3</v>
      </c>
      <c r="G203" s="107">
        <v>1.0466</v>
      </c>
      <c r="H203" s="107">
        <v>1.0487</v>
      </c>
      <c r="I203" s="107">
        <v>0.99909999999999999</v>
      </c>
      <c r="J203" s="107">
        <v>6.8999999999999999E-3</v>
      </c>
    </row>
    <row r="204" spans="1:10">
      <c r="A204" s="82"/>
      <c r="B204" s="613"/>
      <c r="C204" s="209" t="s">
        <v>18</v>
      </c>
      <c r="D204" s="210">
        <v>1169317</v>
      </c>
      <c r="E204" s="211">
        <v>7.0099999999999996E-2</v>
      </c>
      <c r="F204" s="212">
        <v>1.06E-2</v>
      </c>
      <c r="G204" s="212">
        <v>1.0466</v>
      </c>
      <c r="H204" s="212">
        <v>1.0638000000000001</v>
      </c>
      <c r="I204" s="212">
        <v>0.98970000000000002</v>
      </c>
      <c r="J204" s="212">
        <v>6.4999999999999997E-3</v>
      </c>
    </row>
    <row r="205" spans="1:10">
      <c r="A205" s="82"/>
      <c r="B205" s="616" t="s">
        <v>486</v>
      </c>
      <c r="C205" s="82" t="s">
        <v>14</v>
      </c>
      <c r="D205" s="106">
        <v>1169096</v>
      </c>
      <c r="E205" s="208">
        <v>7.1400000000000005E-2</v>
      </c>
      <c r="F205" s="107">
        <v>8.8999999999999999E-3</v>
      </c>
      <c r="G205" s="107">
        <v>1.0956999999999999</v>
      </c>
      <c r="H205" s="107">
        <v>1.0825</v>
      </c>
      <c r="I205" s="107">
        <v>0.99529999999999996</v>
      </c>
      <c r="J205" s="107">
        <v>6.6E-3</v>
      </c>
    </row>
    <row r="206" spans="1:10">
      <c r="A206" s="82"/>
      <c r="B206" s="616"/>
      <c r="C206" s="82" t="s">
        <v>16</v>
      </c>
      <c r="D206" s="106">
        <v>1169280</v>
      </c>
      <c r="E206" s="208">
        <v>6.5000000000000002E-2</v>
      </c>
      <c r="F206" s="107">
        <v>8.6999999999999994E-3</v>
      </c>
      <c r="G206" s="107">
        <v>1.0466</v>
      </c>
      <c r="H206" s="107">
        <v>1.0645</v>
      </c>
      <c r="I206" s="107">
        <v>0.996</v>
      </c>
      <c r="J206" s="107">
        <v>5.7999999999999996E-3</v>
      </c>
    </row>
    <row r="207" spans="1:10">
      <c r="A207" s="82"/>
      <c r="B207" s="613"/>
      <c r="C207" s="209" t="s">
        <v>18</v>
      </c>
      <c r="D207" s="210">
        <v>1169306</v>
      </c>
      <c r="E207" s="211">
        <v>7.3599999999999999E-2</v>
      </c>
      <c r="F207" s="212">
        <v>9.4999999999999998E-3</v>
      </c>
      <c r="G207" s="212">
        <v>1.0466</v>
      </c>
      <c r="H207" s="212">
        <v>1.0692999999999999</v>
      </c>
      <c r="I207" s="212">
        <v>0.99260000000000004</v>
      </c>
      <c r="J207" s="212">
        <v>6.6E-3</v>
      </c>
    </row>
    <row r="208" spans="1:10">
      <c r="A208" s="82"/>
      <c r="B208" s="612" t="s">
        <v>491</v>
      </c>
      <c r="C208" s="204" t="s">
        <v>14</v>
      </c>
      <c r="D208" s="205">
        <v>1169098</v>
      </c>
      <c r="E208" s="206">
        <v>3.4599999999999999E-2</v>
      </c>
      <c r="F208" s="207">
        <v>1.1299999999999999E-2</v>
      </c>
      <c r="G208" s="207">
        <v>1.0466</v>
      </c>
      <c r="H208" s="207">
        <v>1.0377000000000001</v>
      </c>
      <c r="I208" s="207">
        <v>1.0094000000000001</v>
      </c>
      <c r="J208" s="207">
        <v>6.8999999999999999E-3</v>
      </c>
    </row>
    <row r="209" spans="1:10">
      <c r="A209" s="82"/>
      <c r="B209" s="616"/>
      <c r="C209" s="82" t="s">
        <v>16</v>
      </c>
      <c r="D209" s="106">
        <v>1169303</v>
      </c>
      <c r="E209" s="208">
        <v>4.2000000000000003E-2</v>
      </c>
      <c r="F209" s="107">
        <v>1.38E-2</v>
      </c>
      <c r="G209" s="107">
        <v>1.0466</v>
      </c>
      <c r="H209" s="107">
        <v>1.0313000000000001</v>
      </c>
      <c r="I209" s="107">
        <v>1.0007999999999999</v>
      </c>
      <c r="J209" s="107">
        <v>6.7999999999999996E-3</v>
      </c>
    </row>
    <row r="210" spans="1:10">
      <c r="A210" s="82"/>
      <c r="B210" s="613"/>
      <c r="C210" s="209" t="s">
        <v>18</v>
      </c>
      <c r="D210" s="210">
        <v>1169298</v>
      </c>
      <c r="E210" s="211">
        <v>7.0999999999999994E-2</v>
      </c>
      <c r="F210" s="212">
        <v>1.3299999999999999E-2</v>
      </c>
      <c r="G210" s="212">
        <v>1.0466</v>
      </c>
      <c r="H210" s="212">
        <v>1.0383</v>
      </c>
      <c r="I210" s="212">
        <v>0.98760000000000003</v>
      </c>
      <c r="J210" s="212">
        <v>6.4000000000000003E-3</v>
      </c>
    </row>
    <row r="211" spans="1:10">
      <c r="A211" s="82"/>
      <c r="B211" s="612" t="s">
        <v>492</v>
      </c>
      <c r="C211" s="204" t="s">
        <v>14</v>
      </c>
      <c r="D211" s="205">
        <v>1169118</v>
      </c>
      <c r="E211" s="206">
        <v>4.0500000000000001E-2</v>
      </c>
      <c r="F211" s="207">
        <v>3.8999999999999998E-3</v>
      </c>
      <c r="G211" s="207">
        <v>1.0956999999999999</v>
      </c>
      <c r="H211" s="207">
        <v>1.1182000000000001</v>
      </c>
      <c r="I211" s="207">
        <v>1.0016</v>
      </c>
      <c r="J211" s="207">
        <v>7.6E-3</v>
      </c>
    </row>
    <row r="212" spans="1:10">
      <c r="A212" s="82"/>
      <c r="B212" s="616"/>
      <c r="C212" s="82" t="s">
        <v>16</v>
      </c>
      <c r="D212" s="106">
        <v>1169249</v>
      </c>
      <c r="E212" s="208">
        <v>3.5200000000000002E-2</v>
      </c>
      <c r="F212" s="107">
        <v>3.8E-3</v>
      </c>
      <c r="G212" s="107">
        <v>1.0956999999999999</v>
      </c>
      <c r="H212" s="107">
        <v>1.1126</v>
      </c>
      <c r="I212" s="107">
        <v>1.0101</v>
      </c>
      <c r="J212" s="107">
        <v>6.6E-3</v>
      </c>
    </row>
    <row r="213" spans="1:10">
      <c r="A213" s="82"/>
      <c r="B213" s="613"/>
      <c r="C213" s="209" t="s">
        <v>18</v>
      </c>
      <c r="D213" s="210">
        <v>1169248</v>
      </c>
      <c r="E213" s="211">
        <v>3.7199999999999997E-2</v>
      </c>
      <c r="F213" s="212">
        <v>3.7000000000000002E-3</v>
      </c>
      <c r="G213" s="212">
        <v>1.0956999999999999</v>
      </c>
      <c r="H213" s="212">
        <v>1.1136999999999999</v>
      </c>
      <c r="I213" s="212">
        <v>1.0075000000000001</v>
      </c>
      <c r="J213" s="212">
        <v>7.3000000000000001E-3</v>
      </c>
    </row>
    <row r="214" spans="1:10">
      <c r="A214" s="82"/>
      <c r="B214" s="647" t="s">
        <v>493</v>
      </c>
      <c r="C214" s="204" t="s">
        <v>144</v>
      </c>
      <c r="D214" s="205">
        <v>1081150</v>
      </c>
      <c r="E214" s="206">
        <v>0.1636</v>
      </c>
      <c r="F214" s="207">
        <v>8.9999999999999993E-3</v>
      </c>
      <c r="G214" s="207">
        <v>1.2630999999999999</v>
      </c>
      <c r="H214" s="207">
        <v>1.3109</v>
      </c>
      <c r="I214" s="207">
        <v>1.0067999999999999</v>
      </c>
      <c r="J214" s="207">
        <v>8.6E-3</v>
      </c>
    </row>
    <row r="215" spans="1:10">
      <c r="A215" s="82"/>
      <c r="B215" s="614"/>
      <c r="C215" s="82" t="s">
        <v>14</v>
      </c>
      <c r="D215" s="106">
        <v>1169123</v>
      </c>
      <c r="E215" s="208">
        <v>0.1203</v>
      </c>
      <c r="F215" s="107">
        <v>6.0000000000000001E-3</v>
      </c>
      <c r="G215" s="107">
        <v>1.3101</v>
      </c>
      <c r="H215" s="107">
        <v>1.345</v>
      </c>
      <c r="I215" s="107">
        <v>1.0232000000000001</v>
      </c>
      <c r="J215" s="107">
        <v>8.3000000000000001E-3</v>
      </c>
    </row>
    <row r="216" spans="1:10">
      <c r="A216" s="82"/>
      <c r="B216" s="614"/>
      <c r="C216" s="82" t="s">
        <v>16</v>
      </c>
      <c r="D216" s="106">
        <v>1169235</v>
      </c>
      <c r="E216" s="208">
        <v>0.1086</v>
      </c>
      <c r="F216" s="107">
        <v>5.8999999999999999E-3</v>
      </c>
      <c r="G216" s="107">
        <v>1.2531000000000001</v>
      </c>
      <c r="H216" s="107">
        <v>1.3154999999999999</v>
      </c>
      <c r="I216" s="107">
        <v>1.0251999999999999</v>
      </c>
      <c r="J216" s="107">
        <v>8.5000000000000006E-3</v>
      </c>
    </row>
    <row r="217" spans="1:10">
      <c r="A217" s="82"/>
      <c r="B217" s="615"/>
      <c r="C217" s="209" t="s">
        <v>18</v>
      </c>
      <c r="D217" s="210">
        <v>1169259</v>
      </c>
      <c r="E217" s="211">
        <v>0.1188</v>
      </c>
      <c r="F217" s="212">
        <v>6.1999999999999998E-3</v>
      </c>
      <c r="G217" s="212">
        <v>1.2531000000000001</v>
      </c>
      <c r="H217" s="212">
        <v>1.3305</v>
      </c>
      <c r="I217" s="212">
        <v>1.0214000000000001</v>
      </c>
      <c r="J217" s="212">
        <v>7.6E-3</v>
      </c>
    </row>
    <row r="218" spans="1:10">
      <c r="A218" s="82"/>
      <c r="B218" s="42" t="s">
        <v>498</v>
      </c>
      <c r="C218" s="214" t="s">
        <v>144</v>
      </c>
      <c r="D218" s="215">
        <v>1093627</v>
      </c>
      <c r="E218" s="216">
        <v>5.16E-2</v>
      </c>
      <c r="F218" s="217">
        <v>2E-3</v>
      </c>
      <c r="G218" s="217">
        <v>1.4890000000000001</v>
      </c>
      <c r="H218" s="217">
        <v>1.6391</v>
      </c>
      <c r="I218" s="217">
        <v>1.0125999999999999</v>
      </c>
      <c r="J218" s="217">
        <v>1.11E-2</v>
      </c>
    </row>
    <row r="219" spans="1:10">
      <c r="A219" s="82"/>
      <c r="B219" s="24" t="s">
        <v>500</v>
      </c>
      <c r="C219" s="214" t="s">
        <v>144</v>
      </c>
      <c r="D219" s="215">
        <v>1132940</v>
      </c>
      <c r="E219" s="216">
        <v>4.65E-2</v>
      </c>
      <c r="F219" s="217">
        <v>2.5000000000000001E-3</v>
      </c>
      <c r="G219" s="217">
        <v>1.3409</v>
      </c>
      <c r="H219" s="217">
        <v>1.4464999999999999</v>
      </c>
      <c r="I219" s="217">
        <v>1.0150999999999999</v>
      </c>
      <c r="J219" s="217">
        <v>1.0500000000000001E-2</v>
      </c>
    </row>
    <row r="220" spans="1:10">
      <c r="A220" s="82"/>
      <c r="B220" s="647" t="s">
        <v>502</v>
      </c>
      <c r="C220" s="82" t="s">
        <v>144</v>
      </c>
      <c r="D220" s="106">
        <v>1135894</v>
      </c>
      <c r="E220" s="208">
        <v>0.11550000000000001</v>
      </c>
      <c r="F220" s="107">
        <v>1.41E-2</v>
      </c>
      <c r="G220" s="107">
        <v>1.0436000000000001</v>
      </c>
      <c r="H220" s="107">
        <v>1.0634999999999999</v>
      </c>
      <c r="I220" s="107">
        <v>0.92149999999999999</v>
      </c>
      <c r="J220" s="107">
        <v>9.4000000000000004E-3</v>
      </c>
    </row>
    <row r="221" spans="1:10">
      <c r="A221" s="82"/>
      <c r="B221" s="614"/>
      <c r="C221" s="82" t="s">
        <v>734</v>
      </c>
      <c r="D221" s="106">
        <v>1053408</v>
      </c>
      <c r="E221" s="208">
        <v>3.5099999999999999E-2</v>
      </c>
      <c r="F221" s="107">
        <v>9.1999999999999998E-3</v>
      </c>
      <c r="G221" s="107">
        <v>1.0588</v>
      </c>
      <c r="H221" s="107">
        <v>1.0611999999999999</v>
      </c>
      <c r="I221" s="107">
        <v>1.0185</v>
      </c>
      <c r="J221" s="107">
        <v>7.1999999999999998E-3</v>
      </c>
    </row>
    <row r="222" spans="1:10">
      <c r="A222" s="82"/>
      <c r="B222" s="614"/>
      <c r="C222" s="82" t="s">
        <v>14</v>
      </c>
      <c r="D222" s="106">
        <v>1169129</v>
      </c>
      <c r="E222" s="208">
        <v>0.1138</v>
      </c>
      <c r="F222" s="107">
        <v>6.4000000000000003E-3</v>
      </c>
      <c r="G222" s="107">
        <v>1.2531000000000001</v>
      </c>
      <c r="H222" s="107">
        <v>1.2903</v>
      </c>
      <c r="I222" s="107">
        <v>1.0176000000000001</v>
      </c>
      <c r="J222" s="107">
        <v>8.6E-3</v>
      </c>
    </row>
    <row r="223" spans="1:10">
      <c r="A223" s="82"/>
      <c r="B223" s="614"/>
      <c r="C223" s="82" t="s">
        <v>16</v>
      </c>
      <c r="D223" s="106">
        <v>1169241</v>
      </c>
      <c r="E223" s="208">
        <v>0.1221</v>
      </c>
      <c r="F223" s="107">
        <v>8.8000000000000005E-3</v>
      </c>
      <c r="G223" s="107">
        <v>1.2531000000000001</v>
      </c>
      <c r="H223" s="107">
        <v>1.3169</v>
      </c>
      <c r="I223" s="107">
        <v>1.0138</v>
      </c>
      <c r="J223" s="107">
        <v>9.2999999999999992E-3</v>
      </c>
    </row>
    <row r="224" spans="1:10">
      <c r="A224" s="82"/>
      <c r="B224" s="615"/>
      <c r="C224" s="209" t="s">
        <v>18</v>
      </c>
      <c r="D224" s="210">
        <v>1169243</v>
      </c>
      <c r="E224" s="211">
        <v>0.1157</v>
      </c>
      <c r="F224" s="212">
        <v>8.6999999999999994E-3</v>
      </c>
      <c r="G224" s="212">
        <v>1.2004999999999999</v>
      </c>
      <c r="H224" s="212">
        <v>1.2746</v>
      </c>
      <c r="I224" s="212">
        <v>0.99399999999999999</v>
      </c>
      <c r="J224" s="212">
        <v>9.5999999999999992E-3</v>
      </c>
    </row>
    <row r="225" spans="1:10">
      <c r="A225" s="82"/>
      <c r="B225" s="647" t="s">
        <v>516</v>
      </c>
      <c r="C225" s="204" t="s">
        <v>144</v>
      </c>
      <c r="D225" s="205">
        <v>1135891</v>
      </c>
      <c r="E225" s="206">
        <v>0.1041</v>
      </c>
      <c r="F225" s="207">
        <v>9.1999999999999998E-3</v>
      </c>
      <c r="G225" s="207">
        <v>1.0557000000000001</v>
      </c>
      <c r="H225" s="207">
        <v>1.0630999999999999</v>
      </c>
      <c r="I225" s="207">
        <v>0.93820000000000003</v>
      </c>
      <c r="J225" s="207">
        <v>7.4000000000000003E-3</v>
      </c>
    </row>
    <row r="226" spans="1:10">
      <c r="A226" s="82"/>
      <c r="B226" s="615"/>
      <c r="C226" s="209" t="s">
        <v>734</v>
      </c>
      <c r="D226" s="210">
        <v>886144</v>
      </c>
      <c r="E226" s="211">
        <v>0.121</v>
      </c>
      <c r="F226" s="212">
        <v>2.8899999999999999E-2</v>
      </c>
      <c r="G226" s="212">
        <v>1.0345</v>
      </c>
      <c r="H226" s="212">
        <v>1.0327999999999999</v>
      </c>
      <c r="I226" s="212">
        <v>0.9869</v>
      </c>
      <c r="J226" s="212">
        <v>8.3000000000000001E-3</v>
      </c>
    </row>
    <row r="227" spans="1:10">
      <c r="A227" s="82"/>
      <c r="B227" s="647" t="s">
        <v>418</v>
      </c>
      <c r="C227" s="204" t="s">
        <v>144</v>
      </c>
      <c r="D227" s="205">
        <v>1081932</v>
      </c>
      <c r="E227" s="206">
        <v>6.2100000000000002E-2</v>
      </c>
      <c r="F227" s="207">
        <v>3.0000000000000001E-3</v>
      </c>
      <c r="G227" s="207">
        <v>1.3</v>
      </c>
      <c r="H227" s="207">
        <v>1.3552999999999999</v>
      </c>
      <c r="I227" s="207">
        <v>1.0201</v>
      </c>
      <c r="J227" s="207">
        <v>8.8000000000000005E-3</v>
      </c>
    </row>
    <row r="228" spans="1:10">
      <c r="A228" s="82"/>
      <c r="B228" s="614"/>
      <c r="C228" s="82" t="s">
        <v>699</v>
      </c>
      <c r="D228" s="106">
        <v>1169289</v>
      </c>
      <c r="E228" s="208">
        <v>0.14560000000000001</v>
      </c>
      <c r="F228" s="107">
        <v>8.0999999999999996E-3</v>
      </c>
      <c r="G228" s="107">
        <v>1.2531000000000001</v>
      </c>
      <c r="H228" s="107">
        <v>1.2706999999999999</v>
      </c>
      <c r="I228" s="107">
        <v>1.0086999999999999</v>
      </c>
      <c r="J228" s="107">
        <v>7.9000000000000008E-3</v>
      </c>
    </row>
    <row r="229" spans="1:10">
      <c r="A229" s="82"/>
      <c r="B229" s="615"/>
      <c r="C229" s="209" t="s">
        <v>740</v>
      </c>
      <c r="D229" s="210">
        <v>1181027</v>
      </c>
      <c r="E229" s="211">
        <v>2.8899999999999999E-2</v>
      </c>
      <c r="F229" s="212">
        <v>1.6000000000000001E-3</v>
      </c>
      <c r="G229" s="212">
        <v>1.3</v>
      </c>
      <c r="H229" s="212">
        <v>1.3644000000000001</v>
      </c>
      <c r="I229" s="212">
        <v>1.0217000000000001</v>
      </c>
      <c r="J229" s="212">
        <v>8.3000000000000001E-3</v>
      </c>
    </row>
    <row r="230" spans="1:10">
      <c r="A230" s="82"/>
      <c r="B230" s="42" t="s">
        <v>525</v>
      </c>
      <c r="C230" s="214" t="s">
        <v>144</v>
      </c>
      <c r="D230" s="215">
        <v>1132946</v>
      </c>
      <c r="E230" s="216">
        <v>3.5499999999999997E-2</v>
      </c>
      <c r="F230" s="217">
        <v>1.6999999999999999E-3</v>
      </c>
      <c r="G230" s="217">
        <v>1.3134999999999999</v>
      </c>
      <c r="H230" s="217">
        <v>1.3669</v>
      </c>
      <c r="I230" s="217">
        <v>1.0235000000000001</v>
      </c>
      <c r="J230" s="217">
        <v>8.8000000000000005E-3</v>
      </c>
    </row>
    <row r="231" spans="1:10">
      <c r="A231" s="82"/>
      <c r="B231" s="612" t="s">
        <v>520</v>
      </c>
      <c r="C231" s="204" t="s">
        <v>14</v>
      </c>
      <c r="D231" s="205">
        <v>1169127</v>
      </c>
      <c r="E231" s="206">
        <v>5.0999999999999997E-2</v>
      </c>
      <c r="F231" s="207">
        <v>4.1999999999999997E-3</v>
      </c>
      <c r="G231" s="207">
        <v>1.2004999999999999</v>
      </c>
      <c r="H231" s="207">
        <v>1.1998</v>
      </c>
      <c r="I231" s="207">
        <v>1.0535000000000001</v>
      </c>
      <c r="J231" s="207">
        <v>7.0000000000000001E-3</v>
      </c>
    </row>
    <row r="232" spans="1:10">
      <c r="A232" s="82"/>
      <c r="B232" s="616"/>
      <c r="C232" s="82" t="s">
        <v>16</v>
      </c>
      <c r="D232" s="106">
        <v>1169237</v>
      </c>
      <c r="E232" s="208">
        <v>5.0700000000000002E-2</v>
      </c>
      <c r="F232" s="107">
        <v>4.0000000000000001E-3</v>
      </c>
      <c r="G232" s="107">
        <v>1.1458999999999999</v>
      </c>
      <c r="H232" s="107">
        <v>1.1444000000000001</v>
      </c>
      <c r="I232" s="107">
        <v>0.99609999999999999</v>
      </c>
      <c r="J232" s="107">
        <v>6.7999999999999996E-3</v>
      </c>
    </row>
    <row r="233" spans="1:10">
      <c r="A233" s="82"/>
      <c r="B233" s="613"/>
      <c r="C233" s="209" t="s">
        <v>18</v>
      </c>
      <c r="D233" s="210">
        <v>1169249</v>
      </c>
      <c r="E233" s="211">
        <v>4.1300000000000003E-2</v>
      </c>
      <c r="F233" s="212">
        <v>4.7000000000000002E-3</v>
      </c>
      <c r="G233" s="212">
        <v>1.0956999999999999</v>
      </c>
      <c r="H233" s="212">
        <v>1.1373</v>
      </c>
      <c r="I233" s="212">
        <v>1.0148999999999999</v>
      </c>
      <c r="J233" s="212">
        <v>8.0000000000000002E-3</v>
      </c>
    </row>
    <row r="234" spans="1:10">
      <c r="A234" s="82"/>
      <c r="B234" s="42" t="s">
        <v>526</v>
      </c>
      <c r="C234" s="214" t="s">
        <v>144</v>
      </c>
      <c r="D234" s="215">
        <v>1132718</v>
      </c>
      <c r="E234" s="216">
        <v>6.88E-2</v>
      </c>
      <c r="F234" s="217">
        <v>6.1000000000000004E-3</v>
      </c>
      <c r="G234" s="217">
        <v>1.1301000000000001</v>
      </c>
      <c r="H234" s="217">
        <v>1.1403000000000001</v>
      </c>
      <c r="I234" s="217">
        <v>1.0192000000000001</v>
      </c>
      <c r="J234" s="217">
        <v>6.8999999999999999E-3</v>
      </c>
    </row>
    <row r="235" spans="1:10">
      <c r="A235" s="82"/>
      <c r="B235" s="647" t="s">
        <v>527</v>
      </c>
      <c r="C235" s="204" t="s">
        <v>144</v>
      </c>
      <c r="D235" s="205">
        <v>1060095</v>
      </c>
      <c r="E235" s="206">
        <v>4.1099999999999998E-2</v>
      </c>
      <c r="F235" s="207">
        <v>2.5999999999999999E-3</v>
      </c>
      <c r="G235" s="207">
        <v>1.6295999999999999</v>
      </c>
      <c r="H235" s="207">
        <v>1.8920999999999999</v>
      </c>
      <c r="I235" s="207">
        <v>1.0253000000000001</v>
      </c>
      <c r="J235" s="207">
        <v>2.1399999999999999E-2</v>
      </c>
    </row>
    <row r="236" spans="1:10">
      <c r="A236" s="82"/>
      <c r="B236" s="614"/>
      <c r="C236" s="82" t="s">
        <v>736</v>
      </c>
      <c r="D236" s="106">
        <v>1173742</v>
      </c>
      <c r="E236" s="208">
        <v>5.3100000000000001E-2</v>
      </c>
      <c r="F236" s="107">
        <v>2.5000000000000001E-3</v>
      </c>
      <c r="G236" s="107">
        <v>1.3929</v>
      </c>
      <c r="H236" s="107">
        <v>1.5041</v>
      </c>
      <c r="I236" s="107">
        <v>1.0189999999999999</v>
      </c>
      <c r="J236" s="107">
        <v>9.9000000000000008E-3</v>
      </c>
    </row>
    <row r="237" spans="1:10">
      <c r="A237" s="82"/>
      <c r="B237" s="614"/>
      <c r="C237" s="82" t="s">
        <v>14</v>
      </c>
      <c r="D237" s="106">
        <v>1169105</v>
      </c>
      <c r="E237" s="208">
        <v>5.2400000000000002E-2</v>
      </c>
      <c r="F237" s="107">
        <v>5.1999999999999998E-3</v>
      </c>
      <c r="G237" s="107">
        <v>1.1458999999999999</v>
      </c>
      <c r="H237" s="107">
        <v>1.1613</v>
      </c>
      <c r="I237" s="107">
        <v>1.0103</v>
      </c>
      <c r="J237" s="107">
        <v>7.6E-3</v>
      </c>
    </row>
    <row r="238" spans="1:10">
      <c r="A238" s="82"/>
      <c r="B238" s="614"/>
      <c r="C238" s="82" t="s">
        <v>16</v>
      </c>
      <c r="D238" s="106">
        <v>1169251</v>
      </c>
      <c r="E238" s="208">
        <v>5.4899999999999997E-2</v>
      </c>
      <c r="F238" s="107">
        <v>4.5999999999999999E-3</v>
      </c>
      <c r="G238" s="107">
        <v>1.1458999999999999</v>
      </c>
      <c r="H238" s="107">
        <v>1.1577999999999999</v>
      </c>
      <c r="I238" s="107">
        <v>0.99970000000000003</v>
      </c>
      <c r="J238" s="107">
        <v>7.7000000000000002E-3</v>
      </c>
    </row>
    <row r="239" spans="1:10">
      <c r="A239" s="82"/>
      <c r="B239" s="615"/>
      <c r="C239" s="209" t="s">
        <v>18</v>
      </c>
      <c r="D239" s="210">
        <v>1169241</v>
      </c>
      <c r="E239" s="211">
        <v>5.7099999999999998E-2</v>
      </c>
      <c r="F239" s="212">
        <v>4.3E-3</v>
      </c>
      <c r="G239" s="212">
        <v>1.1458999999999999</v>
      </c>
      <c r="H239" s="212">
        <v>1.1677</v>
      </c>
      <c r="I239" s="212">
        <v>1.0067999999999999</v>
      </c>
      <c r="J239" s="212">
        <v>7.4999999999999997E-3</v>
      </c>
    </row>
    <row r="240" spans="1:10">
      <c r="A240" s="82"/>
      <c r="B240" s="612" t="s">
        <v>535</v>
      </c>
      <c r="C240" s="204" t="s">
        <v>144</v>
      </c>
      <c r="D240" s="205">
        <v>1060034</v>
      </c>
      <c r="E240" s="206">
        <v>4.1000000000000002E-2</v>
      </c>
      <c r="F240" s="207">
        <v>1.6000000000000001E-3</v>
      </c>
      <c r="G240" s="207">
        <v>1.5217000000000001</v>
      </c>
      <c r="H240" s="207">
        <v>1.6532</v>
      </c>
      <c r="I240" s="207">
        <v>1.0441</v>
      </c>
      <c r="J240" s="207">
        <v>1.09E-2</v>
      </c>
    </row>
    <row r="241" spans="1:12">
      <c r="A241" s="82"/>
      <c r="B241" s="616"/>
      <c r="C241" s="82" t="s">
        <v>767</v>
      </c>
      <c r="D241" s="106">
        <v>1121885</v>
      </c>
      <c r="E241" s="208">
        <v>3.78E-2</v>
      </c>
      <c r="F241" s="107">
        <v>5.0000000000000001E-3</v>
      </c>
      <c r="G241" s="107">
        <v>1.0679000000000001</v>
      </c>
      <c r="H241" s="107">
        <v>1.0744</v>
      </c>
      <c r="I241" s="107">
        <v>1.0028999999999999</v>
      </c>
      <c r="J241" s="107">
        <v>7.1000000000000004E-3</v>
      </c>
    </row>
    <row r="242" spans="1:12">
      <c r="A242" s="82"/>
      <c r="B242" s="616"/>
      <c r="C242" s="82" t="s">
        <v>764</v>
      </c>
      <c r="D242" s="106">
        <v>1118109</v>
      </c>
      <c r="E242" s="208">
        <v>3.9199999999999999E-2</v>
      </c>
      <c r="F242" s="107">
        <v>5.4000000000000003E-3</v>
      </c>
      <c r="G242" s="107">
        <v>1.071</v>
      </c>
      <c r="H242" s="107">
        <v>1.0717000000000001</v>
      </c>
      <c r="I242" s="107">
        <v>1.0017</v>
      </c>
      <c r="J242" s="107">
        <v>7.3000000000000001E-3</v>
      </c>
    </row>
    <row r="243" spans="1:12">
      <c r="A243" s="82"/>
      <c r="B243" s="616"/>
      <c r="C243" s="82" t="s">
        <v>765</v>
      </c>
      <c r="D243" s="106">
        <v>1118402</v>
      </c>
      <c r="E243" s="208">
        <v>3.6299999999999999E-2</v>
      </c>
      <c r="F243" s="107">
        <v>5.3E-3</v>
      </c>
      <c r="G243" s="107">
        <v>1.0679000000000001</v>
      </c>
      <c r="H243" s="107">
        <v>1.0729</v>
      </c>
      <c r="I243" s="107">
        <v>1.0094000000000001</v>
      </c>
      <c r="J243" s="107">
        <v>7.4000000000000003E-3</v>
      </c>
    </row>
    <row r="244" spans="1:12">
      <c r="A244" s="82"/>
      <c r="B244" s="616"/>
      <c r="C244" s="82" t="s">
        <v>766</v>
      </c>
      <c r="D244" s="106">
        <v>1113730</v>
      </c>
      <c r="E244" s="208">
        <v>3.32E-2</v>
      </c>
      <c r="F244" s="107">
        <v>5.4999999999999997E-3</v>
      </c>
      <c r="G244" s="107">
        <v>1.0557000000000001</v>
      </c>
      <c r="H244" s="107">
        <v>1.0617000000000001</v>
      </c>
      <c r="I244" s="107">
        <v>1.0049999999999999</v>
      </c>
      <c r="J244" s="107">
        <v>7.1999999999999998E-3</v>
      </c>
    </row>
    <row r="245" spans="1:12">
      <c r="A245" s="82"/>
      <c r="B245" s="616"/>
      <c r="C245" s="82" t="s">
        <v>768</v>
      </c>
      <c r="D245" s="106">
        <v>1119290</v>
      </c>
      <c r="E245" s="208">
        <v>3.6400000000000002E-2</v>
      </c>
      <c r="F245" s="107">
        <v>5.1999999999999998E-3</v>
      </c>
      <c r="G245" s="107">
        <v>1.0588</v>
      </c>
      <c r="H245" s="107">
        <v>1.0701000000000001</v>
      </c>
      <c r="I245" s="107">
        <v>1.0038</v>
      </c>
      <c r="J245" s="107">
        <v>7.3000000000000001E-3</v>
      </c>
    </row>
    <row r="246" spans="1:12">
      <c r="A246" s="82"/>
      <c r="B246" s="616"/>
      <c r="C246" s="82" t="s">
        <v>769</v>
      </c>
      <c r="D246" s="106">
        <v>1119533</v>
      </c>
      <c r="E246" s="208">
        <v>3.78E-2</v>
      </c>
      <c r="F246" s="107">
        <v>5.3E-3</v>
      </c>
      <c r="G246" s="107">
        <v>1.0557000000000001</v>
      </c>
      <c r="H246" s="107">
        <v>1.0633999999999999</v>
      </c>
      <c r="I246" s="107">
        <v>1.0024</v>
      </c>
      <c r="J246" s="107">
        <v>6.4000000000000003E-3</v>
      </c>
    </row>
    <row r="247" spans="1:12">
      <c r="A247" s="82"/>
      <c r="B247" s="616"/>
      <c r="C247" s="82" t="s">
        <v>14</v>
      </c>
      <c r="D247" s="106">
        <v>1169109</v>
      </c>
      <c r="E247" s="208">
        <v>6.4299999999999996E-2</v>
      </c>
      <c r="F247" s="107">
        <v>8.6E-3</v>
      </c>
      <c r="G247" s="107">
        <v>1.0956999999999999</v>
      </c>
      <c r="H247" s="107">
        <v>1.0893999999999999</v>
      </c>
      <c r="I247" s="107">
        <v>1.0099</v>
      </c>
      <c r="J247" s="107">
        <v>7.1000000000000004E-3</v>
      </c>
    </row>
    <row r="248" spans="1:12">
      <c r="A248" s="82"/>
      <c r="B248" s="616"/>
      <c r="C248" s="82" t="s">
        <v>16</v>
      </c>
      <c r="D248" s="106">
        <v>1169255</v>
      </c>
      <c r="E248" s="208">
        <v>6.4399999999999999E-2</v>
      </c>
      <c r="F248" s="107">
        <v>9.5999999999999992E-3</v>
      </c>
      <c r="G248" s="107">
        <v>1.0466</v>
      </c>
      <c r="H248" s="107">
        <v>1.0736000000000001</v>
      </c>
      <c r="I248" s="107">
        <v>1.0047999999999999</v>
      </c>
      <c r="J248" s="107">
        <v>6.3E-3</v>
      </c>
    </row>
    <row r="249" spans="1:12">
      <c r="A249" s="82"/>
      <c r="B249" s="613"/>
      <c r="C249" s="209" t="s">
        <v>18</v>
      </c>
      <c r="D249" s="210">
        <v>1169323</v>
      </c>
      <c r="E249" s="211">
        <v>7.6200000000000004E-2</v>
      </c>
      <c r="F249" s="212">
        <v>8.6999999999999994E-3</v>
      </c>
      <c r="G249" s="212">
        <v>1.0466</v>
      </c>
      <c r="H249" s="212">
        <v>1.0709</v>
      </c>
      <c r="I249" s="212">
        <v>0.99060000000000004</v>
      </c>
      <c r="J249" s="212">
        <v>6.0000000000000001E-3</v>
      </c>
    </row>
    <row r="250" spans="1:12" s="1" customFormat="1">
      <c r="A250" s="51" t="s">
        <v>565</v>
      </c>
      <c r="B250" s="426"/>
      <c r="C250" s="60"/>
      <c r="D250" s="110"/>
      <c r="E250" s="199"/>
      <c r="F250" s="203"/>
      <c r="G250" s="203"/>
      <c r="H250" s="100"/>
      <c r="I250" s="100"/>
      <c r="J250" s="213"/>
      <c r="L250"/>
    </row>
    <row r="251" spans="1:12">
      <c r="A251" s="82"/>
      <c r="B251" s="652" t="s">
        <v>193</v>
      </c>
      <c r="C251" s="204" t="s">
        <v>705</v>
      </c>
      <c r="D251" s="205">
        <v>1115975</v>
      </c>
      <c r="E251" s="206">
        <v>0.24390000000000001</v>
      </c>
      <c r="F251" s="207">
        <v>3.8699999999999998E-2</v>
      </c>
      <c r="G251" s="207">
        <v>1.0802</v>
      </c>
      <c r="H251" s="207">
        <v>1.0803</v>
      </c>
      <c r="I251" s="207">
        <v>1.0086999999999999</v>
      </c>
      <c r="J251" s="207">
        <v>7.4999999999999997E-3</v>
      </c>
    </row>
    <row r="252" spans="1:12">
      <c r="A252" s="82"/>
      <c r="B252" s="645"/>
      <c r="C252" s="82" t="s">
        <v>706</v>
      </c>
      <c r="D252" s="106">
        <v>901985</v>
      </c>
      <c r="E252" s="208">
        <v>0.18179999999999999</v>
      </c>
      <c r="F252" s="107">
        <v>1.2500000000000001E-2</v>
      </c>
      <c r="G252" s="107">
        <v>1.2664</v>
      </c>
      <c r="H252" s="107">
        <v>1.3131999999999999</v>
      </c>
      <c r="I252" s="107">
        <v>1.0246999999999999</v>
      </c>
      <c r="J252" s="107">
        <v>1.14E-2</v>
      </c>
    </row>
    <row r="253" spans="1:12">
      <c r="A253" s="82"/>
      <c r="B253" s="653"/>
      <c r="C253" s="82" t="s">
        <v>863</v>
      </c>
      <c r="D253" s="106">
        <v>1168791</v>
      </c>
      <c r="E253" s="208">
        <v>1.24E-2</v>
      </c>
      <c r="F253" s="107">
        <v>6.7999999999999996E-3</v>
      </c>
      <c r="G253" s="107">
        <v>1.0195000000000001</v>
      </c>
      <c r="H253" s="107">
        <v>1.0229999999999999</v>
      </c>
      <c r="I253" s="107">
        <v>1.0041</v>
      </c>
      <c r="J253" s="107">
        <v>7.0000000000000001E-3</v>
      </c>
    </row>
    <row r="254" spans="1:12">
      <c r="A254" s="82"/>
      <c r="B254" s="612" t="s">
        <v>218</v>
      </c>
      <c r="C254" s="204" t="s">
        <v>144</v>
      </c>
      <c r="D254" s="205">
        <v>1142695</v>
      </c>
      <c r="E254" s="206">
        <v>3.15E-2</v>
      </c>
      <c r="F254" s="207">
        <v>7.7000000000000002E-3</v>
      </c>
      <c r="G254" s="207">
        <v>1.0436000000000001</v>
      </c>
      <c r="H254" s="207">
        <v>1.0492999999999999</v>
      </c>
      <c r="I254" s="207">
        <v>1.0094000000000001</v>
      </c>
      <c r="J254" s="207">
        <v>7.0000000000000001E-3</v>
      </c>
    </row>
    <row r="255" spans="1:12">
      <c r="A255" s="82"/>
      <c r="B255" s="613"/>
      <c r="C255" s="209" t="s">
        <v>700</v>
      </c>
      <c r="D255" s="210">
        <v>1111733</v>
      </c>
      <c r="E255" s="211">
        <v>9.4899999999999998E-2</v>
      </c>
      <c r="F255" s="212">
        <v>4.4000000000000003E-3</v>
      </c>
      <c r="G255" s="212">
        <v>1.3581000000000001</v>
      </c>
      <c r="H255" s="212">
        <v>1.4509000000000001</v>
      </c>
      <c r="I255" s="212">
        <v>1.0294000000000001</v>
      </c>
      <c r="J255" s="212">
        <v>9.1999999999999998E-3</v>
      </c>
    </row>
    <row r="256" spans="1:12">
      <c r="A256" s="82"/>
      <c r="B256" s="68" t="s">
        <v>221</v>
      </c>
      <c r="C256" s="214" t="s">
        <v>707</v>
      </c>
      <c r="D256" s="215">
        <v>1046432</v>
      </c>
      <c r="E256" s="216">
        <v>0.19550000000000001</v>
      </c>
      <c r="F256" s="217">
        <v>1.6899999999999998E-2</v>
      </c>
      <c r="G256" s="217">
        <v>1.1715</v>
      </c>
      <c r="H256" s="217">
        <v>1.2004999999999999</v>
      </c>
      <c r="I256" s="217">
        <v>1.0077</v>
      </c>
      <c r="J256" s="217">
        <v>9.7999999999999997E-3</v>
      </c>
    </row>
    <row r="257" spans="1:10">
      <c r="A257" s="82"/>
      <c r="B257" s="654" t="s">
        <v>224</v>
      </c>
      <c r="C257" s="204" t="s">
        <v>712</v>
      </c>
      <c r="D257" s="205">
        <v>1089077</v>
      </c>
      <c r="E257" s="206">
        <v>7.0599999999999996E-2</v>
      </c>
      <c r="F257" s="207">
        <v>2.8999999999999998E-3</v>
      </c>
      <c r="G257" s="207">
        <v>1.4744999999999999</v>
      </c>
      <c r="H257" s="207">
        <v>1.6253</v>
      </c>
      <c r="I257" s="207">
        <v>1.0329999999999999</v>
      </c>
      <c r="J257" s="207">
        <v>1.1599999999999999E-2</v>
      </c>
    </row>
    <row r="258" spans="1:10">
      <c r="A258" s="82"/>
      <c r="B258" s="655"/>
      <c r="C258" s="82" t="s">
        <v>713</v>
      </c>
      <c r="D258" s="106">
        <v>1095318</v>
      </c>
      <c r="E258" s="208">
        <v>0.35010000000000002</v>
      </c>
      <c r="F258" s="107">
        <v>1.72E-2</v>
      </c>
      <c r="G258" s="107">
        <v>1.3271999999999999</v>
      </c>
      <c r="H258" s="107">
        <v>1.3896999999999999</v>
      </c>
      <c r="I258" s="107">
        <v>1.0197000000000001</v>
      </c>
      <c r="J258" s="107">
        <v>1.0200000000000001E-2</v>
      </c>
    </row>
    <row r="259" spans="1:10">
      <c r="A259" s="82"/>
      <c r="B259" s="655"/>
      <c r="C259" s="82" t="s">
        <v>14</v>
      </c>
      <c r="D259" s="106">
        <v>1168668</v>
      </c>
      <c r="E259" s="208">
        <v>3.3500000000000002E-2</v>
      </c>
      <c r="F259" s="107">
        <v>1.43E-2</v>
      </c>
      <c r="G259" s="107">
        <v>1.0466</v>
      </c>
      <c r="H259" s="107">
        <v>1.0273000000000001</v>
      </c>
      <c r="I259" s="107">
        <v>1.0075000000000001</v>
      </c>
      <c r="J259" s="107">
        <v>6.1999999999999998E-3</v>
      </c>
    </row>
    <row r="260" spans="1:10">
      <c r="A260" s="82"/>
      <c r="B260" s="655"/>
      <c r="C260" s="82" t="s">
        <v>16</v>
      </c>
      <c r="D260" s="106">
        <v>1168844</v>
      </c>
      <c r="E260" s="208">
        <v>6.3500000000000001E-2</v>
      </c>
      <c r="F260" s="107">
        <v>1.7600000000000001E-2</v>
      </c>
      <c r="G260" s="107">
        <v>0.99860000000000004</v>
      </c>
      <c r="H260" s="107">
        <v>1.0251999999999999</v>
      </c>
      <c r="I260" s="107">
        <v>0.99519999999999997</v>
      </c>
      <c r="J260" s="107">
        <v>5.8999999999999999E-3</v>
      </c>
    </row>
    <row r="261" spans="1:10">
      <c r="A261" s="82"/>
      <c r="B261" s="656"/>
      <c r="C261" s="209" t="s">
        <v>18</v>
      </c>
      <c r="D261" s="210">
        <v>1168846</v>
      </c>
      <c r="E261" s="211">
        <v>4.5499999999999999E-2</v>
      </c>
      <c r="F261" s="212">
        <v>1.9E-2</v>
      </c>
      <c r="G261" s="212">
        <v>1.0466</v>
      </c>
      <c r="H261" s="212">
        <v>1.0285</v>
      </c>
      <c r="I261" s="212">
        <v>1.0065</v>
      </c>
      <c r="J261" s="212">
        <v>6.1999999999999998E-3</v>
      </c>
    </row>
    <row r="262" spans="1:10">
      <c r="A262" s="82"/>
      <c r="B262" s="612" t="s">
        <v>348</v>
      </c>
      <c r="C262" s="204" t="s">
        <v>144</v>
      </c>
      <c r="D262" s="205">
        <v>1144263</v>
      </c>
      <c r="E262" s="206">
        <v>5.1499999999999997E-2</v>
      </c>
      <c r="F262" s="207">
        <v>2.8999999999999998E-3</v>
      </c>
      <c r="G262" s="207">
        <v>1.2697000000000001</v>
      </c>
      <c r="H262" s="207">
        <v>1.3221000000000001</v>
      </c>
      <c r="I262" s="207">
        <v>1.006</v>
      </c>
      <c r="J262" s="207">
        <v>8.8000000000000005E-3</v>
      </c>
    </row>
    <row r="263" spans="1:10">
      <c r="A263" s="82"/>
      <c r="B263" s="616"/>
      <c r="C263" s="82" t="s">
        <v>723</v>
      </c>
      <c r="D263" s="106">
        <v>642713</v>
      </c>
      <c r="E263" s="208">
        <v>2.5100000000000001E-2</v>
      </c>
      <c r="F263" s="107">
        <v>9.1999999999999998E-3</v>
      </c>
      <c r="G263" s="107">
        <v>1.0105</v>
      </c>
      <c r="H263" s="107">
        <v>1.0308999999999999</v>
      </c>
      <c r="I263" s="107">
        <v>0.99780000000000002</v>
      </c>
      <c r="J263" s="107">
        <v>8.3999999999999995E-3</v>
      </c>
    </row>
    <row r="264" spans="1:10">
      <c r="A264" s="82"/>
      <c r="B264" s="616"/>
      <c r="C264" s="82" t="s">
        <v>14</v>
      </c>
      <c r="D264" s="106">
        <v>1169121</v>
      </c>
      <c r="E264" s="208">
        <v>7.3700000000000002E-2</v>
      </c>
      <c r="F264" s="107">
        <v>5.0000000000000001E-3</v>
      </c>
      <c r="G264" s="107">
        <v>1.2004999999999999</v>
      </c>
      <c r="H264" s="107">
        <v>1.2097</v>
      </c>
      <c r="I264" s="107">
        <v>1.0113000000000001</v>
      </c>
      <c r="J264" s="107">
        <v>7.4000000000000003E-3</v>
      </c>
    </row>
    <row r="265" spans="1:10">
      <c r="A265" s="82"/>
      <c r="B265" s="616"/>
      <c r="C265" s="82" t="s">
        <v>16</v>
      </c>
      <c r="D265" s="106">
        <v>1169226</v>
      </c>
      <c r="E265" s="208">
        <v>7.0400000000000004E-2</v>
      </c>
      <c r="F265" s="107">
        <v>5.1999999999999998E-3</v>
      </c>
      <c r="G265" s="107">
        <v>1.2004999999999999</v>
      </c>
      <c r="H265" s="107">
        <v>1.1951000000000001</v>
      </c>
      <c r="I265" s="107">
        <v>1.0068999999999999</v>
      </c>
      <c r="J265" s="107">
        <v>7.1000000000000004E-3</v>
      </c>
    </row>
    <row r="266" spans="1:10">
      <c r="A266" s="82"/>
      <c r="B266" s="616"/>
      <c r="C266" s="82" t="s">
        <v>18</v>
      </c>
      <c r="D266" s="106">
        <v>1169235</v>
      </c>
      <c r="E266" s="208">
        <v>6.6600000000000006E-2</v>
      </c>
      <c r="F266" s="107">
        <v>4.4999999999999997E-3</v>
      </c>
      <c r="G266" s="107">
        <v>1.1458999999999999</v>
      </c>
      <c r="H266" s="107">
        <v>1.1797</v>
      </c>
      <c r="I266" s="107">
        <v>1.0026999999999999</v>
      </c>
      <c r="J266" s="107">
        <v>7.0000000000000001E-3</v>
      </c>
    </row>
    <row r="267" spans="1:10">
      <c r="A267" s="82"/>
      <c r="B267" s="613"/>
      <c r="C267" s="209" t="s">
        <v>749</v>
      </c>
      <c r="D267" s="210">
        <v>1081612</v>
      </c>
      <c r="E267" s="211">
        <v>7.3999999999999996E-2</v>
      </c>
      <c r="F267" s="212">
        <v>5.1999999999999998E-3</v>
      </c>
      <c r="G267" s="212">
        <v>1.2004999999999999</v>
      </c>
      <c r="H267" s="212">
        <v>1.2181999999999999</v>
      </c>
      <c r="I267" s="212">
        <v>0.996</v>
      </c>
      <c r="J267" s="212">
        <v>9.7999999999999997E-3</v>
      </c>
    </row>
    <row r="268" spans="1:10">
      <c r="A268" s="82"/>
      <c r="B268" s="612" t="s">
        <v>391</v>
      </c>
      <c r="C268" s="204" t="s">
        <v>144</v>
      </c>
      <c r="D268" s="205">
        <v>1133005</v>
      </c>
      <c r="E268" s="206">
        <v>4.7300000000000002E-2</v>
      </c>
      <c r="F268" s="207">
        <v>1.6000000000000001E-3</v>
      </c>
      <c r="G268" s="207">
        <v>1.7179</v>
      </c>
      <c r="H268" s="207">
        <v>1.9530000000000001</v>
      </c>
      <c r="I268" s="207">
        <v>1.0543</v>
      </c>
      <c r="J268" s="207">
        <v>1.2999999999999999E-2</v>
      </c>
    </row>
    <row r="269" spans="1:10">
      <c r="A269" s="82"/>
      <c r="B269" s="616"/>
      <c r="C269" s="82" t="s">
        <v>727</v>
      </c>
      <c r="D269" s="106">
        <v>1132864</v>
      </c>
      <c r="E269" s="208">
        <v>4.5999999999999999E-2</v>
      </c>
      <c r="F269" s="107">
        <v>2E-3</v>
      </c>
      <c r="G269" s="107">
        <v>1.3101</v>
      </c>
      <c r="H269" s="107">
        <v>1.3667</v>
      </c>
      <c r="I269" s="107">
        <v>1.0143</v>
      </c>
      <c r="J269" s="107">
        <v>8.8000000000000005E-3</v>
      </c>
    </row>
    <row r="270" spans="1:10">
      <c r="A270" s="82"/>
      <c r="B270" s="616"/>
      <c r="C270" s="82" t="s">
        <v>14</v>
      </c>
      <c r="D270" s="106">
        <v>1168697</v>
      </c>
      <c r="E270" s="208">
        <v>4.5999999999999999E-2</v>
      </c>
      <c r="F270" s="107">
        <v>4.0000000000000001E-3</v>
      </c>
      <c r="G270" s="107">
        <v>1.1458999999999999</v>
      </c>
      <c r="H270" s="107">
        <v>1.1546000000000001</v>
      </c>
      <c r="I270" s="107">
        <v>1.0214000000000001</v>
      </c>
      <c r="J270" s="107">
        <v>7.1000000000000004E-3</v>
      </c>
    </row>
    <row r="271" spans="1:10">
      <c r="A271" s="82"/>
      <c r="B271" s="616"/>
      <c r="C271" s="82" t="s">
        <v>16</v>
      </c>
      <c r="D271" s="106">
        <v>1168813</v>
      </c>
      <c r="E271" s="208">
        <v>4.7E-2</v>
      </c>
      <c r="F271" s="107">
        <v>4.0000000000000001E-3</v>
      </c>
      <c r="G271" s="107">
        <v>1.1458999999999999</v>
      </c>
      <c r="H271" s="107">
        <v>1.1414</v>
      </c>
      <c r="I271" s="107">
        <v>1.0036</v>
      </c>
      <c r="J271" s="107">
        <v>6.8999999999999999E-3</v>
      </c>
    </row>
    <row r="272" spans="1:10">
      <c r="A272" s="82"/>
      <c r="B272" s="613"/>
      <c r="C272" s="209" t="s">
        <v>18</v>
      </c>
      <c r="D272" s="210">
        <v>1168822</v>
      </c>
      <c r="E272" s="211">
        <v>4.1200000000000001E-2</v>
      </c>
      <c r="F272" s="212">
        <v>4.1000000000000003E-3</v>
      </c>
      <c r="G272" s="212">
        <v>1.0956999999999999</v>
      </c>
      <c r="H272" s="212">
        <v>1.1274999999999999</v>
      </c>
      <c r="I272" s="212">
        <v>1.0063</v>
      </c>
      <c r="J272" s="212">
        <v>7.4999999999999997E-3</v>
      </c>
    </row>
    <row r="273" spans="1:12">
      <c r="A273" s="82"/>
      <c r="B273" s="612" t="s">
        <v>439</v>
      </c>
      <c r="C273" s="204" t="s">
        <v>737</v>
      </c>
      <c r="D273" s="205">
        <v>1102723</v>
      </c>
      <c r="E273" s="206">
        <v>0.33579999999999999</v>
      </c>
      <c r="F273" s="207">
        <v>1.32E-2</v>
      </c>
      <c r="G273" s="207">
        <v>1.8445</v>
      </c>
      <c r="H273" s="207">
        <v>2.2117</v>
      </c>
      <c r="I273" s="207">
        <v>1.0790999999999999</v>
      </c>
      <c r="J273" s="207">
        <v>1.7299999999999999E-2</v>
      </c>
    </row>
    <row r="274" spans="1:12">
      <c r="A274" s="82"/>
      <c r="B274" s="616"/>
      <c r="C274" s="82" t="s">
        <v>14</v>
      </c>
      <c r="D274" s="106">
        <v>1168664</v>
      </c>
      <c r="E274" s="208">
        <v>4.7699999999999999E-2</v>
      </c>
      <c r="F274" s="107">
        <v>1.6899999999999998E-2</v>
      </c>
      <c r="G274" s="107">
        <v>1.0466</v>
      </c>
      <c r="H274" s="107">
        <v>1.0326</v>
      </c>
      <c r="I274" s="107">
        <v>1.0045999999999999</v>
      </c>
      <c r="J274" s="107">
        <v>6.1000000000000004E-3</v>
      </c>
    </row>
    <row r="275" spans="1:12">
      <c r="A275" s="82"/>
      <c r="B275" s="616"/>
      <c r="C275" s="82" t="s">
        <v>16</v>
      </c>
      <c r="D275" s="106">
        <v>1168847</v>
      </c>
      <c r="E275" s="208">
        <v>2.5499999999999998E-2</v>
      </c>
      <c r="F275" s="107">
        <v>2.0199999999999999E-2</v>
      </c>
      <c r="G275" s="107">
        <v>0.99860000000000004</v>
      </c>
      <c r="H275" s="107">
        <v>1.0129999999999999</v>
      </c>
      <c r="I275" s="107">
        <v>1.0012000000000001</v>
      </c>
      <c r="J275" s="107">
        <v>6.4999999999999997E-3</v>
      </c>
    </row>
    <row r="276" spans="1:12">
      <c r="A276" s="82"/>
      <c r="B276" s="613"/>
      <c r="C276" s="209" t="s">
        <v>18</v>
      </c>
      <c r="D276" s="210">
        <v>1168839</v>
      </c>
      <c r="E276" s="211">
        <v>2.8899999999999999E-2</v>
      </c>
      <c r="F276" s="212">
        <v>2.01E-2</v>
      </c>
      <c r="G276" s="212">
        <v>0.99860000000000004</v>
      </c>
      <c r="H276" s="212">
        <v>1.0132000000000001</v>
      </c>
      <c r="I276" s="212">
        <v>0.99990000000000001</v>
      </c>
      <c r="J276" s="212">
        <v>6.4000000000000003E-3</v>
      </c>
    </row>
    <row r="277" spans="1:12" s="1" customFormat="1">
      <c r="A277" s="51" t="s">
        <v>566</v>
      </c>
      <c r="B277" s="60"/>
      <c r="C277" s="60"/>
      <c r="D277" s="110"/>
      <c r="E277" s="199"/>
      <c r="F277" s="203"/>
      <c r="G277" s="203"/>
      <c r="H277" s="100"/>
      <c r="I277" s="100"/>
      <c r="J277" s="213"/>
      <c r="L277"/>
    </row>
    <row r="278" spans="1:12">
      <c r="A278" s="82"/>
      <c r="B278" s="647" t="s">
        <v>159</v>
      </c>
      <c r="C278" s="204" t="s">
        <v>144</v>
      </c>
      <c r="D278" s="205">
        <v>1139039</v>
      </c>
      <c r="E278" s="206">
        <v>9.5399999999999999E-2</v>
      </c>
      <c r="F278" s="207">
        <v>2.4899999999999999E-2</v>
      </c>
      <c r="G278" s="207">
        <v>1.0255000000000001</v>
      </c>
      <c r="H278" s="207">
        <v>1.0341</v>
      </c>
      <c r="I278" s="207">
        <v>0.99739999999999995</v>
      </c>
      <c r="J278" s="207">
        <v>7.3000000000000001E-3</v>
      </c>
    </row>
    <row r="279" spans="1:12">
      <c r="A279" s="82"/>
      <c r="B279" s="614"/>
      <c r="C279" s="82" t="s">
        <v>14</v>
      </c>
      <c r="D279" s="106">
        <v>1169150</v>
      </c>
      <c r="E279" s="208">
        <v>8.2100000000000006E-2</v>
      </c>
      <c r="F279" s="107">
        <v>1.09E-2</v>
      </c>
      <c r="G279" s="107">
        <v>1.0956999999999999</v>
      </c>
      <c r="H279" s="107">
        <v>1.0940000000000001</v>
      </c>
      <c r="I279" s="107">
        <v>1.0109999999999999</v>
      </c>
      <c r="J279" s="107">
        <v>7.3000000000000001E-3</v>
      </c>
    </row>
    <row r="280" spans="1:12">
      <c r="A280" s="82"/>
      <c r="B280" s="614"/>
      <c r="C280" s="82" t="s">
        <v>16</v>
      </c>
      <c r="D280" s="106">
        <v>1169287</v>
      </c>
      <c r="E280" s="208">
        <v>9.35E-2</v>
      </c>
      <c r="F280" s="107">
        <v>1.2699999999999999E-2</v>
      </c>
      <c r="G280" s="107">
        <v>1.0956999999999999</v>
      </c>
      <c r="H280" s="107">
        <v>1.0770999999999999</v>
      </c>
      <c r="I280" s="107">
        <v>1.0028999999999999</v>
      </c>
      <c r="J280" s="107">
        <v>6.3E-3</v>
      </c>
    </row>
    <row r="281" spans="1:12">
      <c r="A281" s="82"/>
      <c r="B281" s="614"/>
      <c r="C281" s="82" t="s">
        <v>18</v>
      </c>
      <c r="D281" s="106">
        <v>1169281</v>
      </c>
      <c r="E281" s="208">
        <v>7.0300000000000001E-2</v>
      </c>
      <c r="F281" s="107">
        <v>1.2699999999999999E-2</v>
      </c>
      <c r="G281" s="107">
        <v>1.0466</v>
      </c>
      <c r="H281" s="107">
        <v>1.0618000000000001</v>
      </c>
      <c r="I281" s="107">
        <v>1.0043</v>
      </c>
      <c r="J281" s="107">
        <v>6.1999999999999998E-3</v>
      </c>
    </row>
    <row r="282" spans="1:12">
      <c r="A282" s="82"/>
      <c r="B282" s="615"/>
      <c r="C282" s="209" t="s">
        <v>711</v>
      </c>
      <c r="D282" s="210">
        <v>1175538</v>
      </c>
      <c r="E282" s="211">
        <v>6.0900000000000003E-2</v>
      </c>
      <c r="F282" s="212">
        <v>9.7000000000000003E-3</v>
      </c>
      <c r="G282" s="212">
        <v>1.071</v>
      </c>
      <c r="H282" s="212">
        <v>1.0661</v>
      </c>
      <c r="I282" s="212">
        <v>1.0117</v>
      </c>
      <c r="J282" s="212">
        <v>6.0000000000000001E-3</v>
      </c>
    </row>
    <row r="283" spans="1:12">
      <c r="A283" s="82"/>
      <c r="B283" s="612" t="s">
        <v>171</v>
      </c>
      <c r="C283" s="204" t="s">
        <v>144</v>
      </c>
      <c r="D283" s="205">
        <v>1168904</v>
      </c>
      <c r="E283" s="206">
        <v>5.4899999999999997E-2</v>
      </c>
      <c r="F283" s="207">
        <v>6.8999999999999999E-3</v>
      </c>
      <c r="G283" s="207">
        <v>1.0771999999999999</v>
      </c>
      <c r="H283" s="207">
        <v>1.0792999999999999</v>
      </c>
      <c r="I283" s="207">
        <v>0.99470000000000003</v>
      </c>
      <c r="J283" s="207">
        <v>6.6E-3</v>
      </c>
    </row>
    <row r="284" spans="1:12">
      <c r="A284" s="82"/>
      <c r="B284" s="616"/>
      <c r="C284" s="82" t="s">
        <v>708</v>
      </c>
      <c r="D284" s="106">
        <v>1162105</v>
      </c>
      <c r="E284" s="208">
        <v>4.7500000000000001E-2</v>
      </c>
      <c r="F284" s="107">
        <v>3.0000000000000001E-3</v>
      </c>
      <c r="G284" s="107">
        <v>1.2004999999999999</v>
      </c>
      <c r="H284" s="107">
        <v>1.2222</v>
      </c>
      <c r="I284" s="107">
        <v>0.97950000000000004</v>
      </c>
      <c r="J284" s="107">
        <v>7.4999999999999997E-3</v>
      </c>
    </row>
    <row r="285" spans="1:12">
      <c r="A285" s="82"/>
      <c r="B285" s="616"/>
      <c r="C285" s="82" t="s">
        <v>741</v>
      </c>
      <c r="D285" s="106">
        <v>1177442</v>
      </c>
      <c r="E285" s="208">
        <v>4.8500000000000001E-2</v>
      </c>
      <c r="F285" s="107">
        <v>2.8E-3</v>
      </c>
      <c r="G285" s="107">
        <v>1.2865</v>
      </c>
      <c r="H285" s="107">
        <v>1.3413999999999999</v>
      </c>
      <c r="I285" s="107">
        <v>1.0390999999999999</v>
      </c>
      <c r="J285" s="107">
        <v>8.0999999999999996E-3</v>
      </c>
    </row>
    <row r="286" spans="1:12">
      <c r="A286" s="82"/>
      <c r="B286" s="616"/>
      <c r="C286" s="82" t="s">
        <v>742</v>
      </c>
      <c r="D286" s="106">
        <v>1173562</v>
      </c>
      <c r="E286" s="208">
        <v>3.1600000000000003E-2</v>
      </c>
      <c r="F286" s="107">
        <v>3.5999999999999999E-3</v>
      </c>
      <c r="G286" s="107">
        <v>1.127</v>
      </c>
      <c r="H286" s="107">
        <v>1.1403000000000001</v>
      </c>
      <c r="I286" s="107">
        <v>1.0331999999999999</v>
      </c>
      <c r="J286" s="107">
        <v>7.1999999999999998E-3</v>
      </c>
    </row>
    <row r="287" spans="1:12">
      <c r="A287" s="82"/>
      <c r="B287" s="616"/>
      <c r="C287" s="82" t="s">
        <v>14</v>
      </c>
      <c r="D287" s="106">
        <v>1168677</v>
      </c>
      <c r="E287" s="208">
        <v>3.0099999999999998E-2</v>
      </c>
      <c r="F287" s="107">
        <v>1.03E-2</v>
      </c>
      <c r="G287" s="107">
        <v>1.0466</v>
      </c>
      <c r="H287" s="107">
        <v>1.0338000000000001</v>
      </c>
      <c r="I287" s="107">
        <v>1.0038</v>
      </c>
      <c r="J287" s="107">
        <v>6.7000000000000002E-3</v>
      </c>
    </row>
    <row r="288" spans="1:12">
      <c r="A288" s="82"/>
      <c r="B288" s="616"/>
      <c r="C288" s="82" t="s">
        <v>16</v>
      </c>
      <c r="D288" s="106">
        <v>1168801</v>
      </c>
      <c r="E288" s="208">
        <v>3.1899999999999998E-2</v>
      </c>
      <c r="F288" s="107">
        <v>1.0999999999999999E-2</v>
      </c>
      <c r="G288" s="107">
        <v>1.0466</v>
      </c>
      <c r="H288" s="107">
        <v>1.0318000000000001</v>
      </c>
      <c r="I288" s="107">
        <v>1.0009999999999999</v>
      </c>
      <c r="J288" s="107">
        <v>7.0000000000000001E-3</v>
      </c>
    </row>
    <row r="289" spans="1:10">
      <c r="A289" s="82"/>
      <c r="B289" s="613"/>
      <c r="C289" s="209" t="s">
        <v>18</v>
      </c>
      <c r="D289" s="210">
        <v>1168847</v>
      </c>
      <c r="E289" s="211">
        <v>4.82E-2</v>
      </c>
      <c r="F289" s="212">
        <v>9.7000000000000003E-3</v>
      </c>
      <c r="G289" s="212">
        <v>1.0466</v>
      </c>
      <c r="H289" s="212">
        <v>1.0402</v>
      </c>
      <c r="I289" s="212">
        <v>0.99399999999999999</v>
      </c>
      <c r="J289" s="212">
        <v>6.8999999999999999E-3</v>
      </c>
    </row>
    <row r="290" spans="1:10">
      <c r="A290" s="82"/>
      <c r="B290" s="652" t="s">
        <v>303</v>
      </c>
      <c r="C290" s="204" t="s">
        <v>144</v>
      </c>
      <c r="D290" s="205">
        <v>1132700</v>
      </c>
      <c r="E290" s="206">
        <v>7.17E-2</v>
      </c>
      <c r="F290" s="207">
        <v>1.9900000000000001E-2</v>
      </c>
      <c r="G290" s="207">
        <v>1.0345</v>
      </c>
      <c r="H290" s="207">
        <v>1.0359</v>
      </c>
      <c r="I290" s="207">
        <v>1.0029999999999999</v>
      </c>
      <c r="J290" s="207">
        <v>6.7999999999999996E-3</v>
      </c>
    </row>
    <row r="291" spans="1:10">
      <c r="A291" s="82"/>
      <c r="B291" s="645"/>
      <c r="C291" s="82" t="s">
        <v>721</v>
      </c>
      <c r="D291" s="106">
        <v>1115596</v>
      </c>
      <c r="E291" s="208">
        <v>8.1600000000000006E-2</v>
      </c>
      <c r="F291" s="107">
        <v>1.41E-2</v>
      </c>
      <c r="G291" s="107">
        <v>1.0557000000000001</v>
      </c>
      <c r="H291" s="107">
        <v>1.0583</v>
      </c>
      <c r="I291" s="107">
        <v>1</v>
      </c>
      <c r="J291" s="107">
        <v>6.4000000000000003E-3</v>
      </c>
    </row>
    <row r="292" spans="1:10">
      <c r="A292" s="82"/>
      <c r="B292" s="645"/>
      <c r="C292" s="82" t="s">
        <v>14</v>
      </c>
      <c r="D292" s="106">
        <v>1169113</v>
      </c>
      <c r="E292" s="208">
        <v>7.4200000000000002E-2</v>
      </c>
      <c r="F292" s="107">
        <v>1.03E-2</v>
      </c>
      <c r="G292" s="107">
        <v>1.0956999999999999</v>
      </c>
      <c r="H292" s="107">
        <v>1.099</v>
      </c>
      <c r="I292" s="107">
        <v>1.0165999999999999</v>
      </c>
      <c r="J292" s="107">
        <v>7.4999999999999997E-3</v>
      </c>
    </row>
    <row r="293" spans="1:10">
      <c r="A293" s="82"/>
      <c r="B293" s="645"/>
      <c r="C293" s="82" t="s">
        <v>16</v>
      </c>
      <c r="D293" s="106">
        <v>1169266</v>
      </c>
      <c r="E293" s="208">
        <v>7.1199999999999999E-2</v>
      </c>
      <c r="F293" s="107">
        <v>1.2500000000000001E-2</v>
      </c>
      <c r="G293" s="107">
        <v>1.0466</v>
      </c>
      <c r="H293" s="107">
        <v>1.0707</v>
      </c>
      <c r="I293" s="107">
        <v>1.0084</v>
      </c>
      <c r="J293" s="107">
        <v>6.8999999999999999E-3</v>
      </c>
    </row>
    <row r="294" spans="1:10">
      <c r="A294" s="82"/>
      <c r="B294" s="653"/>
      <c r="C294" s="209" t="s">
        <v>18</v>
      </c>
      <c r="D294" s="210">
        <v>1169287</v>
      </c>
      <c r="E294" s="211">
        <v>6.6400000000000001E-2</v>
      </c>
      <c r="F294" s="212">
        <v>1.2200000000000001E-2</v>
      </c>
      <c r="G294" s="212">
        <v>1.0466</v>
      </c>
      <c r="H294" s="212">
        <v>1.0677000000000001</v>
      </c>
      <c r="I294" s="212">
        <v>1.0092000000000001</v>
      </c>
      <c r="J294" s="212">
        <v>6.8999999999999999E-3</v>
      </c>
    </row>
    <row r="295" spans="1:10">
      <c r="A295" s="82"/>
      <c r="B295" s="612" t="s">
        <v>318</v>
      </c>
      <c r="C295" s="204" t="s">
        <v>144</v>
      </c>
      <c r="D295" s="205">
        <v>1168892</v>
      </c>
      <c r="E295" s="206">
        <v>0.1085</v>
      </c>
      <c r="F295" s="207">
        <v>1.61E-2</v>
      </c>
      <c r="G295" s="207">
        <v>1.1237999999999999</v>
      </c>
      <c r="H295" s="207">
        <v>1.1456999999999999</v>
      </c>
      <c r="I295" s="207">
        <v>0.98960000000000004</v>
      </c>
      <c r="J295" s="207">
        <v>9.1000000000000004E-3</v>
      </c>
    </row>
    <row r="296" spans="1:10">
      <c r="A296" s="82"/>
      <c r="B296" s="616"/>
      <c r="C296" s="82" t="s">
        <v>14</v>
      </c>
      <c r="D296" s="106">
        <v>1169088</v>
      </c>
      <c r="E296" s="208">
        <v>7.0300000000000001E-2</v>
      </c>
      <c r="F296" s="107">
        <v>1.35E-2</v>
      </c>
      <c r="G296" s="107">
        <v>1.0466</v>
      </c>
      <c r="H296" s="107">
        <v>1.0829</v>
      </c>
      <c r="I296" s="107">
        <v>1.0194000000000001</v>
      </c>
      <c r="J296" s="107">
        <v>7.1999999999999998E-3</v>
      </c>
    </row>
    <row r="297" spans="1:10">
      <c r="A297" s="82"/>
      <c r="B297" s="616"/>
      <c r="C297" s="82" t="s">
        <v>16</v>
      </c>
      <c r="D297" s="106">
        <v>1169232</v>
      </c>
      <c r="E297" s="208">
        <v>9.8199999999999996E-2</v>
      </c>
      <c r="F297" s="107">
        <v>1.47E-2</v>
      </c>
      <c r="G297" s="107">
        <v>1.0956999999999999</v>
      </c>
      <c r="H297" s="107">
        <v>1.0864</v>
      </c>
      <c r="I297" s="107">
        <v>0.99709999999999999</v>
      </c>
      <c r="J297" s="107">
        <v>7.1000000000000004E-3</v>
      </c>
    </row>
    <row r="298" spans="1:10">
      <c r="A298" s="82"/>
      <c r="B298" s="616"/>
      <c r="C298" s="82" t="s">
        <v>18</v>
      </c>
      <c r="D298" s="106">
        <v>1169271</v>
      </c>
      <c r="E298" s="208">
        <v>9.7000000000000003E-2</v>
      </c>
      <c r="F298" s="107">
        <v>1.5100000000000001E-2</v>
      </c>
      <c r="G298" s="107">
        <v>1.0956999999999999</v>
      </c>
      <c r="H298" s="107">
        <v>1.0880000000000001</v>
      </c>
      <c r="I298" s="107">
        <v>1.0001</v>
      </c>
      <c r="J298" s="107">
        <v>6.8999999999999999E-3</v>
      </c>
    </row>
    <row r="299" spans="1:10">
      <c r="A299" s="82"/>
      <c r="B299" s="616"/>
      <c r="C299" s="82" t="s">
        <v>708</v>
      </c>
      <c r="D299" s="106">
        <v>1175382</v>
      </c>
      <c r="E299" s="208">
        <v>7.5600000000000001E-2</v>
      </c>
      <c r="F299" s="107">
        <v>9.4999999999999998E-3</v>
      </c>
      <c r="G299" s="107">
        <v>1.2266999999999999</v>
      </c>
      <c r="H299" s="107">
        <v>1.3311999999999999</v>
      </c>
      <c r="I299" s="107">
        <v>0.9476</v>
      </c>
      <c r="J299" s="107">
        <v>1.5699999999999999E-2</v>
      </c>
    </row>
    <row r="300" spans="1:10">
      <c r="A300" s="82"/>
      <c r="B300" s="616"/>
      <c r="C300" s="82" t="s">
        <v>741</v>
      </c>
      <c r="D300" s="106">
        <v>1177625</v>
      </c>
      <c r="E300" s="208">
        <v>8.4199999999999997E-2</v>
      </c>
      <c r="F300" s="107">
        <v>1.1900000000000001E-2</v>
      </c>
      <c r="G300" s="107">
        <v>1.4175</v>
      </c>
      <c r="H300" s="107">
        <v>1.5726</v>
      </c>
      <c r="I300" s="107">
        <v>1.0470999999999999</v>
      </c>
      <c r="J300" s="107">
        <v>2.1999999999999999E-2</v>
      </c>
    </row>
    <row r="301" spans="1:10">
      <c r="A301" s="82"/>
      <c r="B301" s="613"/>
      <c r="C301" s="209" t="s">
        <v>742</v>
      </c>
      <c r="D301" s="210">
        <v>1173065</v>
      </c>
      <c r="E301" s="211">
        <v>7.2599999999999998E-2</v>
      </c>
      <c r="F301" s="212">
        <v>1.21E-2</v>
      </c>
      <c r="G301" s="212">
        <v>1.2234</v>
      </c>
      <c r="H301" s="212">
        <v>1.2991999999999999</v>
      </c>
      <c r="I301" s="212">
        <v>1.0445</v>
      </c>
      <c r="J301" s="212">
        <v>1.3599999999999999E-2</v>
      </c>
    </row>
    <row r="302" spans="1:10">
      <c r="A302" s="82"/>
      <c r="B302" s="612" t="s">
        <v>364</v>
      </c>
      <c r="C302" s="204" t="s">
        <v>144</v>
      </c>
      <c r="D302" s="205">
        <v>1169042</v>
      </c>
      <c r="E302" s="206">
        <v>3.7199999999999997E-2</v>
      </c>
      <c r="F302" s="207">
        <v>2.2000000000000001E-3</v>
      </c>
      <c r="G302" s="207">
        <v>1.2630999999999999</v>
      </c>
      <c r="H302" s="207">
        <v>1.3188</v>
      </c>
      <c r="I302" s="207">
        <v>1.0250999999999999</v>
      </c>
      <c r="J302" s="207">
        <v>9.1999999999999998E-3</v>
      </c>
    </row>
    <row r="303" spans="1:10">
      <c r="A303" s="82"/>
      <c r="B303" s="616"/>
      <c r="C303" s="82" t="s">
        <v>708</v>
      </c>
      <c r="D303" s="106">
        <v>1175301</v>
      </c>
      <c r="E303" s="208">
        <v>4.9299999999999997E-2</v>
      </c>
      <c r="F303" s="107">
        <v>2.3E-3</v>
      </c>
      <c r="G303" s="107">
        <v>1.3169</v>
      </c>
      <c r="H303" s="107">
        <v>1.4473</v>
      </c>
      <c r="I303" s="107">
        <v>0.92110000000000003</v>
      </c>
      <c r="J303" s="107">
        <v>8.8999999999999999E-3</v>
      </c>
    </row>
    <row r="304" spans="1:10">
      <c r="A304" s="82"/>
      <c r="B304" s="616"/>
      <c r="C304" s="82" t="s">
        <v>741</v>
      </c>
      <c r="D304" s="106">
        <v>1177411</v>
      </c>
      <c r="E304" s="208">
        <v>5.4699999999999999E-2</v>
      </c>
      <c r="F304" s="107">
        <v>2.5000000000000001E-3</v>
      </c>
      <c r="G304" s="107">
        <v>1.6145</v>
      </c>
      <c r="H304" s="107">
        <v>1.8181</v>
      </c>
      <c r="I304" s="107">
        <v>1.093</v>
      </c>
      <c r="J304" s="107">
        <v>1.21E-2</v>
      </c>
    </row>
    <row r="305" spans="1:10">
      <c r="A305" s="82"/>
      <c r="B305" s="616"/>
      <c r="C305" s="82" t="s">
        <v>742</v>
      </c>
      <c r="D305" s="106">
        <v>1177329</v>
      </c>
      <c r="E305" s="208">
        <v>0.04</v>
      </c>
      <c r="F305" s="107">
        <v>2.7000000000000001E-3</v>
      </c>
      <c r="G305" s="107">
        <v>1.2201</v>
      </c>
      <c r="H305" s="107">
        <v>1.2665999999999999</v>
      </c>
      <c r="I305" s="107">
        <v>1.0262</v>
      </c>
      <c r="J305" s="107">
        <v>8.0000000000000002E-3</v>
      </c>
    </row>
    <row r="306" spans="1:10">
      <c r="A306" s="82"/>
      <c r="B306" s="616"/>
      <c r="C306" s="82" t="s">
        <v>14</v>
      </c>
      <c r="D306" s="106">
        <v>1169116</v>
      </c>
      <c r="E306" s="208">
        <v>6.0900000000000003E-2</v>
      </c>
      <c r="F306" s="107">
        <v>4.7000000000000002E-3</v>
      </c>
      <c r="G306" s="107">
        <v>1.1458999999999999</v>
      </c>
      <c r="H306" s="107">
        <v>1.1789000000000001</v>
      </c>
      <c r="I306" s="107">
        <v>1.024</v>
      </c>
      <c r="J306" s="107">
        <v>6.7000000000000002E-3</v>
      </c>
    </row>
    <row r="307" spans="1:10">
      <c r="A307" s="82"/>
      <c r="B307" s="616"/>
      <c r="C307" s="82" t="s">
        <v>16</v>
      </c>
      <c r="D307" s="106">
        <v>1169241</v>
      </c>
      <c r="E307" s="208">
        <v>5.79E-2</v>
      </c>
      <c r="F307" s="107">
        <v>4.7999999999999996E-3</v>
      </c>
      <c r="G307" s="107">
        <v>1.1458999999999999</v>
      </c>
      <c r="H307" s="107">
        <v>1.1543000000000001</v>
      </c>
      <c r="I307" s="107">
        <v>1.0068999999999999</v>
      </c>
      <c r="J307" s="107">
        <v>6.6E-3</v>
      </c>
    </row>
    <row r="308" spans="1:10">
      <c r="A308" s="82"/>
      <c r="B308" s="613"/>
      <c r="C308" s="209" t="s">
        <v>18</v>
      </c>
      <c r="D308" s="210">
        <v>1169246</v>
      </c>
      <c r="E308" s="211">
        <v>6.8699999999999997E-2</v>
      </c>
      <c r="F308" s="212">
        <v>4.7000000000000002E-3</v>
      </c>
      <c r="G308" s="212">
        <v>1.1458999999999999</v>
      </c>
      <c r="H308" s="212">
        <v>1.1639999999999999</v>
      </c>
      <c r="I308" s="212">
        <v>0.99219999999999997</v>
      </c>
      <c r="J308" s="212">
        <v>6.6E-3</v>
      </c>
    </row>
    <row r="309" spans="1:10">
      <c r="A309" s="82"/>
      <c r="B309" s="612" t="s">
        <v>372</v>
      </c>
      <c r="C309" s="204" t="s">
        <v>144</v>
      </c>
      <c r="D309" s="205">
        <v>1169017</v>
      </c>
      <c r="E309" s="206">
        <v>9.1600000000000001E-2</v>
      </c>
      <c r="F309" s="207">
        <v>3.3E-3</v>
      </c>
      <c r="G309" s="207">
        <v>1.7726999999999999</v>
      </c>
      <c r="H309" s="207">
        <v>2.1160000000000001</v>
      </c>
      <c r="I309" s="207">
        <v>1.0168999999999999</v>
      </c>
      <c r="J309" s="207">
        <v>1.2800000000000001E-2</v>
      </c>
    </row>
    <row r="310" spans="1:10">
      <c r="A310" s="82"/>
      <c r="B310" s="616"/>
      <c r="C310" s="82" t="s">
        <v>708</v>
      </c>
      <c r="D310" s="106">
        <v>1167968</v>
      </c>
      <c r="E310" s="208">
        <v>6.9400000000000003E-2</v>
      </c>
      <c r="F310" s="107">
        <v>2.3E-3</v>
      </c>
      <c r="G310" s="107">
        <v>1.4925999999999999</v>
      </c>
      <c r="H310" s="107">
        <v>1.7439</v>
      </c>
      <c r="I310" s="107">
        <v>0.88629999999999998</v>
      </c>
      <c r="J310" s="107">
        <v>9.2999999999999992E-3</v>
      </c>
    </row>
    <row r="311" spans="1:10">
      <c r="A311" s="82"/>
      <c r="B311" s="616"/>
      <c r="C311" s="82" t="s">
        <v>741</v>
      </c>
      <c r="D311" s="106">
        <v>1177400</v>
      </c>
      <c r="E311" s="208">
        <v>8.8099999999999998E-2</v>
      </c>
      <c r="F311" s="107">
        <v>2.8E-3</v>
      </c>
      <c r="G311" s="107">
        <v>1.984</v>
      </c>
      <c r="H311" s="107">
        <v>2.4367000000000001</v>
      </c>
      <c r="I311" s="107">
        <v>1.0428999999999999</v>
      </c>
      <c r="J311" s="107">
        <v>1.3899999999999999E-2</v>
      </c>
    </row>
    <row r="312" spans="1:10">
      <c r="A312" s="82"/>
      <c r="B312" s="616"/>
      <c r="C312" s="82" t="s">
        <v>742</v>
      </c>
      <c r="D312" s="106">
        <v>1173626</v>
      </c>
      <c r="E312" s="208">
        <v>7.8200000000000006E-2</v>
      </c>
      <c r="F312" s="107">
        <v>3.3999999999999998E-3</v>
      </c>
      <c r="G312" s="107">
        <v>1.4781</v>
      </c>
      <c r="H312" s="107">
        <v>1.5875999999999999</v>
      </c>
      <c r="I312" s="107">
        <v>1.0479000000000001</v>
      </c>
      <c r="J312" s="107">
        <v>9.4000000000000004E-3</v>
      </c>
    </row>
    <row r="313" spans="1:10">
      <c r="A313" s="82"/>
      <c r="B313" s="616"/>
      <c r="C313" s="82" t="s">
        <v>14</v>
      </c>
      <c r="D313" s="106">
        <v>1169123</v>
      </c>
      <c r="E313" s="208">
        <v>0.10349999999999999</v>
      </c>
      <c r="F313" s="107">
        <v>5.4999999999999997E-3</v>
      </c>
      <c r="G313" s="107">
        <v>1.2531000000000001</v>
      </c>
      <c r="H313" s="107">
        <v>1.3146</v>
      </c>
      <c r="I313" s="107">
        <v>1.0137</v>
      </c>
      <c r="J313" s="107">
        <v>7.0000000000000001E-3</v>
      </c>
    </row>
    <row r="314" spans="1:10">
      <c r="A314" s="82"/>
      <c r="B314" s="616"/>
      <c r="C314" s="82" t="s">
        <v>16</v>
      </c>
      <c r="D314" s="106">
        <v>1169249</v>
      </c>
      <c r="E314" s="208">
        <v>9.8100000000000007E-2</v>
      </c>
      <c r="F314" s="107">
        <v>5.4999999999999997E-3</v>
      </c>
      <c r="G314" s="107">
        <v>1.2531000000000001</v>
      </c>
      <c r="H314" s="107">
        <v>1.2957000000000001</v>
      </c>
      <c r="I314" s="107">
        <v>1.0075000000000001</v>
      </c>
      <c r="J314" s="107">
        <v>7.6E-3</v>
      </c>
    </row>
    <row r="315" spans="1:10">
      <c r="A315" s="82"/>
      <c r="B315" s="613"/>
      <c r="C315" s="209" t="s">
        <v>18</v>
      </c>
      <c r="D315" s="210">
        <v>1169251</v>
      </c>
      <c r="E315" s="211">
        <v>9.7000000000000003E-2</v>
      </c>
      <c r="F315" s="212">
        <v>5.1000000000000004E-3</v>
      </c>
      <c r="G315" s="212">
        <v>1.2531000000000001</v>
      </c>
      <c r="H315" s="212">
        <v>1.2907</v>
      </c>
      <c r="I315" s="212">
        <v>1.0064</v>
      </c>
      <c r="J315" s="212">
        <v>7.9000000000000008E-3</v>
      </c>
    </row>
    <row r="316" spans="1:10">
      <c r="A316" s="82"/>
      <c r="B316" s="612" t="s">
        <v>431</v>
      </c>
      <c r="C316" s="204" t="s">
        <v>144</v>
      </c>
      <c r="D316" s="205">
        <v>1169057</v>
      </c>
      <c r="E316" s="206">
        <v>4.1700000000000001E-2</v>
      </c>
      <c r="F316" s="207">
        <v>3.0999999999999999E-3</v>
      </c>
      <c r="G316" s="207">
        <v>1.1876</v>
      </c>
      <c r="H316" s="207">
        <v>1.2172000000000001</v>
      </c>
      <c r="I316" s="207">
        <v>1.0190999999999999</v>
      </c>
      <c r="J316" s="207">
        <v>8.5000000000000006E-3</v>
      </c>
    </row>
    <row r="317" spans="1:10">
      <c r="A317" s="82"/>
      <c r="B317" s="616"/>
      <c r="C317" s="82" t="s">
        <v>708</v>
      </c>
      <c r="D317" s="106">
        <v>1165826</v>
      </c>
      <c r="E317" s="208">
        <v>3.2300000000000002E-2</v>
      </c>
      <c r="F317" s="107">
        <v>2.2000000000000001E-3</v>
      </c>
      <c r="G317" s="107">
        <v>1.1523000000000001</v>
      </c>
      <c r="H317" s="107">
        <v>1.1791</v>
      </c>
      <c r="I317" s="107">
        <v>0.9788</v>
      </c>
      <c r="J317" s="107">
        <v>8.2000000000000007E-3</v>
      </c>
    </row>
    <row r="318" spans="1:10">
      <c r="A318" s="82"/>
      <c r="B318" s="616"/>
      <c r="C318" s="82" t="s">
        <v>741</v>
      </c>
      <c r="D318" s="106">
        <v>1177583</v>
      </c>
      <c r="E318" s="208">
        <v>4.8899999999999999E-2</v>
      </c>
      <c r="F318" s="107">
        <v>2.7000000000000001E-3</v>
      </c>
      <c r="G318" s="107">
        <v>1.3409</v>
      </c>
      <c r="H318" s="107">
        <v>1.4182999999999999</v>
      </c>
      <c r="I318" s="107">
        <v>1.0439000000000001</v>
      </c>
      <c r="J318" s="107">
        <v>1.17E-2</v>
      </c>
    </row>
    <row r="319" spans="1:10">
      <c r="A319" s="82"/>
      <c r="B319" s="616"/>
      <c r="C319" s="82" t="s">
        <v>742</v>
      </c>
      <c r="D319" s="106">
        <v>1173623</v>
      </c>
      <c r="E319" s="208">
        <v>3.7100000000000001E-2</v>
      </c>
      <c r="F319" s="107">
        <v>3.3999999999999998E-3</v>
      </c>
      <c r="G319" s="107">
        <v>1.1618999999999999</v>
      </c>
      <c r="H319" s="107">
        <v>1.1773</v>
      </c>
      <c r="I319" s="107">
        <v>1.0395000000000001</v>
      </c>
      <c r="J319" s="107">
        <v>8.0000000000000002E-3</v>
      </c>
    </row>
    <row r="320" spans="1:10">
      <c r="A320" s="82"/>
      <c r="B320" s="616"/>
      <c r="C320" s="82" t="s">
        <v>14</v>
      </c>
      <c r="D320" s="106">
        <v>1168702</v>
      </c>
      <c r="E320" s="208">
        <v>4.5699999999999998E-2</v>
      </c>
      <c r="F320" s="107">
        <v>7.1999999999999998E-3</v>
      </c>
      <c r="G320" s="107">
        <v>1.0956999999999999</v>
      </c>
      <c r="H320" s="107">
        <v>1.0709</v>
      </c>
      <c r="I320" s="107">
        <v>1.0097</v>
      </c>
      <c r="J320" s="107">
        <v>7.1000000000000004E-3</v>
      </c>
    </row>
    <row r="321" spans="1:10">
      <c r="A321" s="82"/>
      <c r="B321" s="616"/>
      <c r="C321" s="82" t="s">
        <v>16</v>
      </c>
      <c r="D321" s="106">
        <v>1168860</v>
      </c>
      <c r="E321" s="208">
        <v>5.3600000000000002E-2</v>
      </c>
      <c r="F321" s="107">
        <v>7.7000000000000002E-3</v>
      </c>
      <c r="G321" s="107">
        <v>1.0466</v>
      </c>
      <c r="H321" s="107">
        <v>1.0751999999999999</v>
      </c>
      <c r="I321" s="107">
        <v>1.0026999999999999</v>
      </c>
      <c r="J321" s="107">
        <v>6.4000000000000003E-3</v>
      </c>
    </row>
    <row r="322" spans="1:10">
      <c r="A322" s="209"/>
      <c r="B322" s="613"/>
      <c r="C322" s="209" t="s">
        <v>18</v>
      </c>
      <c r="D322" s="210">
        <v>1168855</v>
      </c>
      <c r="E322" s="211">
        <v>5.21E-2</v>
      </c>
      <c r="F322" s="212">
        <v>7.9000000000000008E-3</v>
      </c>
      <c r="G322" s="212">
        <v>1.0466</v>
      </c>
      <c r="H322" s="212">
        <v>1.0722</v>
      </c>
      <c r="I322" s="212">
        <v>1.0012000000000001</v>
      </c>
      <c r="J322" s="212">
        <v>7.0000000000000001E-3</v>
      </c>
    </row>
    <row r="323" spans="1:10" ht="14.7">
      <c r="A323" s="189" t="s">
        <v>1475</v>
      </c>
    </row>
  </sheetData>
  <sortState xmlns:xlrd2="http://schemas.microsoft.com/office/spreadsheetml/2017/richdata2" ref="C240:J249">
    <sortCondition ref="C240:C249"/>
  </sortState>
  <mergeCells count="61">
    <mergeCell ref="B254:B255"/>
    <mergeCell ref="B185:B189"/>
    <mergeCell ref="B220:B224"/>
    <mergeCell ref="B225:B226"/>
    <mergeCell ref="B181:B184"/>
    <mergeCell ref="B208:B210"/>
    <mergeCell ref="B240:B249"/>
    <mergeCell ref="B231:B233"/>
    <mergeCell ref="B235:B239"/>
    <mergeCell ref="B196:B197"/>
    <mergeCell ref="B199:B201"/>
    <mergeCell ref="B202:B204"/>
    <mergeCell ref="B205:B207"/>
    <mergeCell ref="B211:B213"/>
    <mergeCell ref="B227:B229"/>
    <mergeCell ref="B251:B253"/>
    <mergeCell ref="B8:B15"/>
    <mergeCell ref="B97:B102"/>
    <mergeCell ref="B34:B39"/>
    <mergeCell ref="B17:B22"/>
    <mergeCell ref="B23:B28"/>
    <mergeCell ref="B71:B87"/>
    <mergeCell ref="B29:B33"/>
    <mergeCell ref="B91:B96"/>
    <mergeCell ref="B62:B65"/>
    <mergeCell ref="B67:B70"/>
    <mergeCell ref="B46:B50"/>
    <mergeCell ref="B51:B55"/>
    <mergeCell ref="B56:B60"/>
    <mergeCell ref="B316:B322"/>
    <mergeCell ref="B309:B315"/>
    <mergeCell ref="B273:B276"/>
    <mergeCell ref="B40:B45"/>
    <mergeCell ref="B214:B217"/>
    <mergeCell ref="B172:B176"/>
    <mergeCell ref="B268:B272"/>
    <mergeCell ref="B262:B267"/>
    <mergeCell ref="B290:B294"/>
    <mergeCell ref="B278:B282"/>
    <mergeCell ref="B257:B261"/>
    <mergeCell ref="B177:B180"/>
    <mergeCell ref="B103:B106"/>
    <mergeCell ref="B162:B165"/>
    <mergeCell ref="B149:B154"/>
    <mergeCell ref="B112:B114"/>
    <mergeCell ref="A1:J1"/>
    <mergeCell ref="B4:B7"/>
    <mergeCell ref="B283:B289"/>
    <mergeCell ref="B295:B301"/>
    <mergeCell ref="B302:B308"/>
    <mergeCell ref="B136:B140"/>
    <mergeCell ref="B131:B135"/>
    <mergeCell ref="B108:B110"/>
    <mergeCell ref="B166:B171"/>
    <mergeCell ref="B145:B148"/>
    <mergeCell ref="B158:B161"/>
    <mergeCell ref="B155:B157"/>
    <mergeCell ref="B141:B144"/>
    <mergeCell ref="B115:B118"/>
    <mergeCell ref="B120:B123"/>
    <mergeCell ref="B127:B130"/>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H g E A A B Q S w M E F A A C A A g A Q X K S W M 2 A L p G k A A A A 9 g A A A B I A H A B D b 2 5 m a W c v U G F j a 2 F n Z S 5 4 b W w g o h g A K K A U A A A A A A A A A A A A A A A A A A A A A A A A A A A A h Y + x D o I w F E V / h X S n h T p g y K M M r m B M T I x r U y o 2 w s P Q Y v k 3 B z / J X x C j q J v j P f c M 9 9 6 v N 8 j H t g k u u r e m w 4 z E N C K B R t V V B u u M D O 4 Q L k k u Y C P V S d Y 6 m G S 0 6 W i r j B y d O 6 e M e e + p X 9 C u r x m P o p j t y 2 K r j r q V 5 C O b / 3 J o 0 D q J S h M B u 9 c Y w W n M E 8 q T h E b A Z g i l w a / A p 7 3 P 9 g f C a m j c 0 G u h M V w X w O Y I 7 P 1 B P A B Q S w M E F A A C A A g A Q X K S 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F y k l g N y Q 6 t c g E A A I A D A A A T A B w A R m 9 y b X V s Y X M v U 2 V j d G l v b j E u b S C i G A A o o B Q A A A A A A A A A A A A A A A A A A A A A A A A A A A C V U s t q w k A U 3 Q v + w 5 B u I g w B b e m i k k U b 6 Q O K W G N X p o Q x X n V g M j f M o z V I / 7 0 T o 1 j b i G 0 2 k 9 x z 7 n k M 0 Z A Z j p L E 9 d n t t 1 v t l l 4 x B X P y O I 5 T 1 S M h E W D a L e K e G K 3 K w E 0 i / R 4 M M L M 5 S O P f c w F B h N K 4 D + 1 7 0 U 3 y q k H p h J X a Y j J Q W M x w n Y w e Y j K G A j U 3 q M q k d x m Q + I 6 V o M f E F n N m I C m c K d / G S G r r w K y N 1 6 H T A Q i e c w M q 9 K h H S Y T C 5 l K H 3 R 4 l L x Y N x K Y U E B 5 e g y F K e O v Q O v S F N 1 K Y O 8 w 1 A j Z 3 y T z X Y M J m j r h D d n O / 7 k f J d D e / F S L O m G B K h 0 b Z 7 5 L R i s m l U 5 y U B R z k J o p J v U C V 1 x E r U P s N / n S z 8 Y o V S D T V O i X V Q Q y s z S c l G 0 / 1 U o m p z l B V 2 J M 0 1 1 d B J b U H u c x S z e V S Q L q 7 w X O 0 5 0 F 1 t 0 1 G c 7 5 Y / B A 7 v / Q 7 g M A P U H u q t P k M 1 G m y L Y o t + Q + R j 3 R P R K i Z e 9 H / N 0 x P m p x f b X Y d H p f 7 7 L R b X D b + O f 0 v U E s B A i 0 A F A A C A A g A Q X K S W M 2 A L p G k A A A A 9 g A A A B I A A A A A A A A A A A A A A A A A A A A A A E N v b m Z p Z y 9 Q Y W N r Y W d l L n h t b F B L A Q I t A B Q A A g A I A E F y k l g P y u m r p A A A A O k A A A A T A A A A A A A A A A A A A A A A A P A A A A B b Q 2 9 u d G V u d F 9 U e X B l c 1 0 u e G 1 s U E s B A i 0 A F A A C A A g A Q X K S W A 3 J D q 1 y A Q A A g A M A A B M A A A A A A A A A A A A A A A A A 4 Q E A A E Z v c m 1 1 b G F z L 1 N l Y 3 R p b 2 4 x L m 1 Q S w U G A A A A A A M A A w D C A A A A o A 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Z R A A A A A A A A B D E A 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S F J T X 3 I y 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F 1 Z X J 5 S U Q i I F Z h b H V l P S J z N T R l Y 2 Q 2 Z m I t N z k w O S 0 0 Z D Q 4 L W E z N T c t M 2 R k M 2 Q 0 M G E w N D B i 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Q z I i A v P j x F b n R y e S B U e X B l P S J G a W x s R X J y b 3 J D b 2 R l I i B W Y W x 1 Z T 0 i c 1 V u a 2 5 v d 2 4 i I C 8 + P E V u d H J 5 I F R 5 c G U 9 I k Z p b G x F c n J v c k N v d W 5 0 I i B W Y W x 1 Z T 0 i b D A i I C 8 + P E V u d H J 5 I F R 5 c G U 9 I k Z p b G x M Y X N 0 V X B k Y X R l Z C I g V m F s d W U 9 I m Q y M D I 0 L T A 0 L T E 4 V D E y O j E z O j E 1 L j E w M z I 4 N j d a I i A v P j x F b n R y e S B U e X B l P S J G a W x s Q 2 9 s d W 1 u V H l w Z X M i I F Z h b H V l P S J z Q m d N R E J n W U Z B d 1 l H Q m d Z R C I g L z 4 8 R W 5 0 c n k g V H l w Z T 0 i R m l s b E N v b H V t b k 5 h b W V z I i B W Y W x 1 Z T 0 i c 1 s m c X V v d D t w a G V u b 3 R 5 c G U m c X V v d D s s J n F 1 b 3 Q 7 c j J f b m 9 f c 2 N v c m U m c X V v d D s s J n F 1 b 3 Q 7 c j J f a W 5 j X 3 N p b m d s Z V 9 T Q m F 5 Z X N S J n F 1 b 3 Q 7 L C Z x d W 9 0 O 3 I y X 2 l u Y 1 9 z a W 5 n b G V f T E R w c m V k J n F 1 b 3 Q 7 L C Z x d W 9 0 O 3 I y X 2 R p Z m Z f c 2 l u Z 2 x l X 1 N C Y X l l c 1 J f c 2 l u Z 2 x l X 0 x E c H J l Z C Z x d W 9 0 O y w m c X V v d D t y M l 9 p b m N f c 2 l u Z 2 x l X 1 N C Y X l l c 1 J s b 3 d l c i Z x d W 9 0 O y w m c X V v d D t y M l 9 p b m N f c 2 l u Z 2 x l X 1 N C Y X l l c 1 J 1 c H B l c i Z x d W 9 0 O y w m c X V v d D t y M l 9 p b m N f c 2 l u Z 2 x l X 0 x E c H J l Z G x v d 2 V y J n F 1 b 3 Q 7 L C Z x d W 9 0 O 3 I y X 2 l u Y 1 9 z a W 5 n b G V f T E R w c m V k d X B w Z X I m c X V v d D s s J n F 1 b 3 Q 7 c j J f Z G l m Z l 9 z a W 5 n b G V f U 0 J h e W V z U l 9 z a W 5 n b G V f T E R w c m V k X 2 x v d 2 V y J n F 1 b 3 Q 7 L C Z x d W 9 0 O 3 I y X 2 R p Z m Z f c 2 l u Z 2 x l X 1 N C Y X l l c 1 J f c 2 l u Z 2 x l X 0 x E c H J l Z F 9 1 c H B l c i Z x d W 9 0 O y w m c X V v d D t O J n F 1 b 3 Q 7 X S I g L z 4 8 R W 5 0 c n k g V H l w Z T 0 i R m l s b F N 0 Y X R 1 c y I g V m F s d W U 9 I n N D b 2 1 w b G V 0 Z S I g L z 4 8 R W 5 0 c n k g V H l w Z T 0 i U m V s Y X R p b 2 5 z a G l w S W 5 m b 0 N v b n R h a W 5 l c i I g V m F s d W U 9 I n N 7 J n F 1 b 3 Q 7 Y 2 9 s d W 1 u Q 2 9 1 b n Q m c X V v d D s 6 M T I s J n F 1 b 3 Q 7 a 2 V 5 Q 2 9 s d W 1 u T m F t Z X M m c X V v d D s 6 W 1 0 s J n F 1 b 3 Q 7 c X V l c n l S Z W x h d G l v b n N o a X B z J n F 1 b 3 Q 7 O l t d L C Z x d W 9 0 O 2 N v b H V t b k l k Z W 5 0 a X R p Z X M m c X V v d D s 6 W y Z x d W 9 0 O 1 N l Y 3 R p b 2 4 x L 0 h S U 1 9 y M i 9 D a G F u Z 2 V k I F R 5 c G U u e 3 B o Z W 5 v d H l w Z S w w f S Z x d W 9 0 O y w m c X V v d D t T Z W N 0 a W 9 u M S 9 I U l N f c j I v Q 2 h h b m d l Z C B U e X B l L n t y M l 9 u b 1 9 z Y 2 9 y Z S w x f S Z x d W 9 0 O y w m c X V v d D t T Z W N 0 a W 9 u M S 9 I U l N f c j I v Q 2 h h b m d l Z C B U e X B l L n t y M l 9 p b m N f c 2 l u Z 2 x l X 1 N C Y X l l c 1 I s M n 0 m c X V v d D s s J n F 1 b 3 Q 7 U 2 V j d G l v b j E v S F J T X 3 I y L 0 N o Y W 5 n Z W Q g V H l w Z S 5 7 c j J f a W 5 j X 3 N p b m d s Z V 9 M R H B y Z W Q s M 3 0 m c X V v d D s s J n F 1 b 3 Q 7 U 2 V j d G l v b j E v S F J T X 3 I y L 0 N o Y W 5 n Z W Q g V H l w Z S 5 7 c j J f Z G l m Z l 9 z a W 5 n b G V f U 0 J h e W V z U l 9 z a W 5 n b G V f T E R w c m V k L D R 9 J n F 1 b 3 Q 7 L C Z x d W 9 0 O 1 N l Y 3 R p b 2 4 x L 0 h S U 1 9 y M i 9 D a G F u Z 2 V k I F R 5 c G U u e 3 I y X 2 l u Y 1 9 z a W 5 n b G V f U 0 J h e W V z U m x v d 2 V y L D V 9 J n F 1 b 3 Q 7 L C Z x d W 9 0 O 1 N l Y 3 R p b 2 4 x L 0 h S U 1 9 y M i 9 D a G F u Z 2 V k I F R 5 c G U u e 3 I y X 2 l u Y 1 9 z a W 5 n b G V f U 0 J h e W V z U n V w c G V y L D Z 9 J n F 1 b 3 Q 7 L C Z x d W 9 0 O 1 N l Y 3 R p b 2 4 x L 0 h S U 1 9 y M i 9 D a G F u Z 2 V k I F R 5 c G U u e 3 I y X 2 l u Y 1 9 z a W 5 n b G V f T E R w c m V k b G 9 3 Z X I s N 3 0 m c X V v d D s s J n F 1 b 3 Q 7 U 2 V j d G l v b j E v S F J T X 3 I y L 0 N o Y W 5 n Z W Q g V H l w Z S 5 7 c j J f a W 5 j X 3 N p b m d s Z V 9 M R H B y Z W R 1 c H B l c i w 4 f S Z x d W 9 0 O y w m c X V v d D t T Z W N 0 a W 9 u M S 9 I U l N f c j I v Q 2 h h b m d l Z C B U e X B l L n t y M l 9 k a W Z m X 3 N p b m d s Z V 9 T Q m F 5 Z X N S X 3 N p b m d s Z V 9 M R H B y Z W R f b G 9 3 Z X I s O X 0 m c X V v d D s s J n F 1 b 3 Q 7 U 2 V j d G l v b j E v S F J T X 3 I y L 0 N o Y W 5 n Z W Q g V H l w Z S 5 7 c j J f Z G l m Z l 9 z a W 5 n b G V f U 0 J h e W V z U l 9 z a W 5 n b G V f T E R w c m V k X 3 V w c G V y L D E w f S Z x d W 9 0 O y w m c X V v d D t T Z W N 0 a W 9 u M S 9 I U l N f c j I v Q 2 h h b m d l Z C B U e X B l L n t O L D E x f S Z x d W 9 0 O 1 0 s J n F 1 b 3 Q 7 Q 2 9 s d W 1 u Q 2 9 1 b n Q m c X V v d D s 6 M T I s J n F 1 b 3 Q 7 S 2 V 5 Q 2 9 s d W 1 u T m F t Z X M m c X V v d D s 6 W 1 0 s J n F 1 b 3 Q 7 Q 2 9 s d W 1 u S W R l b n R p d G l l c y Z x d W 9 0 O z p b J n F 1 b 3 Q 7 U 2 V j d G l v b j E v S F J T X 3 I y L 0 N o Y W 5 n Z W Q g V H l w Z S 5 7 c G h l b m 9 0 e X B l L D B 9 J n F 1 b 3 Q 7 L C Z x d W 9 0 O 1 N l Y 3 R p b 2 4 x L 0 h S U 1 9 y M i 9 D a G F u Z 2 V k I F R 5 c G U u e 3 I y X 2 5 v X 3 N j b 3 J l L D F 9 J n F 1 b 3 Q 7 L C Z x d W 9 0 O 1 N l Y 3 R p b 2 4 x L 0 h S U 1 9 y M i 9 D a G F u Z 2 V k I F R 5 c G U u e 3 I y X 2 l u Y 1 9 z a W 5 n b G V f U 0 J h e W V z U i w y f S Z x d W 9 0 O y w m c X V v d D t T Z W N 0 a W 9 u M S 9 I U l N f c j I v Q 2 h h b m d l Z C B U e X B l L n t y M l 9 p b m N f c 2 l u Z 2 x l X 0 x E c H J l Z C w z f S Z x d W 9 0 O y w m c X V v d D t T Z W N 0 a W 9 u M S 9 I U l N f c j I v Q 2 h h b m d l Z C B U e X B l L n t y M l 9 k a W Z m X 3 N p b m d s Z V 9 T Q m F 5 Z X N S X 3 N p b m d s Z V 9 M R H B y Z W Q s N H 0 m c X V v d D s s J n F 1 b 3 Q 7 U 2 V j d G l v b j E v S F J T X 3 I y L 0 N o Y W 5 n Z W Q g V H l w Z S 5 7 c j J f a W 5 j X 3 N p b m d s Z V 9 T Q m F 5 Z X N S b G 9 3 Z X I s N X 0 m c X V v d D s s J n F 1 b 3 Q 7 U 2 V j d G l v b j E v S F J T X 3 I y L 0 N o Y W 5 n Z W Q g V H l w Z S 5 7 c j J f a W 5 j X 3 N p b m d s Z V 9 T Q m F 5 Z X N S d X B w Z X I s N n 0 m c X V v d D s s J n F 1 b 3 Q 7 U 2 V j d G l v b j E v S F J T X 3 I y L 0 N o Y W 5 n Z W Q g V H l w Z S 5 7 c j J f a W 5 j X 3 N p b m d s Z V 9 M R H B y Z W R s b 3 d l c i w 3 f S Z x d W 9 0 O y w m c X V v d D t T Z W N 0 a W 9 u M S 9 I U l N f c j I v Q 2 h h b m d l Z C B U e X B l L n t y M l 9 p b m N f c 2 l u Z 2 x l X 0 x E c H J l Z H V w c G V y L D h 9 J n F 1 b 3 Q 7 L C Z x d W 9 0 O 1 N l Y 3 R p b 2 4 x L 0 h S U 1 9 y M i 9 D a G F u Z 2 V k I F R 5 c G U u e 3 I y X 2 R p Z m Z f c 2 l u Z 2 x l X 1 N C Y X l l c 1 J f c 2 l u Z 2 x l X 0 x E c H J l Z F 9 s b 3 d l c i w 5 f S Z x d W 9 0 O y w m c X V v d D t T Z W N 0 a W 9 u M S 9 I U l N f c j I v Q 2 h h b m d l Z C B U e X B l L n t y M l 9 k a W Z m X 3 N p b m d s Z V 9 T Q m F 5 Z X N S X 3 N p b m d s Z V 9 M R H B y Z W R f d X B w Z X I s M T B 9 J n F 1 b 3 Q 7 L C Z x d W 9 0 O 1 N l Y 3 R p b 2 4 x L 0 h S U 1 9 y M i 9 D a G F u Z 2 V k I F R 5 c G U u e 0 4 s M T F 9 J n F 1 b 3 Q 7 X S w m c X V v d D t S Z W x h d G l v b n N o a X B J b m Z v J n F 1 b 3 Q 7 O l t d f S I g L z 4 8 L 1 N 0 Y W J s Z U V u d H J p Z X M + P C 9 J d G V t P j x J d G V t P j x J d G V t T G 9 j Y X R p b 2 4 + P E l 0 Z W 1 U e X B l P k Z v c m 1 1 b G E 8 L 0 l 0 Z W 1 U e X B l P j x J d G V t U G F 0 a D 5 T Z W N 0 a W 9 u M S 9 I U l N f c j I v U 2 9 1 c m N l P C 9 J d G V t U G F 0 a D 4 8 L 0 l 0 Z W 1 M b 2 N h d G l v b j 4 8 U 3 R h Y m x l R W 5 0 c m l l c y A v P j w v S X R l b T 4 8 S X R l b T 4 8 S X R l b U x v Y 2 F 0 a W 9 u P j x J d G V t V H l w Z T 5 G b 3 J t d W x h P C 9 J d G V t V H l w Z T 4 8 S X R l b V B h d G g + U 2 V j d G l v b j E v S F J T X 3 I y L 1 B y b 2 1 v d G V k J T I w S G V h Z G V y c z w v S X R l b V B h d G g + P C 9 J d G V t T G 9 j Y X R p b 2 4 + P F N 0 Y W J s Z U V u d H J p Z X M g L z 4 8 L 0 l 0 Z W 0 + P E l 0 Z W 0 + P E l 0 Z W 1 M b 2 N h d G l v b j 4 8 S X R l b V R 5 c G U + R m 9 y b X V s Y T w v S X R l b V R 5 c G U + P E l 0 Z W 1 Q Y X R o P l N l Y 3 R p b 2 4 x L 0 h S U 1 9 y M i 9 D a G F u Z 2 V k J T I w V H l w Z T w v S X R l b V B h d G g + P C 9 J d G V t T G 9 j Y X R p b 2 4 + P F N 0 Y W J s Z U V u d H J p Z X M g L z 4 8 L 0 l 0 Z W 0 + P C 9 J d G V t c z 4 8 L 0 x v Y 2 F s U G F j a 2 F n Z U 1 l d G F k Y X R h R m l s Z T 4 W A A A A U E s F B g A A A A A A A A A A A A A A A A A A A A A A A C Y B A A A B A A A A 0 I y d 3 w E V 0 R G M e g D A T 8 K X 6 w E A A A C F N t J u W 3 q U T Y a V 7 t y f K s p e A A A A A A I A A A A A A B B m A A A A A Q A A I A A A A M V v 3 S H z s R H r / 3 6 d B + H P B m P U m u X J W H 5 i t 7 d b 6 m y S e j G F A A A A A A 6 A A A A A A g A A I A A A A L B + 7 n c M v f p A Y D L d e j Z H F Q b c v x 1 3 M y r b E 7 v F A 4 H 1 8 u I o U A A A A N U 4 r f 8 + c V 1 X 6 3 m d e k 4 g v c l B M R v H E v 8 C X j F d x c v Z e x r D 3 N 0 8 7 g P s k Y c 7 Q s 1 9 O u n t 9 t M F 2 L 9 K + g 5 C a J x q 1 R 0 U 8 m 2 J N l a 5 0 S / L G Z Y 3 F z / i y u h E Q A A A A B o 6 X 3 I z 6 A Z r 1 r t 1 E I e S X S D l D y i o k W F X i U 7 g 9 t m f C a 1 2 R j D / c 3 n b u k O g x X f C K 6 X G R 7 k O S P r 1 g M M z 3 W c N a K C b 3 q c = < / D a t a M a s h u p > 
</file>

<file path=customXml/itemProps1.xml><?xml version="1.0" encoding="utf-8"?>
<ds:datastoreItem xmlns:ds="http://schemas.openxmlformats.org/officeDocument/2006/customXml" ds:itemID="{59E481FA-730B-4D57-A894-D5E9D78524B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1. E(R2)</vt:lpstr>
      <vt:lpstr>2. UKB GWAS</vt:lpstr>
      <vt:lpstr>3. Prediction results</vt:lpstr>
      <vt:lpstr>4. Parental PGI results</vt:lpstr>
      <vt:lpstr>5.Mostafavi Replication</vt:lpstr>
      <vt:lpstr>6. Dataset details</vt:lpstr>
      <vt:lpstr>7. 23andMe GWAS</vt:lpstr>
      <vt:lpstr>8. SNP filtering</vt:lpstr>
      <vt:lpstr>9. Within-pheno h2</vt:lpstr>
      <vt:lpstr>10. Within-pheno rg</vt:lpstr>
      <vt:lpstr>11. Input GWAS meta-analyses</vt:lpstr>
      <vt:lpstr>12. Cross-pheno rg</vt:lpstr>
      <vt:lpstr>13. Neff filter</vt:lpstr>
      <vt:lpstr>14. Validation phenotypes</vt:lpstr>
      <vt:lpstr>15. Descriptives</vt:lpstr>
      <vt:lpstr>16. Parental genotype imputatio</vt:lpstr>
      <vt:lpstr>17. Parental PGI QC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Aysu Okbay</dc:creator>
  <cp:lastModifiedBy>Aysu Okbay</cp:lastModifiedBy>
  <dcterms:created xsi:type="dcterms:W3CDTF">2024-01-09T14:59:55Z</dcterms:created>
  <dcterms:modified xsi:type="dcterms:W3CDTF">2025-08-03T11:53:00Z</dcterms:modified>
</cp:coreProperties>
</file>