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babshava\Dropbox\DAEMON\Health and sport\Paper\Final version\"/>
    </mc:Choice>
  </mc:AlternateContent>
  <bookViews>
    <workbookView xWindow="0" yWindow="0" windowWidth="19160" windowHeight="6580" activeTab="1"/>
  </bookViews>
  <sheets>
    <sheet name="SelectedPapers" sheetId="2" r:id="rId1"/>
    <sheet name="Data4code" sheetId="7" r:id="rId2"/>
  </sheets>
  <calcPr calcId="162913"/>
</workbook>
</file>

<file path=xl/calcChain.xml><?xml version="1.0" encoding="utf-8"?>
<calcChain xmlns="http://schemas.openxmlformats.org/spreadsheetml/2006/main">
  <c r="U85" i="2" l="1"/>
  <c r="U84" i="2"/>
  <c r="U83" i="2"/>
  <c r="U82" i="2"/>
  <c r="U81" i="2"/>
  <c r="U80" i="2"/>
  <c r="U79" i="2"/>
  <c r="U78" i="2"/>
  <c r="U63" i="2"/>
  <c r="U62" i="2"/>
  <c r="U61" i="2"/>
  <c r="U60" i="2"/>
  <c r="U59" i="2"/>
  <c r="U58" i="2"/>
  <c r="U53" i="2"/>
  <c r="U52" i="2"/>
  <c r="U51" i="2"/>
  <c r="U50" i="2"/>
  <c r="U49" i="2"/>
  <c r="U48" i="2"/>
  <c r="U47" i="2"/>
  <c r="U46" i="2"/>
  <c r="U45" i="2"/>
  <c r="U44" i="2"/>
  <c r="U39" i="2"/>
  <c r="U38" i="2"/>
  <c r="U37" i="2"/>
  <c r="U36" i="2"/>
  <c r="U35" i="2"/>
  <c r="U34" i="2"/>
  <c r="U16" i="2"/>
  <c r="U15" i="2"/>
  <c r="U17" i="2"/>
  <c r="U13" i="2"/>
  <c r="U12" i="2"/>
  <c r="E32" i="7" l="1"/>
  <c r="D32" i="7"/>
  <c r="E31" i="7"/>
  <c r="D31" i="7"/>
  <c r="E30" i="7"/>
  <c r="D30" i="7"/>
  <c r="E29" i="7"/>
  <c r="D29" i="7"/>
  <c r="E28" i="7"/>
  <c r="D28" i="7"/>
  <c r="E27" i="7"/>
  <c r="D27" i="7"/>
  <c r="E26" i="7"/>
  <c r="D26" i="7"/>
  <c r="E25" i="7"/>
  <c r="D25" i="7"/>
  <c r="E24" i="7"/>
  <c r="D24" i="7"/>
  <c r="E23" i="7"/>
  <c r="D23" i="7"/>
  <c r="E22" i="7"/>
  <c r="D22" i="7"/>
  <c r="E21" i="7"/>
  <c r="D21" i="7"/>
  <c r="E20" i="7"/>
  <c r="D20" i="7"/>
  <c r="E19" i="7"/>
  <c r="D19" i="7"/>
  <c r="E18" i="7"/>
  <c r="D18" i="7"/>
  <c r="E17" i="7"/>
  <c r="D17" i="7"/>
  <c r="E16" i="7"/>
  <c r="D16" i="7"/>
  <c r="E15" i="7"/>
  <c r="D15" i="7"/>
  <c r="E14" i="7"/>
  <c r="D14" i="7"/>
  <c r="E13" i="7"/>
  <c r="D13" i="7"/>
  <c r="E12" i="7"/>
  <c r="D12" i="7"/>
  <c r="E11" i="7"/>
  <c r="D11" i="7"/>
  <c r="E10" i="7"/>
  <c r="D10" i="7"/>
  <c r="E9" i="7"/>
  <c r="D9" i="7"/>
  <c r="E8" i="7"/>
  <c r="D8" i="7"/>
  <c r="E7" i="7"/>
  <c r="D7" i="7"/>
  <c r="E6" i="7"/>
  <c r="D6" i="7"/>
  <c r="E5" i="7"/>
  <c r="D5" i="7"/>
  <c r="E4" i="7"/>
  <c r="D4" i="7"/>
  <c r="E3" i="7"/>
  <c r="D3" i="7"/>
  <c r="E2" i="7"/>
  <c r="D2" i="7"/>
</calcChain>
</file>

<file path=xl/sharedStrings.xml><?xml version="1.0" encoding="utf-8"?>
<sst xmlns="http://schemas.openxmlformats.org/spreadsheetml/2006/main" count="1165" uniqueCount="735">
  <si>
    <t>No</t>
  </si>
  <si>
    <t>Reference</t>
  </si>
  <si>
    <t>P. Year</t>
  </si>
  <si>
    <t>Group</t>
  </si>
  <si>
    <t>Therapy (Supervised?)</t>
  </si>
  <si>
    <t>Category</t>
  </si>
  <si>
    <t># of sessions</t>
  </si>
  <si>
    <t>Length of each session</t>
  </si>
  <si>
    <t>Supervised(N/IS/GS)</t>
  </si>
  <si>
    <t>Age</t>
  </si>
  <si>
    <t>BMI</t>
  </si>
  <si>
    <t>Weight (kg)</t>
  </si>
  <si>
    <t>Height (m)</t>
  </si>
  <si>
    <t>Number</t>
  </si>
  <si>
    <t>Pain</t>
  </si>
  <si>
    <t>Function</t>
  </si>
  <si>
    <t>Performance</t>
  </si>
  <si>
    <t>QoL</t>
  </si>
  <si>
    <t>M</t>
  </si>
  <si>
    <t>F</t>
  </si>
  <si>
    <t>Total</t>
  </si>
  <si>
    <t>Time</t>
  </si>
  <si>
    <t>Test</t>
  </si>
  <si>
    <t>Value [Mean(std)]</t>
  </si>
  <si>
    <t>Value</t>
  </si>
  <si>
    <t>An</t>
  </si>
  <si>
    <t>Exercise</t>
  </si>
  <si>
    <t>Baduanjin (traditional Chinese exercise) (Y)</t>
  </si>
  <si>
    <t>65.4   ± (8.2)</t>
  </si>
  <si>
    <t>25.7  ± ( 2.9)</t>
  </si>
  <si>
    <t>-</t>
  </si>
  <si>
    <t>Baseline</t>
  </si>
  <si>
    <t>150.0(99.7)</t>
  </si>
  <si>
    <t>WOMAC</t>
  </si>
  <si>
    <t>406.4(330.8)</t>
  </si>
  <si>
    <t>6MWT (m)</t>
  </si>
  <si>
    <t>541.8(114.2)</t>
  </si>
  <si>
    <t>SF-36 Mental health (0-100)</t>
  </si>
  <si>
    <t>68.6(10.5)</t>
  </si>
  <si>
    <t>8 weeks</t>
  </si>
  <si>
    <t>71.1(110.1)</t>
  </si>
  <si>
    <t>347.5(382.8)</t>
  </si>
  <si>
    <t>605.8(128.2)</t>
  </si>
  <si>
    <t>76.4(15.3)</t>
  </si>
  <si>
    <t>Control</t>
  </si>
  <si>
    <t>No treatment</t>
  </si>
  <si>
    <t>64.6  ± ( 6.7)</t>
  </si>
  <si>
    <t>25.4 ±(2.9)</t>
  </si>
  <si>
    <t>116.8(74.5)</t>
  </si>
  <si>
    <t>291.4(196.0)</t>
  </si>
  <si>
    <t>539.5(144.2)</t>
  </si>
  <si>
    <t>67.5(12.3)</t>
  </si>
  <si>
    <t>138.2(112.6)</t>
  </si>
  <si>
    <t>511.8(381.6)</t>
  </si>
  <si>
    <t>539.0(124.3)</t>
  </si>
  <si>
    <t>67.0(8.2)</t>
  </si>
  <si>
    <t>Bennell</t>
  </si>
  <si>
    <t>64.5 (9.1)</t>
  </si>
  <si>
    <t>27.5 (4.7)</t>
  </si>
  <si>
    <t>WOMAC (0-20)</t>
  </si>
  <si>
    <t>7.7(3.0)</t>
  </si>
  <si>
    <t>WOMAC (0-68)</t>
  </si>
  <si>
    <t>24.8(10.9)</t>
  </si>
  <si>
    <t>Timed stair task (s)</t>
  </si>
  <si>
    <t>8.0(2.7)</t>
  </si>
  <si>
    <t>4.9(3.3)</t>
  </si>
  <si>
    <t>16.2(11.7)</t>
  </si>
  <si>
    <t>7.0(2.2)</t>
  </si>
  <si>
    <t>No intervention</t>
  </si>
  <si>
    <t>64.6 (7.6)</t>
  </si>
  <si>
    <t>28.4(4.1)</t>
  </si>
  <si>
    <t>6.9(3.3)</t>
  </si>
  <si>
    <t>23.7(11.8)</t>
  </si>
  <si>
    <t>8.2(2.3)</t>
  </si>
  <si>
    <t>6.5(3.3)</t>
  </si>
  <si>
    <t>21.9(11.0)</t>
  </si>
  <si>
    <t>7.9(1.8)</t>
  </si>
  <si>
    <t>Braghin</t>
  </si>
  <si>
    <t>Symptomatic</t>
  </si>
  <si>
    <t>Mixed (Y)</t>
  </si>
  <si>
    <t>59.42 ±(8.06)</t>
  </si>
  <si>
    <t>30.21 ±(4.63)</t>
  </si>
  <si>
    <t>78.92 +(12.41)</t>
  </si>
  <si>
    <t>1.62 +-(.09)</t>
  </si>
  <si>
    <t xml:space="preserve">WOMAC </t>
  </si>
  <si>
    <t>31.33(21.41)</t>
  </si>
  <si>
    <t>25.78 (16.77)</t>
  </si>
  <si>
    <t>Timed movement (s)</t>
  </si>
  <si>
    <t>?</t>
  </si>
  <si>
    <t>8 (8.52)</t>
  </si>
  <si>
    <t>6.96 (8.08)</t>
  </si>
  <si>
    <t>Asymptomatic</t>
  </si>
  <si>
    <t>65 ±5.06)</t>
  </si>
  <si>
    <t>27.67 ±(4.13)</t>
  </si>
  <si>
    <t>73.82 +-(16.36)</t>
  </si>
  <si>
    <t>1.63 +-(.08)</t>
  </si>
  <si>
    <t>2.94 (4.51)</t>
  </si>
  <si>
    <t>0.91(2.02)</t>
  </si>
  <si>
    <t>2.41 (5.39)</t>
  </si>
  <si>
    <t>Usual care</t>
  </si>
  <si>
    <t>60.19 ±(9.28)</t>
  </si>
  <si>
    <t>31.1 ±(6.96)</t>
  </si>
  <si>
    <t>78.44 +-(17.25)</t>
  </si>
  <si>
    <t>1.59 +-(.09)</t>
  </si>
  <si>
    <t>15.63(28.39)</t>
  </si>
  <si>
    <t>14.43 (26.07)</t>
  </si>
  <si>
    <t>20.94(23.47)</t>
  </si>
  <si>
    <t>13.88 (21.35)</t>
  </si>
  <si>
    <t>Cheung</t>
  </si>
  <si>
    <t>71.9 (69.3, 74.6)</t>
  </si>
  <si>
    <t>29.1 (26.7, 31.7)</t>
  </si>
  <si>
    <t>9.3(4.0)</t>
  </si>
  <si>
    <t>35.0(11.8)</t>
  </si>
  <si>
    <t>8 min walk (m)</t>
  </si>
  <si>
    <t>3.3(.67)</t>
  </si>
  <si>
    <t>SF12 MCS (0-100)</t>
  </si>
  <si>
    <t>51.0(5.7)</t>
  </si>
  <si>
    <t>week 8</t>
  </si>
  <si>
    <t>5.8(.67)</t>
  </si>
  <si>
    <t>22.0(2.3)</t>
  </si>
  <si>
    <t>3.5(.16)</t>
  </si>
  <si>
    <t>49.7(1.2)</t>
  </si>
  <si>
    <t>71.9 (69.0, 75.0)</t>
  </si>
  <si>
    <t>28.8 (26.0, 31.7)</t>
  </si>
  <si>
    <t>7.7(4.2)</t>
  </si>
  <si>
    <t>27.1(15.2)</t>
  </si>
  <si>
    <t>3.0(1.1)</t>
  </si>
  <si>
    <t>53.4(4.8)</t>
  </si>
  <si>
    <t>8.3(.67)</t>
  </si>
  <si>
    <t>26.2(2.3)</t>
  </si>
  <si>
    <t>3.1(.16)</t>
  </si>
  <si>
    <t>51.7(1.2)</t>
  </si>
  <si>
    <t>Jorge</t>
  </si>
  <si>
    <t>progressive resistance exercise (PRE) (Y)</t>
  </si>
  <si>
    <t>61.7 ± 6.4</t>
  </si>
  <si>
    <t>30.6 ± 5.75</t>
  </si>
  <si>
    <t>9.0 ± 2.9</t>
  </si>
  <si>
    <t xml:space="preserve"> 27.7 ± 9.3</t>
  </si>
  <si>
    <t>357.1 ± 56.9</t>
  </si>
  <si>
    <t>67.9 ± 19.9</t>
  </si>
  <si>
    <t xml:space="preserve"> 6-weeks</t>
  </si>
  <si>
    <t>6.2 ± 4.0</t>
  </si>
  <si>
    <t>23.0 ± 10.2</t>
  </si>
  <si>
    <t>355.0 ± 66.9</t>
  </si>
  <si>
    <t>72.0 ± 17.8</t>
  </si>
  <si>
    <t>12-week</t>
  </si>
  <si>
    <t>4.9 ± 4.2</t>
  </si>
  <si>
    <t>17.3 ± 12.4</t>
  </si>
  <si>
    <t>369.5 ± 60.8</t>
  </si>
  <si>
    <t>76.4 ± 18.7</t>
  </si>
  <si>
    <t>Usual care ( Acetaminophen use)</t>
  </si>
  <si>
    <t>59.9 ± 7.5</t>
  </si>
  <si>
    <t>31.4 ± 4.42</t>
  </si>
  <si>
    <t xml:space="preserve"> 9.3 ± 3.3</t>
  </si>
  <si>
    <t>28.4 ± 10.6</t>
  </si>
  <si>
    <t>330.2 ± 55.9</t>
  </si>
  <si>
    <t>61.5 ± 21.3</t>
  </si>
  <si>
    <t>6-weeks</t>
  </si>
  <si>
    <t xml:space="preserve"> 9.6 ± 2.5</t>
  </si>
  <si>
    <t>27.0 ± 9.7</t>
  </si>
  <si>
    <t>339.4 ± 47.5</t>
  </si>
  <si>
    <t>55.9 ± 23.7</t>
  </si>
  <si>
    <t>9.5 ± 3.2</t>
  </si>
  <si>
    <t>26.7 ± 10.2</t>
  </si>
  <si>
    <t>343.1 ± 54.7</t>
  </si>
  <si>
    <t>59.5 ± 21.2</t>
  </si>
  <si>
    <t>[Changes]</t>
  </si>
  <si>
    <t>Topp</t>
  </si>
  <si>
    <t>Isometric</t>
  </si>
  <si>
    <t>Strength exercises (semi-supervised)</t>
  </si>
  <si>
    <t>63.53 ±(1.90)</t>
  </si>
  <si>
    <t>195.19 ±(7.46)</t>
  </si>
  <si>
    <t>11.75(0.57)</t>
  </si>
  <si>
    <t>38.13(1.93)</t>
  </si>
  <si>
    <t>Upstairs (s)</t>
  </si>
  <si>
    <t>17.99(1.42)</t>
  </si>
  <si>
    <t>16-weeks</t>
  </si>
  <si>
    <t>10.38 (0.56)</t>
  </si>
  <si>
    <t>35.97(1.91)</t>
  </si>
  <si>
    <t>15.15(1.24)</t>
  </si>
  <si>
    <t>Dynamic</t>
  </si>
  <si>
    <t>65.57 ±(1.82)</t>
  </si>
  <si>
    <t>199.49 ±(7.13)</t>
  </si>
  <si>
    <t>12.40(0.54)</t>
  </si>
  <si>
    <t>41.09(1.85)</t>
  </si>
  <si>
    <t>18.85(1.35)</t>
  </si>
  <si>
    <t>10.71(0.53)</t>
  </si>
  <si>
    <t>35.30(1.83)</t>
  </si>
  <si>
    <t>16.33(1.19)</t>
  </si>
  <si>
    <t>60.94 ±(1.82)</t>
  </si>
  <si>
    <t>195.31 ±(7.14)</t>
  </si>
  <si>
    <t>10.75(0.54)</t>
  </si>
  <si>
    <t>38.87(1.85)</t>
  </si>
  <si>
    <t>10.77(0.54)</t>
  </si>
  <si>
    <t>39.70(1.83)</t>
  </si>
  <si>
    <t>17.53(1.19)</t>
  </si>
  <si>
    <t>Fransen</t>
  </si>
  <si>
    <t>Individual training(Y)</t>
  </si>
  <si>
    <t>WOMAC (0-100)</t>
  </si>
  <si>
    <t>Fast walking speed (cm/s)</t>
  </si>
  <si>
    <t xml:space="preserve"> 8-weeks</t>
  </si>
  <si>
    <t>Group training (Y)</t>
  </si>
  <si>
    <t>66.1 (10.3)</t>
  </si>
  <si>
    <t>28.3 (4.5)</t>
  </si>
  <si>
    <t>65.8 (19.4)</t>
  </si>
  <si>
    <t>60.0 (20.5)</t>
  </si>
  <si>
    <t>127.8 (24.1)</t>
  </si>
  <si>
    <t xml:space="preserve"> 42.9 (7.0)</t>
  </si>
  <si>
    <t>8-weeks</t>
  </si>
  <si>
    <t xml:space="preserve"> –1.5 (–5.5, 2.4) </t>
  </si>
  <si>
    <t>–0.1 (–3.9, 3.7)</t>
  </si>
  <si>
    <t xml:space="preserve"> 0.4 (–1.3, 2.1)</t>
  </si>
  <si>
    <t>–0.7 (–1.8, 0.5)</t>
  </si>
  <si>
    <t>Wallis</t>
  </si>
  <si>
    <t>68(8)</t>
  </si>
  <si>
    <t>34(5)</t>
  </si>
  <si>
    <t>11(2.3)</t>
  </si>
  <si>
    <t>37(10)</t>
  </si>
  <si>
    <t>40 m walk test (m/s)</t>
  </si>
  <si>
    <t>1.3(0.3)</t>
  </si>
  <si>
    <t>EQ5D (0-1)</t>
  </si>
  <si>
    <t>0.54(0.2)</t>
  </si>
  <si>
    <t>12-weeks</t>
  </si>
  <si>
    <t>11(3.3)</t>
  </si>
  <si>
    <t>38(9)</t>
  </si>
  <si>
    <t>1.3(0.4)</t>
  </si>
  <si>
    <t>0.63(0.2)</t>
  </si>
  <si>
    <t>67(7)</t>
  </si>
  <si>
    <t>34(7)</t>
  </si>
  <si>
    <t>8.8(3.2)</t>
  </si>
  <si>
    <t>34(9)</t>
  </si>
  <si>
    <t>1.2(0.4)</t>
  </si>
  <si>
    <t>0.64(0.2)</t>
  </si>
  <si>
    <t>9.7(2.9)</t>
  </si>
  <si>
    <t>34(11)</t>
  </si>
  <si>
    <t>1.1(0.3)</t>
  </si>
  <si>
    <t>0.62(0.2)</t>
  </si>
  <si>
    <t>66.7 (10.1)</t>
  </si>
  <si>
    <t>60.7 (21.3)</t>
  </si>
  <si>
    <t xml:space="preserve"> 58.7 (21.1) </t>
  </si>
  <si>
    <t>125.4 (28.1)</t>
  </si>
  <si>
    <t>43.1 (8.0)</t>
  </si>
  <si>
    <t xml:space="preserve">7.7 (3.0, 12.4) </t>
  </si>
  <si>
    <t xml:space="preserve"> 6.6 (2.7, 10.5) </t>
  </si>
  <si>
    <t xml:space="preserve">1.6 (0.5, 6.7)  </t>
  </si>
  <si>
    <t xml:space="preserve">1.6 (0.2, 2.9) </t>
  </si>
  <si>
    <t>66.8 (7.5)</t>
  </si>
  <si>
    <t>163.0 (8.5)</t>
  </si>
  <si>
    <t>62.7 (18.4)</t>
  </si>
  <si>
    <t>62.1 (19.7)</t>
  </si>
  <si>
    <t xml:space="preserve"> 133.3 (22.7)</t>
  </si>
  <si>
    <t>43.5 (7.3)</t>
  </si>
  <si>
    <t>11.4 (6.7, 16.0)</t>
  </si>
  <si>
    <t>8.5 (4.5, 12.5)</t>
  </si>
  <si>
    <t>6.3 (3.7, 8.9)</t>
  </si>
  <si>
    <t xml:space="preserve"> 2.1 (0.8, 3.4)</t>
  </si>
  <si>
    <t>Wortley</t>
  </si>
  <si>
    <t>Resistance training</t>
  </si>
  <si>
    <t>69.5 ±(6.7)</t>
  </si>
  <si>
    <t>30.5 ±(6.0)</t>
  </si>
  <si>
    <t>155 ± 110</t>
  </si>
  <si>
    <t>464 ± 265</t>
  </si>
  <si>
    <t>459.7 ± 72.2</t>
  </si>
  <si>
    <t>10-weeks</t>
  </si>
  <si>
    <t>71 ± 100</t>
  </si>
  <si>
    <t>240 ± 249</t>
  </si>
  <si>
    <t>473.8 ± 55.4</t>
  </si>
  <si>
    <t>Tai Ji (Y)</t>
  </si>
  <si>
    <t>68.1 ±(5.3)</t>
  </si>
  <si>
    <t>35.1±(5.9)</t>
  </si>
  <si>
    <t>169 ± 135</t>
  </si>
  <si>
    <t>694 ± 361</t>
  </si>
  <si>
    <t>421.2 ± 77.4</t>
  </si>
  <si>
    <t>141 ± 107</t>
  </si>
  <si>
    <t>552 ± 392</t>
  </si>
  <si>
    <t>431.6 ± 67.3</t>
  </si>
  <si>
    <t>70.5 ±(5.0)</t>
  </si>
  <si>
    <t>30.0 ±(6.2)</t>
  </si>
  <si>
    <t>170 ± 86</t>
  </si>
  <si>
    <t>547 ± 396</t>
  </si>
  <si>
    <t>501.9 ± 114.0</t>
  </si>
  <si>
    <t>157 ± 96</t>
  </si>
  <si>
    <t>475 ± 282</t>
  </si>
  <si>
    <t>507.2 ± 118.7</t>
  </si>
  <si>
    <t>Salacinski</t>
  </si>
  <si>
    <t>Cycling(Y)</t>
  </si>
  <si>
    <t>55.1 (10.5)</t>
  </si>
  <si>
    <t>22.4(3.3)</t>
  </si>
  <si>
    <t>70.8 (13.0)</t>
  </si>
  <si>
    <t>72.3 (17.9)</t>
  </si>
  <si>
    <t>Walking (max) speed (cm/s)</t>
  </si>
  <si>
    <t>194.4 (24.7)</t>
  </si>
  <si>
    <t>48.6 (15.3)</t>
  </si>
  <si>
    <t xml:space="preserve"> 12-weeks</t>
  </si>
  <si>
    <t>81.4 (13.4)</t>
  </si>
  <si>
    <t>84.2 (13.9)</t>
  </si>
  <si>
    <t>206.1 (27.7)</t>
  </si>
  <si>
    <t>59.2 (17.6)</t>
  </si>
  <si>
    <t>60.6 (8.4)</t>
  </si>
  <si>
    <t>25.7 (6.3)</t>
  </si>
  <si>
    <t xml:space="preserve"> 70.0 (16.7)</t>
  </si>
  <si>
    <t>70.3 (15.8)</t>
  </si>
  <si>
    <t>170.5 (28.4)</t>
  </si>
  <si>
    <t xml:space="preserve"> 42.9 (21.1 )</t>
  </si>
  <si>
    <t>65.7 (15.9)</t>
  </si>
  <si>
    <t>71.1 (16.2)</t>
  </si>
  <si>
    <t>172.8 (27.8)</t>
  </si>
  <si>
    <t>46.7 (22.6)</t>
  </si>
  <si>
    <t>28.9 ± 4.5</t>
  </si>
  <si>
    <t>Simão</t>
  </si>
  <si>
    <t>Platform group</t>
  </si>
  <si>
    <t>75 ± 7.4</t>
  </si>
  <si>
    <t>27.4 ± 9.7</t>
  </si>
  <si>
    <t>74.2 ± 10.7</t>
  </si>
  <si>
    <t>1.56 ± 0.05</t>
  </si>
  <si>
    <t>WOMAC (0-500)</t>
  </si>
  <si>
    <t>175.0 (75–275)</t>
  </si>
  <si>
    <t>WOMAC (0-1700)</t>
  </si>
  <si>
    <t>725 (350–1000)</t>
  </si>
  <si>
    <t>438.0 (412–522)</t>
  </si>
  <si>
    <t>312.5 (238–400)</t>
  </si>
  <si>
    <t>975 (600–1325)</t>
  </si>
  <si>
    <t>415.7 (377–488)</t>
  </si>
  <si>
    <t>Squat group</t>
  </si>
  <si>
    <t>69 ± 3.7</t>
  </si>
  <si>
    <t>29.8 ± 2.53</t>
  </si>
  <si>
    <t>73.4 ± 9.7</t>
  </si>
  <si>
    <t>1.57 ± 0.08</t>
  </si>
  <si>
    <t>275.0 (150–350)</t>
  </si>
  <si>
    <t>847.5 (387.5–1088)</t>
  </si>
  <si>
    <t>410.6 (379–444)</t>
  </si>
  <si>
    <t>150.0 (75–250)</t>
  </si>
  <si>
    <t>900 (737.5–1213)</t>
  </si>
  <si>
    <t>392.0 (361–454)</t>
  </si>
  <si>
    <t>71 ± 5.3</t>
  </si>
  <si>
    <t>26.7 ± 2.74</t>
  </si>
  <si>
    <t>65.1 ± 10.5</t>
  </si>
  <si>
    <t>1.56 ± 0.07</t>
  </si>
  <si>
    <t>175.0 (125–350)</t>
  </si>
  <si>
    <t>650 (450–950)</t>
  </si>
  <si>
    <t>430.0 (397–450)</t>
  </si>
  <si>
    <t>175.0 (100–250)</t>
  </si>
  <si>
    <t>625 (525–675)</t>
  </si>
  <si>
    <t>423.5 (384–443)</t>
  </si>
  <si>
    <t>12 weeks</t>
  </si>
  <si>
    <t>Lee</t>
  </si>
  <si>
    <t>Tai Chi Qigong training(Y)</t>
  </si>
  <si>
    <t>70.2 (4.8)</t>
  </si>
  <si>
    <t>26.0 (3.8)</t>
  </si>
  <si>
    <t>61.3 (10.3)</t>
  </si>
  <si>
    <t>153.2 (6.3)</t>
  </si>
  <si>
    <t>6.8 (4.2)</t>
  </si>
  <si>
    <t>24.2 (14.7)</t>
  </si>
  <si>
    <t>7.5 (1.8)</t>
  </si>
  <si>
    <t>48.0 (17.1)</t>
  </si>
  <si>
    <t>4.6 (4.0)</t>
  </si>
  <si>
    <t xml:space="preserve">14.7 (13.8) </t>
  </si>
  <si>
    <t>5.9 (1.0)</t>
  </si>
  <si>
    <t>67.1 (19.2)</t>
  </si>
  <si>
    <t>66.9 (6.0)</t>
  </si>
  <si>
    <t xml:space="preserve"> 26.0 (2.8)</t>
  </si>
  <si>
    <t>59.1 (5.9)</t>
  </si>
  <si>
    <t>150.9 (6.6)</t>
  </si>
  <si>
    <t>6.1 (3.4)</t>
  </si>
  <si>
    <t xml:space="preserve"> 23.5 (13.4)</t>
  </si>
  <si>
    <t xml:space="preserve">7.0 (1.7) </t>
  </si>
  <si>
    <t>43.4 (11.4)</t>
  </si>
  <si>
    <t>5.9 (3.7)</t>
  </si>
  <si>
    <t>20.8 (15.0)</t>
  </si>
  <si>
    <t>6.7 (1.8)</t>
  </si>
  <si>
    <t>52.4 (17.1)</t>
  </si>
  <si>
    <t>O’Reilly</t>
  </si>
  <si>
    <t>61.94 (10.01)</t>
  </si>
  <si>
    <t>76.61 (24.23)</t>
  </si>
  <si>
    <t>WOMAC(0-20)</t>
  </si>
  <si>
    <t>6.45 (3.50)</t>
  </si>
  <si>
    <t>WOMAC(0-68)</t>
  </si>
  <si>
    <t>20.38 (12.54)</t>
  </si>
  <si>
    <t>Quadriceps strength</t>
  </si>
  <si>
    <t>Right: 23.61 (11.80)    -    Left: 22.23 (11.13)</t>
  </si>
  <si>
    <t>6 months</t>
  </si>
  <si>
    <t>−1.45 (−2.04, −0.86)</t>
  </si>
  <si>
    <t xml:space="preserve">−3.55 (−5.34, −1.75) </t>
  </si>
  <si>
    <t xml:space="preserve"> Right: 1.09( −0.21, 2.40)    -    Left: 0.88 (−0.37, 2.12)</t>
  </si>
  <si>
    <t>−0.21 (−2.77, 2.34)</t>
  </si>
  <si>
    <t>62.15 (9.73)</t>
  </si>
  <si>
    <t>75.79 (16.90)</t>
  </si>
  <si>
    <t>6.75 (2.83)</t>
  </si>
  <si>
    <t>19.51 (11.52)</t>
  </si>
  <si>
    <t>Right: 22.85 (11.99)    -    Left:  22.90 (10.78)</t>
  </si>
  <si>
    <t>(Changes)</t>
  </si>
  <si>
    <t>0.42 (−1.09, 0.25)</t>
  </si>
  <si>
    <t>−0.01 (−1.75, 1.72)</t>
  </si>
  <si>
    <t xml:space="preserve"> Right: −1.13 (−2.54, 0.25)   -    Left: −1.63 (−3.15, −0.10)</t>
  </si>
  <si>
    <t>−2.91 (−6.62, 0.79)</t>
  </si>
  <si>
    <t>Lin</t>
  </si>
  <si>
    <t>Proprioceptive training</t>
  </si>
  <si>
    <t>63.7 ± 8.2 (50-79)</t>
  </si>
  <si>
    <t>62.2 ± 9.6 (56-79)</t>
  </si>
  <si>
    <t>161.3 ± 8.0 (153-170)</t>
  </si>
  <si>
    <t>8.0 ± 3.7</t>
  </si>
  <si>
    <t>23.1 ± 9.4</t>
  </si>
  <si>
    <t>Timed walk (s)</t>
  </si>
  <si>
    <t>Ground level 38.9 ± 7.5 Stair 13.8 ± 3.2 Spongy surface 12.5 ± 2.6</t>
  </si>
  <si>
    <t>4.3 ± 2.3</t>
  </si>
  <si>
    <t>14.6 ± 9.6</t>
  </si>
  <si>
    <t>Ground level  34.8 ± 7.2 Stair 11.0 ± 3.4 Spongy surface 7.6 ± 2.4</t>
  </si>
  <si>
    <t xml:space="preserve"> Strength training </t>
  </si>
  <si>
    <t>61.6 ± 7.2 (50-79)</t>
  </si>
  <si>
    <t>61.4 ± 9.3 (55-78)</t>
  </si>
  <si>
    <t>160.8 ± 9.2 (155-172)</t>
  </si>
  <si>
    <t>8.8 ± 3.6</t>
  </si>
  <si>
    <t>27.3 ± 9.5</t>
  </si>
  <si>
    <t>Ground level 38.2 ± 6.0 Stair 15.7 ± 4.5 Spongy surface 11.9 ± 3.3</t>
  </si>
  <si>
    <t>4.2 ± 3.0</t>
  </si>
  <si>
    <t>10.1 ± 8.3</t>
  </si>
  <si>
    <t>Ground level 35.5 ± 5.3 Stair 10.5 ± 4.2 Spongy surface  9.0 ± 3.4</t>
  </si>
  <si>
    <t>62.2 ± 6.7 (51-76)</t>
  </si>
  <si>
    <t>62.8 ± 10.2 (53-82)</t>
  </si>
  <si>
    <t>159.6 ± 8.8 (152-171)</t>
  </si>
  <si>
    <t xml:space="preserve"> 8.5 ± 4.6</t>
  </si>
  <si>
    <t>24.8 ± 10.7</t>
  </si>
  <si>
    <t>Ground level  38.4 ± 3.5 Stair 16.1 ± 4.3 Spongy surface  12.5 ± 3.0</t>
  </si>
  <si>
    <t>7.3 ± 3.4</t>
  </si>
  <si>
    <t xml:space="preserve"> 24.9 ± 11.8</t>
  </si>
  <si>
    <t>Ground level 38.0 ± 3.8 Stair  16.2 ± 4.5 Spongy surface 12.1 ± 3.2</t>
  </si>
  <si>
    <t>Aglamis</t>
  </si>
  <si>
    <t xml:space="preserve"> aerobic, strength, and ﬂexibility training(Y)</t>
  </si>
  <si>
    <t>56.8 ±6</t>
  </si>
  <si>
    <t>34.2 ±5.1</t>
  </si>
  <si>
    <t>WOMAC (function)</t>
  </si>
  <si>
    <t>5.4 ±1.6</t>
  </si>
  <si>
    <t xml:space="preserve">54.4 ±3 </t>
  </si>
  <si>
    <t>32.1 ±4.6</t>
  </si>
  <si>
    <t>6.4 ±1.2</t>
  </si>
  <si>
    <t>Lim</t>
  </si>
  <si>
    <t>Strengthening group(Y) - Malaligned</t>
  </si>
  <si>
    <t>67.2 ± 6.7</t>
  </si>
  <si>
    <t>28.2 ± 3.7</t>
  </si>
  <si>
    <t>78.7 ± 13.0</t>
  </si>
  <si>
    <t xml:space="preserve"> 1.67 ± 0.10</t>
  </si>
  <si>
    <t xml:space="preserve"> 33.1 ± 15.4</t>
  </si>
  <si>
    <t>31.4 ± 17.4</t>
  </si>
  <si>
    <t>Stair climb</t>
  </si>
  <si>
    <t>12.4 ± 4.3</t>
  </si>
  <si>
    <t>28.5 ± 16.9</t>
  </si>
  <si>
    <t>29.3 ± 15.6</t>
  </si>
  <si>
    <t>11.8 ± 4.2</t>
  </si>
  <si>
    <t>Strengthening group(Y) - Neutrally aligned</t>
  </si>
  <si>
    <t xml:space="preserve"> 64.1 ± 9.3</t>
  </si>
  <si>
    <t>29.0 ± 5.2</t>
  </si>
  <si>
    <t>79.2 ± 15.9</t>
  </si>
  <si>
    <t>1.65 ± 0.10</t>
  </si>
  <si>
    <t>35.7 ± 14.6</t>
  </si>
  <si>
    <t>12.0 ± 4.8</t>
  </si>
  <si>
    <t>22.8 ± 16.9</t>
  </si>
  <si>
    <t xml:space="preserve"> 24.0 ± 18.1</t>
  </si>
  <si>
    <t>11.0 ± 4.8</t>
  </si>
  <si>
    <t>No intervention - Malaligned</t>
  </si>
  <si>
    <t>66.6 ± 8.9</t>
  </si>
  <si>
    <t>30.3 ± 5.3</t>
  </si>
  <si>
    <t>83.4 ± 16.6</t>
  </si>
  <si>
    <t>1.66 ± 0.08</t>
  </si>
  <si>
    <t>39.2 ± 14.0</t>
  </si>
  <si>
    <t>38.5 ± 14.5</t>
  </si>
  <si>
    <t>12.0 ± 3.1</t>
  </si>
  <si>
    <t>36.2 ± 16.2</t>
  </si>
  <si>
    <t>36.5 ± 18.2</t>
  </si>
  <si>
    <t>12.7 ± 3.8</t>
  </si>
  <si>
    <t>No intervention - Neutrally aligned</t>
  </si>
  <si>
    <t>60.8 ± 7.8</t>
  </si>
  <si>
    <t>28.4 ± 5.0</t>
  </si>
  <si>
    <t>76.6 ± 15.6</t>
  </si>
  <si>
    <t xml:space="preserve"> 1.64 ± 0.11</t>
  </si>
  <si>
    <t>34.6 ± 16.2</t>
  </si>
  <si>
    <t>36.1 ± 15.7</t>
  </si>
  <si>
    <t xml:space="preserve"> 12.5 ± 5.5</t>
  </si>
  <si>
    <t>33.6 ± 15.4</t>
  </si>
  <si>
    <t>32.4 ± 15.5</t>
  </si>
  <si>
    <t>11.8 ± 4.8</t>
  </si>
  <si>
    <t>Strength</t>
  </si>
  <si>
    <t>Rooij</t>
  </si>
  <si>
    <t>Exercise Therapy(Y)</t>
  </si>
  <si>
    <t>63.2 ± 8.4</t>
  </si>
  <si>
    <t>36.0 ± 6.8</t>
  </si>
  <si>
    <t>35.1 ± 11.9</t>
  </si>
  <si>
    <t>406.3 ± 107.6</t>
  </si>
  <si>
    <t>30.4 ± 11.6</t>
  </si>
  <si>
    <t>440.6 ± 96.7</t>
  </si>
  <si>
    <t>63.9 ± 12.4</t>
  </si>
  <si>
    <t>35.0 ± 7.6</t>
  </si>
  <si>
    <t>31.0 ± 12.3</t>
  </si>
  <si>
    <t>406.4 ± 116.9</t>
  </si>
  <si>
    <t>32.9 ± 11.2</t>
  </si>
  <si>
    <t>423.4 ± 115.5</t>
  </si>
  <si>
    <t>Jan</t>
  </si>
  <si>
    <t>WOMAC (0 - 68)</t>
  </si>
  <si>
    <t>Walking time (s)</t>
  </si>
  <si>
    <t>High-resistance exercise group (Y)</t>
  </si>
  <si>
    <t>63.3 ± 6.6</t>
  </si>
  <si>
    <t>63.1 ± 10.5</t>
  </si>
  <si>
    <t>161.8 ± 7.8</t>
  </si>
  <si>
    <t>8.5 ± 3.8</t>
  </si>
  <si>
    <t>26.4 ± 9.0</t>
  </si>
  <si>
    <t>38.6 ± 6.2</t>
  </si>
  <si>
    <t xml:space="preserve"> 4.8 ± 3.5</t>
  </si>
  <si>
    <t xml:space="preserve"> 14.7 ± 8.5</t>
  </si>
  <si>
    <t>35.5 ± 5.3</t>
  </si>
  <si>
    <t>Low-resistance exercise group (Y)</t>
  </si>
  <si>
    <t xml:space="preserve"> 61.8 ± 7.1</t>
  </si>
  <si>
    <t>62.8 ± 10.2</t>
  </si>
  <si>
    <t>161.9 ± 7.2</t>
  </si>
  <si>
    <t>7.8 ± 3.3</t>
  </si>
  <si>
    <t>26.1 ± 8.1</t>
  </si>
  <si>
    <t>37.5 ± 4.9</t>
  </si>
  <si>
    <t>4.8 ± 2.7</t>
  </si>
  <si>
    <t>14.8 ± 9.2</t>
  </si>
  <si>
    <t>33.9 ± 5.1</t>
  </si>
  <si>
    <t>62.8 ± 6.3</t>
  </si>
  <si>
    <t xml:space="preserve"> 61.9 ± 10.8</t>
  </si>
  <si>
    <t>160.4 ± 7.6</t>
  </si>
  <si>
    <t>8.3 ± 4.6</t>
  </si>
  <si>
    <t>25.4 ± 11.3</t>
  </si>
  <si>
    <t>38.4 ± 7.5</t>
  </si>
  <si>
    <t>7.1 ± 3.4</t>
  </si>
  <si>
    <t>22.5 ± 10.9</t>
  </si>
  <si>
    <t>38.0 ± 6.8</t>
  </si>
  <si>
    <t>Evcik</t>
  </si>
  <si>
    <t>Home exercise group</t>
  </si>
  <si>
    <t>56.3 ± 6.1</t>
  </si>
  <si>
    <t>25.4 ± 5.3</t>
  </si>
  <si>
    <t>NHP - emotional reaction</t>
  </si>
  <si>
    <t>24 weeks</t>
  </si>
  <si>
    <t>10.8 ± 1.8</t>
  </si>
  <si>
    <t>19.1 ± 2.2</t>
  </si>
  <si>
    <t>Walking group</t>
  </si>
  <si>
    <t>56.9 ± 6.5</t>
  </si>
  <si>
    <t>23.9 ± 6.3</t>
  </si>
  <si>
    <t>28.6 ± 4.4</t>
  </si>
  <si>
    <t>10.2 ± 2.4</t>
  </si>
  <si>
    <t>6.9 ± 3.0</t>
  </si>
  <si>
    <t>55.8 ± 6.9</t>
  </si>
  <si>
    <t>25.2 ± 5.9</t>
  </si>
  <si>
    <t>28.0 ± 3.7</t>
  </si>
  <si>
    <t xml:space="preserve"> 20.7 ± 4.4</t>
  </si>
  <si>
    <t>27.9 ± 4.5</t>
  </si>
  <si>
    <t>[0-500]mm</t>
  </si>
  <si>
    <t>[0-100]mm</t>
  </si>
  <si>
    <t>[0-20]</t>
  </si>
  <si>
    <t>[0-1700]mm</t>
  </si>
  <si>
    <t>[0-68]</t>
  </si>
  <si>
    <t>Mind body (5) (stretching exercises ?)</t>
  </si>
  <si>
    <t>30 min (0.5 h)</t>
  </si>
  <si>
    <t>GS</t>
  </si>
  <si>
    <t>6(3.988)</t>
  </si>
  <si>
    <t>16.256(13.232)</t>
  </si>
  <si>
    <t>2.844(4.404)</t>
  </si>
  <si>
    <t>13.9(15312)</t>
  </si>
  <si>
    <t>4.672(2.98)</t>
  </si>
  <si>
    <t>11.656(7.84)</t>
  </si>
  <si>
    <t>5.54(4.504)</t>
  </si>
  <si>
    <t>20.472(15.264)</t>
  </si>
  <si>
    <t>Home exercise (semi-supervised)</t>
  </si>
  <si>
    <t>Strength (2)</t>
  </si>
  <si>
    <t>60 home + 7 (IS)</t>
  </si>
  <si>
    <t>30 min + 15 min</t>
  </si>
  <si>
    <t>IS</t>
  </si>
  <si>
    <t>MIixed (3)</t>
  </si>
  <si>
    <t>50-60 min</t>
  </si>
  <si>
    <t>GS ?</t>
  </si>
  <si>
    <t>Yoga (semi-supervised)</t>
  </si>
  <si>
    <t>Mind body (5)</t>
  </si>
  <si>
    <t>32 home + 8 (GS)</t>
  </si>
  <si>
    <t xml:space="preserve">30 min (home) </t>
  </si>
  <si>
    <t>60 min (supervised)</t>
  </si>
  <si>
    <t>Resistance (2)</t>
  </si>
  <si>
    <t>2*6=12</t>
  </si>
  <si>
    <t>2*12=24</t>
  </si>
  <si>
    <t>32 home + 16 (GS)</t>
  </si>
  <si>
    <t>50 min</t>
  </si>
  <si>
    <t>30 min (0.5 h) + ?</t>
  </si>
  <si>
    <t xml:space="preserve">29.7 (4.6) </t>
  </si>
  <si>
    <t xml:space="preserve">162.8 (8.6) </t>
  </si>
  <si>
    <t>Mixed (3) ?</t>
  </si>
  <si>
    <t>2*8=16</t>
  </si>
  <si>
    <t>60 min + home ex</t>
  </si>
  <si>
    <t>GS (Group of 6)</t>
  </si>
  <si>
    <t xml:space="preserve"> 29.0 (5.6)</t>
  </si>
  <si>
    <t xml:space="preserve"> + Home exersise</t>
  </si>
  <si>
    <t>Walking program (semi-supervised)</t>
  </si>
  <si>
    <t>Aerobic (1)</t>
  </si>
  <si>
    <t>12 + 1 (IS) + ?</t>
  </si>
  <si>
    <t>70 min walking</t>
  </si>
  <si>
    <t>IS + GS?</t>
  </si>
  <si>
    <t>up to 30 min planning session</t>
  </si>
  <si>
    <t>Aerobic (1) [Cycling]</t>
  </si>
  <si>
    <t>(+2)*12=+24</t>
  </si>
  <si>
    <t>40 - 60 min</t>
  </si>
  <si>
    <t>20 home</t>
  </si>
  <si>
    <t>1 hour</t>
  </si>
  <si>
    <t>N</t>
  </si>
  <si>
    <t>20 (GS)</t>
  </si>
  <si>
    <t>Strengthening excercise(N)</t>
  </si>
  <si>
    <t>daily</t>
  </si>
  <si>
    <t>2 * 8=16</t>
  </si>
  <si>
    <t>WOMAC (35 pain)</t>
  </si>
  <si>
    <t>WOMAC (fc 85)</t>
  </si>
  <si>
    <t>24 (GS)</t>
  </si>
  <si>
    <t>Mixed (3)</t>
  </si>
  <si>
    <t>3*12=36</t>
  </si>
  <si>
    <t>45 min + strength</t>
  </si>
  <si>
    <t>WOMAC (changes)</t>
  </si>
  <si>
    <t>Timed up and go (s)</t>
  </si>
  <si>
    <t>7.59±1.29</t>
  </si>
  <si>
    <t>5.7 ±1.9</t>
  </si>
  <si>
    <t>-0.41±1.84</t>
  </si>
  <si>
    <t>10.79±4.54</t>
  </si>
  <si>
    <t xml:space="preserve"> 6.7 ±1.5</t>
  </si>
  <si>
    <t>2.16±3.79</t>
  </si>
  <si>
    <t>60 home + 7 (S)</t>
  </si>
  <si>
    <t>IS / GS ?</t>
  </si>
  <si>
    <t>Tai Chi Sun-style 24(Y)</t>
  </si>
  <si>
    <t>2 * 12=24</t>
  </si>
  <si>
    <t>76.00±5.88</t>
  </si>
  <si>
    <t>6.23±4.26</t>
  </si>
  <si>
    <t>21.77±14.95</t>
  </si>
  <si>
    <t>-2.41±4.10</t>
  </si>
  <si>
    <t>.09±12.02</t>
  </si>
  <si>
    <t>74.96±6.71</t>
  </si>
  <si>
    <t>3.63±4.35</t>
  </si>
  <si>
    <t>14.58±16.27</t>
  </si>
  <si>
    <t>1.29±3.44</t>
  </si>
  <si>
    <t>4.71±13.80</t>
  </si>
  <si>
    <t>2 S session per week</t>
  </si>
  <si>
    <t>30 - 60 min</t>
  </si>
  <si>
    <t xml:space="preserve"> 10.1 ± 3.4</t>
  </si>
  <si>
    <t>20 (IS) + home</t>
  </si>
  <si>
    <t xml:space="preserve"> 8.4 ± 3.0</t>
  </si>
  <si>
    <t>40 (IS) + home</t>
  </si>
  <si>
    <t>20-weeks</t>
  </si>
  <si>
    <t xml:space="preserve"> 6.9 ± 3.4</t>
  </si>
  <si>
    <t>26.3 ± 12.7</t>
  </si>
  <si>
    <t>448.0 ± 102.5</t>
  </si>
  <si>
    <t xml:space="preserve"> 9.4 ± 3.5</t>
  </si>
  <si>
    <t xml:space="preserve"> 9.1 ± 3.6</t>
  </si>
  <si>
    <t xml:space="preserve"> 8.8 ± 4.2</t>
  </si>
  <si>
    <t>31.4 ± 13.4</t>
  </si>
  <si>
    <t>416.5 ± 116.9</t>
  </si>
  <si>
    <t>24 (IS)</t>
  </si>
  <si>
    <t>30 min</t>
  </si>
  <si>
    <t xml:space="preserve">IS  </t>
  </si>
  <si>
    <t>Home + 1 (GS)</t>
  </si>
  <si>
    <t xml:space="preserve">? </t>
  </si>
  <si>
    <t>WOMAC (0-10)</t>
  </si>
  <si>
    <t>6.6 ± 3.2</t>
  </si>
  <si>
    <t xml:space="preserve"> 3.0 ± 1.7</t>
  </si>
  <si>
    <t>3*24 = 72</t>
  </si>
  <si>
    <t>10 min - 30 min</t>
  </si>
  <si>
    <t>6.9 ± 3.1</t>
  </si>
  <si>
    <t xml:space="preserve"> 3.4 ± 1.3</t>
  </si>
  <si>
    <t>6.6 ± 3.5</t>
  </si>
  <si>
    <t>6.0 ± 3.3</t>
  </si>
  <si>
    <t>Krasilshchikov</t>
  </si>
  <si>
    <t>Exercise Therapy (Y)</t>
  </si>
  <si>
    <t xml:space="preserve">GS  </t>
  </si>
  <si>
    <t>58.38 ± 4.9</t>
  </si>
  <si>
    <t>28.6 ± 5.6</t>
  </si>
  <si>
    <t>5.38 ± 2.2</t>
  </si>
  <si>
    <t>21.13 ± 7.9</t>
  </si>
  <si>
    <t>337.65 ± 55.1</t>
  </si>
  <si>
    <t>3.00 ± 1.3</t>
  </si>
  <si>
    <t>9.5 ± 4.3</t>
  </si>
  <si>
    <t>385.81 ± 32.8</t>
  </si>
  <si>
    <t>58.25 ± 5.1</t>
  </si>
  <si>
    <t>26.5 ± 4.1</t>
  </si>
  <si>
    <t>5.63 ± 2.5</t>
  </si>
  <si>
    <t>20.5 ± 4.7</t>
  </si>
  <si>
    <t>360.82 ± 42.5</t>
  </si>
  <si>
    <t>8.38 ± 1.9</t>
  </si>
  <si>
    <t xml:space="preserve"> 26.75 ± 3.5</t>
  </si>
  <si>
    <t>348.43 ± 42.6</t>
  </si>
  <si>
    <t>Costs of therapies</t>
  </si>
  <si>
    <t xml:space="preserve">Net Mean improvement in pain </t>
  </si>
  <si>
    <t xml:space="preserve">Net Mean improvement in function </t>
  </si>
  <si>
    <t>Trainning time</t>
  </si>
  <si>
    <t>Author</t>
  </si>
  <si>
    <t>An(2008)</t>
  </si>
  <si>
    <t>Bennell(2010)</t>
  </si>
  <si>
    <t>Barghin(2017)</t>
  </si>
  <si>
    <t>Cheung(2014)</t>
  </si>
  <si>
    <t>Jorge_12w(2015)</t>
  </si>
  <si>
    <t>Jorge_6w(2015)</t>
  </si>
  <si>
    <t>Topp1(2002)</t>
  </si>
  <si>
    <t>Topp2(2002)</t>
  </si>
  <si>
    <t>Fransen_ind(2001)</t>
  </si>
  <si>
    <t>Fransen_group(2001)</t>
  </si>
  <si>
    <t>Salacinski(2012)</t>
  </si>
  <si>
    <t>Wortley1(2013)</t>
  </si>
  <si>
    <t>Wortley2(2013)</t>
  </si>
  <si>
    <t>O'Reilly(1999)</t>
  </si>
  <si>
    <t>Sima01</t>
  </si>
  <si>
    <t>Simao2</t>
  </si>
  <si>
    <t>Lee(2009)</t>
  </si>
  <si>
    <t>Lin1(2009)</t>
  </si>
  <si>
    <t>Lin2(2009)</t>
  </si>
  <si>
    <t>Lim1(2008)</t>
  </si>
  <si>
    <t>Lim2(2008)</t>
  </si>
  <si>
    <t>Lee(2008)</t>
  </si>
  <si>
    <t>Rooji1(2016)</t>
  </si>
  <si>
    <t>Rooji2(2016)</t>
  </si>
  <si>
    <t>Jan1(2008)</t>
  </si>
  <si>
    <t>Jan2(2008)</t>
  </si>
  <si>
    <t>Evcik1(2002)</t>
  </si>
  <si>
    <t>Evcik2(2002)</t>
  </si>
  <si>
    <t>Krasilshchikov(2011)</t>
  </si>
  <si>
    <t>Therapy</t>
  </si>
  <si>
    <t>Baduanjin</t>
  </si>
  <si>
    <t>Home exercise</t>
  </si>
  <si>
    <t>Mixed</t>
  </si>
  <si>
    <t>Youga</t>
  </si>
  <si>
    <t>Resistance</t>
  </si>
  <si>
    <t>Individual training</t>
  </si>
  <si>
    <t>Group (Mixed)</t>
  </si>
  <si>
    <t>Wallis(2017)</t>
  </si>
  <si>
    <t>Walking</t>
  </si>
  <si>
    <t>Cycling</t>
  </si>
  <si>
    <t>Tai JI</t>
  </si>
  <si>
    <t>Tai Chi Qigong</t>
  </si>
  <si>
    <t>Proprioceptive</t>
  </si>
  <si>
    <t xml:space="preserve">Strength- Malaligned </t>
  </si>
  <si>
    <t xml:space="preserve">Strength-Neutrally aligned </t>
  </si>
  <si>
    <t xml:space="preserve">Tai Chi Sun-style </t>
  </si>
  <si>
    <t>High-resistance</t>
  </si>
  <si>
    <t>Low-resistancength</t>
  </si>
  <si>
    <t>The number of supervised trainning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</si>
</sst>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color rgb="FF000000"/>
      <name val="Times New Roman"/>
      <family val="1"/>
    </font>
    <font>
      <b/>
      <sz val="10"/>
      <color theme="1"/>
      <name val="Calibri"/>
      <family val="2"/>
      <scheme val="minor"/>
    </font>
    <font>
      <sz val="10"/>
      <color theme="1"/>
      <name val="Calibri"/>
      <family val="2"/>
      <scheme val="minor"/>
    </font>
    <font>
      <sz val="11"/>
      <color rgb="FF000000"/>
      <name val="Calibri"/>
      <family val="2"/>
      <scheme val="minor"/>
    </font>
    <font>
      <b/>
      <sz val="10"/>
      <color rgb="FF000000"/>
      <name val="Calibri"/>
      <family val="2"/>
      <scheme val="minor"/>
    </font>
    <font>
      <sz val="10"/>
      <color rgb="FF000000"/>
      <name val="Calibri"/>
      <family val="2"/>
      <scheme val="minor"/>
    </font>
    <font>
      <b/>
      <sz val="11"/>
      <color rgb="FFFF0000"/>
      <name val="Calibri"/>
      <family val="2"/>
      <scheme val="minor"/>
    </font>
    <font>
      <sz val="11"/>
      <name val="Calibri"/>
      <family val="2"/>
      <scheme val="minor"/>
    </font>
  </fonts>
  <fills count="6">
    <fill>
      <patternFill patternType="none"/>
    </fill>
    <fill>
      <patternFill patternType="gray125"/>
    </fill>
    <fill>
      <patternFill patternType="solid">
        <fgColor rgb="FFEDEDED"/>
        <bgColor indexed="64"/>
      </patternFill>
    </fill>
    <fill>
      <patternFill patternType="solid">
        <fgColor rgb="FFFFFF00"/>
        <bgColor indexed="64"/>
      </patternFill>
    </fill>
    <fill>
      <patternFill patternType="solid">
        <fgColor rgb="FFFFFFFF"/>
        <bgColor indexed="64"/>
      </patternFill>
    </fill>
    <fill>
      <patternFill patternType="solid">
        <fgColor rgb="FFF8CBAD"/>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bottom/>
      <diagonal/>
    </border>
    <border>
      <left/>
      <right style="thin">
        <color rgb="FF000000"/>
      </right>
      <top style="thin">
        <color rgb="FF000000"/>
      </top>
      <bottom/>
      <diagonal/>
    </border>
    <border>
      <left/>
      <right style="thin">
        <color rgb="FF000000"/>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122">
    <xf numFmtId="0" fontId="0" fillId="0" borderId="0" xfId="0"/>
    <xf numFmtId="0" fontId="3" fillId="0" borderId="1" xfId="0" applyFont="1" applyBorder="1" applyAlignment="1">
      <alignment horizontal="center" vertical="center"/>
    </xf>
    <xf numFmtId="16" fontId="4" fillId="5" borderId="1" xfId="0" applyNumberFormat="1" applyFont="1" applyFill="1" applyBorder="1" applyAlignment="1">
      <alignment horizontal="center" vertical="center"/>
    </xf>
    <xf numFmtId="16" fontId="4" fillId="3" borderId="1" xfId="0" applyNumberFormat="1" applyFont="1" applyFill="1" applyBorder="1" applyAlignment="1">
      <alignment horizontal="center" vertical="center"/>
    </xf>
    <xf numFmtId="0" fontId="0" fillId="0" borderId="0" xfId="0" applyAlignment="1">
      <alignment horizontal="center" vertical="center"/>
    </xf>
    <xf numFmtId="17" fontId="0" fillId="5" borderId="1" xfId="0" applyNumberFormat="1" applyFill="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16" fontId="4" fillId="3" borderId="6" xfId="0" applyNumberFormat="1" applyFont="1" applyFill="1" applyBorder="1" applyAlignment="1">
      <alignment horizontal="center" vertical="center"/>
    </xf>
    <xf numFmtId="0" fontId="3" fillId="0" borderId="7" xfId="0" applyFont="1" applyBorder="1" applyAlignment="1">
      <alignment horizontal="center" vertical="center"/>
    </xf>
    <xf numFmtId="16" fontId="0" fillId="5" borderId="1" xfId="0" applyNumberFormat="1" applyFill="1" applyBorder="1" applyAlignment="1">
      <alignment horizontal="center" vertical="center"/>
    </xf>
    <xf numFmtId="0" fontId="4" fillId="3" borderId="1" xfId="0" applyFont="1" applyFill="1" applyBorder="1" applyAlignment="1">
      <alignment horizontal="center" vertical="center"/>
    </xf>
    <xf numFmtId="0" fontId="4" fillId="3" borderId="3" xfId="0" applyFont="1" applyFill="1" applyBorder="1" applyAlignment="1">
      <alignment horizontal="center" vertical="center"/>
    </xf>
    <xf numFmtId="0" fontId="0" fillId="3" borderId="3" xfId="0" applyFill="1" applyBorder="1" applyAlignment="1">
      <alignment horizontal="center" vertical="center"/>
    </xf>
    <xf numFmtId="0" fontId="0" fillId="5" borderId="3" xfId="0" applyFill="1" applyBorder="1" applyAlignment="1">
      <alignment horizontal="center" vertical="center"/>
    </xf>
    <xf numFmtId="0" fontId="0" fillId="5" borderId="5" xfId="0" applyFill="1" applyBorder="1" applyAlignment="1">
      <alignment horizontal="center" vertical="center"/>
    </xf>
    <xf numFmtId="0" fontId="0" fillId="3" borderId="5" xfId="0" applyFill="1" applyBorder="1" applyAlignment="1">
      <alignment horizontal="center" vertical="center"/>
    </xf>
    <xf numFmtId="0" fontId="0" fillId="3" borderId="1" xfId="0" applyFill="1" applyBorder="1" applyAlignment="1">
      <alignment horizontal="center" vertical="center"/>
    </xf>
    <xf numFmtId="0" fontId="0" fillId="5" borderId="6" xfId="0" applyFill="1" applyBorder="1" applyAlignment="1">
      <alignment horizontal="center" vertical="center"/>
    </xf>
    <xf numFmtId="0" fontId="0" fillId="5" borderId="1" xfId="0" applyFill="1" applyBorder="1" applyAlignment="1">
      <alignment horizontal="center" vertical="center"/>
    </xf>
    <xf numFmtId="0" fontId="4" fillId="5" borderId="1" xfId="0" applyFont="1" applyFill="1" applyBorder="1" applyAlignment="1">
      <alignment horizontal="center" vertical="center"/>
    </xf>
    <xf numFmtId="0" fontId="0" fillId="3" borderId="6" xfId="0" applyFill="1" applyBorder="1" applyAlignment="1">
      <alignment horizontal="center" vertical="center"/>
    </xf>
    <xf numFmtId="0" fontId="1" fillId="2"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5" xfId="0" applyFont="1" applyFill="1" applyBorder="1" applyAlignment="1">
      <alignment horizontal="center" vertical="center"/>
    </xf>
    <xf numFmtId="0" fontId="4" fillId="5" borderId="4" xfId="0" applyFont="1" applyFill="1" applyBorder="1" applyAlignment="1">
      <alignment horizontal="center" vertical="center"/>
    </xf>
    <xf numFmtId="0" fontId="0" fillId="3" borderId="7" xfId="0" applyFill="1" applyBorder="1" applyAlignment="1">
      <alignment horizontal="center" vertical="center"/>
    </xf>
    <xf numFmtId="0" fontId="0" fillId="3" borderId="2" xfId="0" applyFill="1" applyBorder="1" applyAlignment="1">
      <alignment horizontal="center" vertical="center"/>
    </xf>
    <xf numFmtId="0" fontId="4" fillId="5" borderId="3" xfId="0" applyFont="1" applyFill="1" applyBorder="1" applyAlignment="1">
      <alignment horizontal="center" vertical="center"/>
    </xf>
    <xf numFmtId="0" fontId="4" fillId="5" borderId="5" xfId="0" applyFont="1" applyFill="1" applyBorder="1" applyAlignment="1">
      <alignment horizontal="center" vertical="center"/>
    </xf>
    <xf numFmtId="0" fontId="8" fillId="0" borderId="15" xfId="0" applyFont="1" applyBorder="1" applyAlignment="1">
      <alignment horizontal="center"/>
    </xf>
    <xf numFmtId="0" fontId="8" fillId="0" borderId="15" xfId="0" applyFont="1" applyBorder="1" applyAlignment="1"/>
    <xf numFmtId="0" fontId="8" fillId="0" borderId="15" xfId="0" applyFont="1" applyFill="1" applyBorder="1" applyAlignment="1">
      <alignment horizontal="center"/>
    </xf>
    <xf numFmtId="0" fontId="8" fillId="0" borderId="15" xfId="0" applyFont="1" applyBorder="1" applyAlignment="1">
      <alignment horizontal="center" vertical="center"/>
    </xf>
    <xf numFmtId="0" fontId="0" fillId="0" borderId="15" xfId="0" applyBorder="1" applyAlignment="1">
      <alignment horizontal="center" vertical="center"/>
    </xf>
    <xf numFmtId="0" fontId="4" fillId="3" borderId="8" xfId="0" applyFont="1" applyFill="1" applyBorder="1" applyAlignment="1">
      <alignment horizontal="center" vertical="center"/>
    </xf>
    <xf numFmtId="0" fontId="4" fillId="5" borderId="2" xfId="0" applyFont="1" applyFill="1" applyBorder="1" applyAlignment="1">
      <alignment horizontal="center" vertical="center"/>
    </xf>
    <xf numFmtId="0" fontId="0" fillId="0" borderId="16" xfId="0" applyBorder="1" applyAlignment="1">
      <alignment horizontal="center" vertical="center"/>
    </xf>
    <xf numFmtId="0" fontId="4" fillId="4" borderId="16"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5"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0" xfId="0" applyFont="1" applyFill="1" applyBorder="1" applyAlignment="1">
      <alignment horizontal="center" vertical="center"/>
    </xf>
    <xf numFmtId="0" fontId="0" fillId="3" borderId="3" xfId="0" applyFill="1" applyBorder="1" applyAlignment="1">
      <alignment horizontal="center" vertical="center"/>
    </xf>
    <xf numFmtId="0" fontId="0" fillId="5" borderId="3" xfId="0" applyFill="1" applyBorder="1" applyAlignment="1">
      <alignment horizontal="center" vertical="center"/>
    </xf>
    <xf numFmtId="0" fontId="0" fillId="5" borderId="5" xfId="0" applyFill="1" applyBorder="1" applyAlignment="1">
      <alignment horizontal="center" vertical="center"/>
    </xf>
    <xf numFmtId="0" fontId="0" fillId="5" borderId="4" xfId="0" applyFill="1" applyBorder="1" applyAlignment="1">
      <alignment horizontal="center" vertical="center"/>
    </xf>
    <xf numFmtId="0" fontId="0" fillId="5" borderId="3" xfId="0" applyFill="1" applyBorder="1" applyAlignment="1">
      <alignment horizontal="center" vertical="center" wrapText="1"/>
    </xf>
    <xf numFmtId="0" fontId="0" fillId="3" borderId="5" xfId="0" applyFill="1" applyBorder="1" applyAlignment="1">
      <alignment horizontal="center" vertical="center"/>
    </xf>
    <xf numFmtId="0" fontId="0" fillId="3" borderId="4" xfId="0" applyFill="1" applyBorder="1" applyAlignment="1">
      <alignment horizontal="center" vertical="center"/>
    </xf>
    <xf numFmtId="0" fontId="0" fillId="3" borderId="1" xfId="0" applyFill="1" applyBorder="1" applyAlignment="1">
      <alignment horizontal="center" vertical="center"/>
    </xf>
    <xf numFmtId="0" fontId="0" fillId="5" borderId="6" xfId="0" applyFill="1" applyBorder="1" applyAlignment="1">
      <alignment horizontal="center" vertical="center"/>
    </xf>
    <xf numFmtId="0" fontId="0" fillId="5" borderId="1" xfId="0" applyFill="1" applyBorder="1" applyAlignment="1">
      <alignment horizontal="center" vertical="center"/>
    </xf>
    <xf numFmtId="0" fontId="4" fillId="5" borderId="1" xfId="0" applyFont="1" applyFill="1" applyBorder="1" applyAlignment="1">
      <alignment horizontal="center" vertical="center"/>
    </xf>
    <xf numFmtId="0" fontId="0" fillId="5" borderId="12" xfId="0" applyFill="1" applyBorder="1" applyAlignment="1">
      <alignment horizontal="center" vertical="center"/>
    </xf>
    <xf numFmtId="0" fontId="0" fillId="5" borderId="11" xfId="0" applyFill="1" applyBorder="1" applyAlignment="1">
      <alignment horizontal="center" vertical="center"/>
    </xf>
    <xf numFmtId="0" fontId="0" fillId="5" borderId="13" xfId="0" applyFill="1" applyBorder="1" applyAlignment="1">
      <alignment horizontal="center" vertical="center"/>
    </xf>
    <xf numFmtId="0" fontId="0" fillId="3" borderId="6" xfId="0" applyFill="1" applyBorder="1" applyAlignment="1">
      <alignment horizontal="center" vertical="center"/>
    </xf>
    <xf numFmtId="0" fontId="0" fillId="5" borderId="1" xfId="0" applyFill="1" applyBorder="1" applyAlignment="1">
      <alignment horizontal="center" vertical="center" wrapText="1"/>
    </xf>
    <xf numFmtId="0" fontId="2"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2" fillId="0" borderId="6" xfId="0" applyFont="1" applyBorder="1" applyAlignment="1">
      <alignment horizontal="center" vertical="center"/>
    </xf>
    <xf numFmtId="0" fontId="4" fillId="5" borderId="6" xfId="0" applyFont="1" applyFill="1" applyBorder="1" applyAlignment="1">
      <alignment horizontal="center" vertical="center"/>
    </xf>
    <xf numFmtId="0" fontId="4" fillId="3" borderId="6" xfId="0" applyFont="1" applyFill="1" applyBorder="1" applyAlignment="1">
      <alignment horizontal="center" vertical="center"/>
    </xf>
    <xf numFmtId="0" fontId="0" fillId="3" borderId="8" xfId="0" applyFill="1" applyBorder="1" applyAlignment="1">
      <alignment horizontal="center" vertical="center"/>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3" xfId="0" applyFill="1" applyBorder="1" applyAlignment="1">
      <alignment horizontal="center" vertical="center" wrapText="1"/>
    </xf>
    <xf numFmtId="0" fontId="4" fillId="3" borderId="2" xfId="0" applyFont="1" applyFill="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4" fillId="4" borderId="1"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5" xfId="0" applyFont="1" applyFill="1" applyBorder="1" applyAlignment="1">
      <alignment horizontal="center" vertical="center"/>
    </xf>
    <xf numFmtId="0" fontId="4" fillId="5" borderId="4" xfId="0" applyFont="1" applyFill="1" applyBorder="1" applyAlignment="1">
      <alignment horizontal="center" vertical="center"/>
    </xf>
    <xf numFmtId="0" fontId="0" fillId="3" borderId="7" xfId="0" applyFill="1" applyBorder="1" applyAlignment="1">
      <alignment horizontal="center" vertical="center"/>
    </xf>
    <xf numFmtId="0" fontId="0" fillId="3" borderId="2" xfId="0" applyFill="1" applyBorder="1" applyAlignment="1">
      <alignment horizontal="center" vertical="center"/>
    </xf>
    <xf numFmtId="0" fontId="0" fillId="3" borderId="12" xfId="0" applyFill="1" applyBorder="1" applyAlignment="1">
      <alignment horizontal="center" vertical="center"/>
    </xf>
    <xf numFmtId="0" fontId="0" fillId="3" borderId="13" xfId="0" applyFill="1" applyBorder="1" applyAlignment="1">
      <alignment horizontal="center" vertical="center"/>
    </xf>
    <xf numFmtId="0" fontId="4" fillId="5" borderId="2" xfId="0" applyFont="1" applyFill="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1" fillId="2" borderId="7"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4" borderId="3" xfId="0" applyFont="1" applyFill="1" applyBorder="1" applyAlignment="1">
      <alignment horizontal="center" vertical="center"/>
    </xf>
    <xf numFmtId="0" fontId="3" fillId="4" borderId="5" xfId="0" applyFont="1" applyFill="1" applyBorder="1" applyAlignment="1">
      <alignment horizontal="center" vertical="center"/>
    </xf>
    <xf numFmtId="0" fontId="2" fillId="0" borderId="4" xfId="0" applyFont="1" applyBorder="1" applyAlignment="1">
      <alignment horizontal="center" vertical="center"/>
    </xf>
    <xf numFmtId="0" fontId="4" fillId="3" borderId="12"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14" xfId="0" applyFont="1" applyFill="1" applyBorder="1" applyAlignment="1">
      <alignment horizontal="center" vertical="center"/>
    </xf>
    <xf numFmtId="0" fontId="1" fillId="2" borderId="2" xfId="0" applyFont="1" applyFill="1" applyBorder="1" applyAlignment="1">
      <alignment horizontal="center" vertical="center" wrapText="1"/>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0" fillId="3" borderId="11" xfId="0" applyFill="1" applyBorder="1" applyAlignment="1">
      <alignment horizontal="center" vertical="center"/>
    </xf>
    <xf numFmtId="0" fontId="0" fillId="5" borderId="5" xfId="0" applyFill="1" applyBorder="1" applyAlignment="1">
      <alignment horizontal="center" vertical="center" wrapText="1"/>
    </xf>
    <xf numFmtId="0" fontId="0" fillId="3" borderId="1" xfId="0" applyFill="1" applyBorder="1" applyAlignment="1">
      <alignment horizontal="center" vertical="center" wrapText="1"/>
    </xf>
    <xf numFmtId="0" fontId="4" fillId="3" borderId="0" xfId="0" applyFont="1" applyFill="1" applyAlignment="1">
      <alignment horizontal="center" vertical="center"/>
    </xf>
    <xf numFmtId="0" fontId="7" fillId="5" borderId="5" xfId="0" applyFont="1" applyFill="1" applyBorder="1" applyAlignment="1">
      <alignment horizontal="center" vertical="center"/>
    </xf>
    <xf numFmtId="0" fontId="7" fillId="5" borderId="1" xfId="0" applyFont="1" applyFill="1" applyBorder="1" applyAlignment="1">
      <alignment horizontal="center" vertical="center"/>
    </xf>
    <xf numFmtId="0" fontId="7" fillId="5" borderId="10" xfId="0" applyFont="1" applyFill="1" applyBorder="1" applyAlignment="1">
      <alignment horizontal="center" vertical="center"/>
    </xf>
    <xf numFmtId="0" fontId="7" fillId="5" borderId="2" xfId="0" applyFont="1" applyFill="1" applyBorder="1" applyAlignment="1">
      <alignment horizontal="center" vertical="center"/>
    </xf>
    <xf numFmtId="0" fontId="0" fillId="3" borderId="5" xfId="0" applyFill="1" applyBorder="1" applyAlignment="1">
      <alignment horizontal="center" vertical="center" wrapText="1"/>
    </xf>
    <xf numFmtId="0" fontId="4" fillId="3" borderId="7" xfId="0" applyFont="1" applyFill="1" applyBorder="1" applyAlignment="1">
      <alignment horizontal="center" vertical="center"/>
    </xf>
    <xf numFmtId="17" fontId="4" fillId="3" borderId="7" xfId="0" applyNumberFormat="1" applyFont="1" applyFill="1" applyBorder="1" applyAlignment="1">
      <alignment horizontal="center" vertical="center"/>
    </xf>
    <xf numFmtId="0" fontId="0" fillId="3" borderId="15" xfId="0"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person displayName="Afsar, Bekir" id="{53AFB218-E3EE-436A-BEB1-F88F7768E553}" userId="S::beafsar@jyu.fi::cf2acfa1-c48f-4e8e-a9e3-01bafc440451" providerId="AD"/>
  <person displayName="Shavazipour, Babooshka" id="{42CFCB0A-E3BE-400B-BF1B-D75DC7197EB5}" userId="S::babshava@jyu.fi::3eea4f5e-ae25-4c43-b5d8-1a381062606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2.xml><?xml version="1.0" encoding="utf-8"?>
<ThreadedComments xmlns="http://schemas.microsoft.com/office/spreadsheetml/2018/threadedcomments" xmlns:x="http://schemas.openxmlformats.org/spreadsheetml/2006/main">
  <threadedComment ref="F1" dT="2020-01-28T14:52:24.01" personId="{53AFB218-E3EE-436A-BEB1-F88F7768E553}" id="{886CDF20-65E1-4688-A046-3E9A8CEEFA92}">
    <text xml:space="preserve">1) aerobic, 2) resistance/strength 3) combined 1+2, 4) neuromuscular, 5) mind body (meaning the Chinese ones plus Pilatus), 6) aquatic
</text>
  </threadedComment>
  <threadedComment ref="S3" dT="2020-01-20T12:39:10.79" personId="{42CFCB0A-E3BE-400B-BF1B-D75DC7197EB5}" id="{A3AC725A-9532-4EAE-8A34-027983857438}">
    <text xml:space="preserve">5 queations for pain (0-100)mm
= [0-500]mm
</text>
  </threadedComment>
  <threadedComment ref="U3" dT="2020-01-20T12:40:08.57" personId="{42CFCB0A-E3BE-400B-BF1B-D75DC7197EB5}" id="{75783542-8EAE-4EE1-92C5-2DD2D327D29D}">
    <text xml:space="preserve">5 queations for pain (0-4) points
= [0-20] points
</text>
  </threadedComment>
  <threadedComment ref="W3" dT="2020-01-20T12:39:10.79" personId="{42CFCB0A-E3BE-400B-BF1B-D75DC7197EB5}" id="{444B64C2-63C1-47BD-AECC-4FB484BE345C}">
    <text xml:space="preserve">17 queations for pain (0-100)mm
= [0-1700]mm
</text>
  </threadedComment>
  <threadedComment ref="X3" dT="2020-01-20T12:40:08.57" personId="{42CFCB0A-E3BE-400B-BF1B-D75DC7197EB5}" id="{450DA8D4-A3D8-4FED-A9EA-550848F4262D}">
    <text xml:space="preserve">17 queations for pain (0-4) points
= [0-68] points
</text>
  </threadedComment>
  <threadedComment ref="B4" dT="2019-10-31T14:40:05.33" personId="{42CFCB0A-E3BE-400B-BF1B-D75DC7197EB5}" id="{DF1ABC0F-98D0-433A-9153-6D9C3106216E}">
    <text xml:space="preserve">The following subscales are also measured in the paper:
The General Health (GH), 
Social Function (SF),  and
Isokinetic Strength of the Knee Extensors (ISKE).
</text>
  </threadedComment>
  <threadedComment ref="D4" dT="2019-11-21T15:15:20.49" personId="{42CFCB0A-E3BE-400B-BF1B-D75DC7197EB5}" id="{47B15730-8465-44CD-BD6F-22E7F5575A56}">
    <text xml:space="preserve">No intervention was undertaken for the control group.
The Baduanjin consists of eight sections and each section needs to be repeated 20 times. It must be practiced in the following manner: round, slow, and nonstop. Six sections entail knee bending from slight to deep, just like “wall sits,” which are used to enhance quadriceps strength. The subjects were instructed to adjust their bending angles according to their endurance.
A certified senior Baduanjin instructor
taught the Baduanjin intervention according to the demon-stration video and taped commands (published by the Chinese People’s Physical Education Audiovisual Press), which participants performed in the community entertain-
ment room at a certain time for a specific duration. 
During this time, patients were required to attend a 30-minute session five times a week. The results were then investigated upon completion of the 8-week exercise period. In addition,
patients were asked not to start other physical therapy interventions during their period of participation in the study.
</text>
  </threadedComment>
  <threadedComment ref="R4" dT="2020-01-20T12:11:16.88" personId="{42CFCB0A-E3BE-400B-BF1B-D75DC7197EB5}" id="{4856AA0A-2F64-4D95-A93C-711B38F0B9FD}">
    <text xml:space="preserve">WOMAC. 
(100 = no pain or difficulty, 0 = extreme pain or difficulty)
The WOMAC OA Index consists of 24 questions, each corresponding to a 0–100-mm visual analogue scale.
</text>
  </threadedComment>
  <threadedComment ref="D8" dT="2020-01-28T14:50:48.63" personId="{53AFB218-E3EE-436A-BEB1-F88F7768E553}" id="{3D216F7E-B569-4D0D-A098-A3D1A64A74E6}">
    <text xml:space="preserve">Participants performed a standardised set of home exercises five times per week for 12 weeks. Six exercises to strengthen hip abductor and adductor muscles were performed in side-lying and standing (three sets of 10 repetitions) with ankle cuff weights or elastic bands. Additionally, participants attended a physiotherapy clinic on seven occasions (once weekly for the first 5 weeks then
fortnightly) to receive appropriate instruction on exercises and safe
progression of resistance. These were individual sessions lasting 30 min initially and 15 min subsequently. The therapists, who had 15.6 (10.1) years of clinical experience and had all been involved in
previous research studies, were trained to deliver the exercises prior to the study. They adjusted exercise intensity as determined by the participant's ability to complete 10 repetitions for a given
exercise. 
</text>
  </threadedComment>
  <threadedComment ref="G8" dT="2020-01-28T15:50:56.81" personId="{53AFB218-E3EE-436A-BEB1-F88F7768E553}" id="{9682C0D4-8DFA-4D11-9A98-490309265A3C}">
    <text xml:space="preserve">45 patients
</text>
  </threadedComment>
  <threadedComment ref="H8" dT="2020-01-28T15:07:19.86" personId="{53AFB218-E3EE-436A-BEB1-F88F7768E553}" id="{3FF76CED-49FE-460D-B223-F907389A0906}">
    <text xml:space="preserve">These were individual sessions lasting 30 min initially and 15 min subsequently. 
</text>
  </threadedComment>
  <threadedComment ref="R8" dT="2020-01-28T15:04:57.53" personId="{53AFB218-E3EE-436A-BEB1-F88F7768E553}" id="{19857628-DA80-4159-B4A6-486E31E2A23F}">
    <text xml:space="preserve">higher scores indicate worse symptoms
</text>
  </threadedComment>
  <threadedComment ref="V8" dT="2020-01-28T15:05:07.78" personId="{53AFB218-E3EE-436A-BEB1-F88F7768E553}" id="{57F0A357-5805-4CB9-863A-159252C41D99}">
    <text xml:space="preserve">higher scores indicate worse symptoms
</text>
  </threadedComment>
  <threadedComment ref="D12" dT="2019-11-21T14:56:51.16" personId="{42CFCB0A-E3BE-400B-BF1B-D75DC7197EB5}" id="{13CCBBD5-C470-49B3-AC9B-D4B462C42FBE}">
    <text xml:space="preserve">Individuals who scored 0 in the pain domain were classified as asymptomatic
</text>
  </threadedComment>
  <threadedComment ref="E12" dT="2019-11-21T15:06:30.90" personId="{42CFCB0A-E3BE-400B-BF1B-D75DC7197EB5}" id="{9948D4D8-A6DF-498F-9558-916AED9D14EE}">
    <text xml:space="preserve">The symptomatic (group 1) and asymptomatic (group 2) subjects
with knee OA carried out a protocol of physical exercises for 50-60 min twice a week for 8 weeks. 
Control group 3 did not perform the exercise program, and their data were used only for comparison;
reevaluationwas carried out after 8 weeks. 
The supervised protocol consisted of the following: warm-up
(10 min) with active movements of the upper limbs (UL) and
lower limbs (LL) and stretching the lower limbs; strengthening ex-
ercises for the lower limbs (20 min) with 3 sets of 15 repetitions of
straight leg raises (SLR) with hip
flexion, abduction and extension;
knee flexion in a standing position; 10 repetitions of 5-s isometry of
the quadriceps at 0-30 (degrees); aerobic exercise on a stationary bicycle
(20 min), starting at 65%-70% of maximum heart rate (MHR) and
increasing to 85%-90% of MHR in the 5th week; and stretching
(5 min). 
The total session time in the first stage was 50 min.
Beginning with the 5th session, the protocol was increased by
10 min due to the inclusion of functional training, which consisted of
sitting and standing from a low chair (3 sets of 10 repetitions); circuit (10 times) walking while changing direction (the direction was changed each meter of the 4-m total circuit), walking with trans-
position of 4 obstacles; walking on a thin mattress; balance training with one-leg support (eyes open, 3 repetitions of 30 s on each side);
and balance board support (bipedal, 5 repetitions of 30 s).
Strengthening exercises began with a 30% load of 1 RM and over 5 weeks the load was increased to 70% of 1 RM.
</text>
  </threadedComment>
  <threadedComment ref="R12" dT="2020-01-20T14:03:18.20" personId="{42CFCB0A-E3BE-400B-BF1B-D75DC7197EB5}" id="{2C090870-AA8A-49E0-86B4-738064E08B11}">
    <text xml:space="preserve">It seems that they wrote the average of pain for 5 questions in rabge [0,100]mm ?
</text>
  </threadedComment>
  <threadedComment ref="Y12" dT="2019-11-01T09:43:27.41" personId="{42CFCB0A-E3BE-400B-BF1B-D75DC7197EB5}" id="{C2ECA7F6-AF38-4A26-8F19-51182C5928A3}">
    <text xml:space="preserve">The Step up/over tese was used to evaluate function. The variables evaluated are for each lower limb, and include:
Ascending force ( lift-up index),
The movement time(s),
Step impact evaluation (impact index)
Also thet evaluate postural control and function were made by the Balance Master System (called Semi-static balance) include:
Eyes-open stable surface (EOSS),
Eyes-close stable surface (ECSS),
Eyes-open unstable surface (EOUS),
Eyes-close unstable surface (ECUS).
Which one should we consider, if any?
</text>
  </threadedComment>
  <threadedComment ref="D18" dT="2020-01-28T15:11:17.64" personId="{53AFB218-E3EE-436A-BEB1-F88F7768E553}" id="{209205C4-7401-4E7B-95BB-4001A6B6CB0D}">
    <text xml:space="preserve">Cost of Hatha yoga exercise program: "The yoga program was composed of one 60-minute Hatha yoga class per week for eight weeks. Sessions included asanas (poses) in the seated, supine, and  tanding positions; pranas (breathing); and meditation. A progressive series of poses was used with static stretching, balance,
and strength exercises. Classes were designed by a panel of five certified/registered yoga teachers who had experiences teaching older adults. The program was reviewed by two yoga researchers and a yoga master. The yoga intervention program was specifically for older adults with knee OA; the class size was kept small with nine participants per class. Because yoga postures are highly modifiable, props such as yoga mat, blocks, strap, blankets, and chair were used during class, and poses were modified when needed based on the participants’ physical limitations. Key yoga postures used in the program included
mountain pose, warrior I and 2 poses, tree pose, chair pose, easy seated pose, bound angle poses, open angle pose, half locust variation, bridge pose, standing forward
fold, reclining hamstring stretch, reclining twist, and relaxation pose. All classes were taught by the same registered yoga teacher who had over 10 years of yoga teaching experience. In addition to attending classes, participants
were instructed to practice 30-minute yoga four times a week at home. Researcher developed handouts of yoga exercises illustrating poses included in each weekly program were distributed at the end of each session to help partici-
pants practice the poses correctly at home. The study followed the intervention protocol that was developed by the research team. Study quality was monitored by two established research mentors who served as the Data
Safety and Monitoring Board (DSMB) members. Progress reports including participant recruitment, retention/attri-
tion with reasons for dropout from the study, and a summary of adverse events were sent to DSMB members for independent reviews. Quarterly meetings were held between the research mentors and the PI to review the study progress.
</text>
  </threadedComment>
  <threadedComment ref="G18" dT="2020-01-28T15:17:27.09" personId="{53AFB218-E3EE-436A-BEB1-F88F7768E553}" id="{2AB57082-78CD-453E-8DB8-233EC2E7BEEE}">
    <text xml:space="preserve">participants
were instructed to practice 30-minute yoga four times a week at home.
</text>
  </threadedComment>
  <threadedComment ref="G18" dT="2020-01-28T15:17:47.58" personId="{53AFB218-E3EE-436A-BEB1-F88F7768E553}" id="{928E0168-5D15-49CC-9749-EFB1FEB04968}" parentId="{2AB57082-78CD-453E-8DB8-233EC2E7BEEE}">
    <text xml:space="preserve">The yoga program was composed of one 60-minute Hatha yoga class per week for eight weeks. 
</text>
  </threadedComment>
  <threadedComment ref="I18" dT="2020-01-28T15:38:44.08" personId="{53AFB218-E3EE-436A-BEB1-F88F7768E553}" id="{DA8A0D8A-153E-4B91-A3D4-3FD81CA62854}">
    <text xml:space="preserve">2 groups / classes for each session
</text>
  </threadedComment>
  <threadedComment ref="R18" dT="2020-01-28T15:30:34.33" personId="{53AFB218-E3EE-436A-BEB1-F88F7768E553}" id="{A240D2F5-40DA-474E-B8CA-6334280D6420}">
    <text xml:space="preserve">lower scores = better state
</text>
  </threadedComment>
  <threadedComment ref="V18" dT="2020-01-28T15:30:40.28" personId="{53AFB218-E3EE-436A-BEB1-F88F7768E553}" id="{A8A91884-0B6E-46ED-AD7F-387FECA7AE14}">
    <text xml:space="preserve">lower scores = better state
</text>
  </threadedComment>
  <threadedComment ref="E22" dT="2019-10-31T15:03:41.74" personId="{42CFCB0A-E3BE-400B-BF1B-D75DC7197EB5}" id="{34DE087C-EB69-43B1-9874-A8B9EB5443ED}">
    <text xml:space="preserve">All subjects were instructed to take 750 mg of acetaminophen every eight hours when experiencing pain. When pain exceeded a 7 on the visual analog scale, the subject could take 50 mg of 
diclofenac every eight hours. Both groups received a chart to record the doses of drugs taken during the study period for the purposes of analysis.
Subjects in the experimental group underwent a progressive resistance exercise program that included four different exercises: knee extension/
flexion and hip abduction/adduction using two gym machines (knee flexion-extension and abduction-adduction) with free weights. The exercises were preceded by a five-minute warm-up on an exercise bicycle. The initial load was based on the 1RM. The program was structured as follows: two sets of eight repeti-
tions, the first set employing 50% of 1RM and the second set employing 70% of 1RM. A one-minute rest interval was given between sets. The participants’ pain threshold was closely monitored 
throughout the exercises. The exercise program was performed twice a week over a 12-week period following the recommendations of the American 
College of Sports Medicine. Loads used in repetitions were reevaluated every two weeks. The program of exercise was realized by a physiotherapist with 05 years of experience in rheumatology.
</text>
  </threadedComment>
  <threadedComment ref="J22" dT="2019-10-31T15:06:02.32" personId="{42CFCB0A-E3BE-400B-BF1B-D75DC7197EB5}" id="{5D26B1C8-BADF-4941-A4A4-01B7DA81CD5C}">
    <text xml:space="preserve"> In addition to age and BMI, the following info is also gathered with authors:
race,
years of education,
paid work, and 
radiographic grading.
</text>
  </threadedComment>
  <threadedComment ref="R22" dT="2019-10-31T15:32:40.86" personId="{42CFCB0A-E3BE-400B-BF1B-D75DC7197EB5}" id="{C2D4BB5E-D6B0-44C3-B57A-79DA30BFBF50}">
    <text xml:space="preserve">VAS, visual analogue scale is also used for pain measurement.
SF-36 includes:
Physical function,
Physical role limitation,
Pain,
General health,
Vitality,
Social aspects,
Emotional aspects,
 Acetaminophen use,
Also, 
IRM extensors,
IRM flexors,
IRM abductors, and
1RM adductors,
are measured.
</text>
  </threadedComment>
  <threadedComment ref="D28" dT="2020-01-28T15:32:48.85" personId="{53AFB218-E3EE-436A-BEB1-F88F7768E553}" id="{255FBF43-A674-4BED-B3C8-97E1DEC6E616}">
    <text xml:space="preserve">3 times weekly for 16 weeks. Exercises at discrete joint angles. Subjects  generated this muscle tension by using maximum-resistance Thera-Band elastic  bands,  which  they  were  unable  to  stretch  during  the exercise. Subjects performed the 6 isometric  resistance-training exercises  bilaterally  3  times  a  week  while  positioning  the
targeted muscle and joint at a predetermined joint angle. 
Two of these weekly exercise sessions
took place unsupervised in the subject’s home, and 1 session each week was under the supervision of the project staff in an organized class.
</text>
  </threadedComment>
  <threadedComment ref="D30" dT="2020-01-28T15:33:11.30" personId="{53AFB218-E3EE-436A-BEB1-F88F7768E553}" id="{39290C57-07C2-48BE-A3D7-097B6F683116}">
    <text xml:space="preserve">3 times weekly for 16 weeks. Exercises across a functional range of motion. The dynamic resistance-training group was given a strength training  booklet,  which  explained  6  resistance-training  exercises performed by using Thera and elastic bands. This dynamic  resistance-training  booklet  was  based  on  a  previous resistance-training protocol that used Thera-Band elastic bands and  was  found  to  result  in  significant  improvements  in  leg strength after 12 weeks of training. 
Subjects  were  requested  to  complete  the  6  muscle-strengthening  exercises  bilaterally  3  times  weekly.  Two  of these weekly exercise sessions took place unsupervised in the subject’s home, and 1 session each week was under the supervision  of  the  project  staff  in  an  organized  class. 
</text>
  </threadedComment>
  <threadedComment ref="E34" dT="2019-11-22T14:58:19.44" personId="{42CFCB0A-E3BE-400B-BF1B-D75DC7197EB5}" id="{14871603-60BB-448F-9233-2362F11DDE21}">
    <text xml:space="preserve">(1) Individual treatments. The choice, frequency, and duration of individual treatments within an 8 week period were at the discretion of the treating physical therapist. Treatment procedures and duration were recorded and verified. 
To increase generalizability, 24 physical therapists were involved in the individual treatments and 4 different physical
therapists supervised the group format program. Individual treatments consisted almost universally of at least 20 minutes
of muscle strengthening exercise or manual techniques aimed at increasing range of motion and 5–10 minutes of an electro-physical agent such as heat, ultrasound, laser, or interferential
therapy. The mean number of half-hour individual treatments attended was 7 (range 2–4). About 90% of the patients allocated to the group format program attended at least 12 of the
16 sessions.
</text>
  </threadedComment>
  <threadedComment ref="AC34" dT="2020-01-27T15:24:03.04" personId="{42CFCB0A-E3BE-400B-BF1B-D75DC7197EB5}" id="{F6E1B662-368A-40C0-81F5-9E0276874F03}">
    <text xml:space="preserve">To increase generalizability, 24 physical therapists were involved in the individual treatments and 4 different physical
therapists supervised the group format program.
</text>
  </threadedComment>
  <threadedComment ref="T35" dT="2020-01-27T15:19:45.24" personId="{42CFCB0A-E3BE-400B-BF1B-D75DC7197EB5}" id="{E86F4D45-EDE0-428F-8197-DE08E800C008}">
    <text xml:space="preserve">mean change (95% CI)
</text>
  </threadedComment>
  <threadedComment ref="W35" dT="2020-01-27T15:20:14.01" personId="{42CFCB0A-E3BE-400B-BF1B-D75DC7197EB5}" id="{C58DC940-BC3D-4DE7-AAD2-0426542A2905}">
    <text xml:space="preserve">mean change (95% CI)
</text>
  </threadedComment>
  <threadedComment ref="E36" dT="2020-01-27T14:45:36.30" personId="{42CFCB0A-E3BE-400B-BF1B-D75DC7197EB5}" id="{5A4C1B69-0D11-41FD-96AA-478390A20C15}">
    <text xml:space="preserve">(2) Group format program. The group program ran, under the supervision of a physical therapist, for 1 hour twice a week for 8 weeks and was supplemented with a home exercise program. For safety and individual supervision reasons, the group size was restricted to a maximum of 6 patients. 
</text>
  </threadedComment>
  <threadedComment ref="T37" dT="2020-01-27T15:19:58.73" personId="{42CFCB0A-E3BE-400B-BF1B-D75DC7197EB5}" id="{032120A8-6BE5-4CEF-B280-93E9482C4804}">
    <text xml:space="preserve">mean change (95% CI)
</text>
  </threadedComment>
  <threadedComment ref="W37" dT="2020-01-27T15:20:20.84" personId="{42CFCB0A-E3BE-400B-BF1B-D75DC7197EB5}" id="{E134DB23-9E28-4B40-AEBA-3E2270A794FF}">
    <text xml:space="preserve">mean change (95% CI)
</text>
  </threadedComment>
  <threadedComment ref="E38" dT="2020-01-27T14:45:58.28" personId="{42CFCB0A-E3BE-400B-BF1B-D75DC7197EB5}" id="{E7D7A0D5-570F-4BAF-9438-8BC907742408}">
    <text xml:space="preserve">(3)Control. Patients allocated to remain on the waiting list were assessed before
and after an 8 week nonintervention period. 
</text>
  </threadedComment>
  <threadedComment ref="T39" dT="2020-01-27T15:20:06.77" personId="{42CFCB0A-E3BE-400B-BF1B-D75DC7197EB5}" id="{D80C805A-42CE-4CA4-B0CA-7553B64C7F87}">
    <text xml:space="preserve">mean change (95% CI)
</text>
  </threadedComment>
  <threadedComment ref="W39" dT="2020-01-27T15:20:31.21" personId="{42CFCB0A-E3BE-400B-BF1B-D75DC7197EB5}" id="{E03B5AC3-7909-4C83-814A-BF30E847B91F}">
    <text xml:space="preserve">mean change (95% CI)
</text>
  </threadedComment>
  <threadedComment ref="D40" dT="2020-01-28T15:43:28.76" personId="{53AFB218-E3EE-436A-BEB1-F88F7768E553}" id="{EA6FD258-172A-4359-870E-42F460A75FE0}">
    <text xml:space="preserve">In addition to usual care, participants in the intervention group were prescribed a walking dose of 70 min per week, of at least moderate intensity, in bouts of at least 10 min. The weekly dose was completed for 12 weeks in the  community. The participant was instructed to walk at a moderate level of intensity determined by the Rate of Perceived Exertion Scale (0 - 10) where level 3 = “ I am still comfortable but am breathing a little harder ”. No formal in-
structions on warming up or stretching were provided. The weekly dose of 70 min was completed in the community; in separatesessions provided each session  was at least 10 min duration. Participants continued taking their usual medications and other nonsurgical treatments to manage their knee OA, and used normal
assistive devices such as a cane.
To increase the likelihood of adherence to the intervention, the following  behavioural change techniques and strategies were used. First, each participant had a planning session with a
physiotherapist of up to 30 min to plan the location, day and time of day for each walk, and reinforce that each walk was moderate intensity in at least a 10 min bout. Second, there was regular
physiotherapy supervision and monitoring each week, including
one-to-one supervised walking sessions or group supervised walking sessions based on patient preference, and regular phone calls or SMS reminders. Third, each participant wore a pedometer
and recorded the number of steps taken and time spent walking during each session in a logbook. Fourth, participants were encouraged to engage social supports such as walking with a friend, family member or other research participants if they chose to.
</text>
  </threadedComment>
  <threadedComment ref="G40" dT="2020-01-28T15:54:05.72" personId="{53AFB218-E3EE-436A-BEB1-F88F7768E553}" id="{DA21DA0C-97AB-4FBC-A9F9-06C88B093C6A}">
    <text xml:space="preserve">Second, there was regular
physiotherapy supervision and monitoring each week, including
one-to-one supervised walking sessions or group supervised walking sessions based on patient preference, and regular phone calls or SMS reminders.
</text>
  </threadedComment>
  <threadedComment ref="I40" dT="2020-01-28T15:54:11.43" personId="{53AFB218-E3EE-436A-BEB1-F88F7768E553}" id="{89FF446A-F33D-4F5A-A555-6CBFC864EC3B}">
    <text xml:space="preserve">Second, there was regular
physiotherapy supervision and monitoring each week, including
one-to-one supervised walking sessions or group supervised walking sessions based on patient preference, and regular phone calls or SMS reminders.
</text>
  </threadedComment>
  <threadedComment ref="E44" dT="2019-11-22T14:58:19.44" personId="{42CFCB0A-E3BE-400B-BF1B-D75DC7197EB5}" id="{165D3BA8-8C81-4D7F-A0DA-553CB93031AE}">
    <text xml:space="preserve">The intervention group(Cycling) participated in a community-based 12-week program consisting of at least 2 supervised group cycling sessions per week to maximize aerobic fitness while limiting direct knee joint stress. The instructor fitted each subject to the bikes, using a standardized method, at the first class.
The subjects’ settings on the bicycle were recorded and available at each class to ensure proper pedaling mechanics during the sub-sequent group cycling classes. During each class, subjects were asked to wear a Polar heart rate monitor (Polar Electro Inc, Lake Success, NY). Subjects were instructed to maintain an average of 70% to 75% of their maximal heart rate, as established by the baseline VO2max testing, throughout cycling classes.
As a group exercise regimen, these 
classes are typically composed of a warm-
up, aerobic loading, and a cool-down, 
organized in a class model with an in-
structor as facilitator.33 The stationary 
bike used in the group cycling classes is 
a typical Spinning cycle, which is an up-right stationary bike with an adjustable 
heavy front flywheel. The aero-
bic demand for each participant in the 
study was individualized and controlled 
throughout the exercise session by modi-
fications of pedal resistance, pedal ca-
dence, and riding positions through cues 
provided by the group instructor.
Classes were offered 6 days per week, 
with classes occurring at different times 
throughout the day to ensure availabil-
ity to the exercise group. Subjects were 
required to attend 2 classes a week and 
permitted to attend more if they de-
sired. If unable to attend sessions due to 
travel, subjects were encouraged to ride 
a stationary bike or street bike to ensure 
cycling at least twice a week. The instruc-
tor-led classes progressively increased 
from 40 to 60 minutes and included 
light-intensity warm-up/cool-down, al-
ternating efforts of fast-cadence pedaling 
and simulated hill climbs, and stretching. 
Subjects were encouraged to not leave the saddle or cycle in the standing (climb-
ing) position, which is common in these 
classes, to avoid aggravating their knee symptoms. During the cool-down phase 
of each session, under the guidance of 
the class instructor, subjects followed a 
standard protocol of gentle stretching for 
the ankle plantar flexors, quadriceps, hip 
flexors, hamstrings, and upper extremity 
muscle groups.
Control Group The participants in the 
control group were encouraged not to 
initiate any new exercise outside their 
daily activities and their routine exercise 
regimens within the first 12 weeks of the 
study.
</text>
  </threadedComment>
  <threadedComment ref="G44" dT="2020-01-27T15:35:37.44" personId="{42CFCB0A-E3BE-400B-BF1B-D75DC7197EB5}" id="{1C4F7E22-B59F-4E10-BF99-DB2CF7EA84FA}">
    <text xml:space="preserve">At least 2 sessions per week for 12 weeks
</text>
  </threadedComment>
  <threadedComment ref="R44" dT="2020-01-27T16:04:51.81" personId="{42CFCB0A-E3BE-400B-BF1B-D75DC7197EB5}" id="{50F79DB0-D657-4B7F-BCE0-12738CAC29CB}">
    <text xml:space="preserve">The Likert-scale version of the 
WOMAC was used, and the scores were 
transformed on a 0-to-100 scale. 
</text>
  </threadedComment>
  <threadedComment ref="Y44" dT="2019-11-27T08:06:08.62" personId="{42CFCB0A-E3BE-400B-BF1B-D75DC7197EB5}" id="{FBBB1B0F-7CD2-4D39-967B-FC892D005854}">
    <text xml:space="preserve">Gait velocity (preferred and maximal) 
was determined by asking the subject to 
walk across a 12-ft (3.66-m) GAITRite 
instrumented walkway (CIR Systems, 
Inc, Sparta, NJ) that measured real-time 
temporal and spatial gait parameters. 
Subjects began their walk 3 m before the beginning of the mat and ended 3 m beyond the end of the mat to ensure measurement of steady-state gait velocity. 
Subjects were asked to walk at their comfortable walking speed for the preferred walking-speed trials. Maximal velocity was achieved by asking the subject to walk as fast as possible without running. 
A walking trial at maximal velocity was 
repeated if running occurred, which was indicated by an instantaneous loss of bi-
lateral foot contact with the walkway. The 
subjects were tested 3 times each at their 
preferred and maximal walking veloci-
ties, for a total of 6 walking trials. Sub-
jects were allowed a self-determined rest period of up to 1 minute between walking trials, during which they could sit if they desired, and indicated when they 
were ready for the next trial. No subject 
required the entire 1-minute rest period 
between walking trials at the baseline or 
follow-up gait assessments, or requested a seated rest period. Preferred and maximal gait velocities (3-trial average) were measured at baseline and after 12 weeks for the control and cycling groups.
</text>
  </threadedComment>
  <threadedComment ref="E48" dT="2020-01-28T15:58:49.53" personId="{53AFB218-E3EE-436A-BEB1-F88F7768E553}" id="{568C87AC-545B-4ABE-82FC-02FFBAA0E4D7}">
    <text xml:space="preserve">The RT group participated in an open-kinetic chain resistance training program designed specifically for knee OA patients, which consisted of two 1-h sessions per week. The program included the following knee and hip exercises per-
formed with ankle cuff weights: seated leg extension, standing hamstring curl, straight leg raise, standing hip abduction,
standing hip adduction, standing hip flexion, standing calf raise. Participants started with either a 5 lb or 10 lb ankle
weight and progressed from two sets of eight repetitions to three sets of 12 repetitions during the first 6 weeks, and were allowed to increase the weight as needed during the final 4 weeks.
</text>
  </threadedComment>
  <threadedComment ref="E50" dT="2020-01-28T15:59:00.98" personId="{53AFB218-E3EE-436A-BEB1-F88F7768E553}" id="{0A99433A-7ED0-43CC-8DF0-4A730516026C}">
    <text xml:space="preserve">The TJ group participated in a 1-h group training session twice per week in which they learned and practiced a program
of 12 basic movements adapted from the Yang style Tai Ji. The program was designed by a Tai Ji master with 35 years of experience. The program began by learning the first two movements during the first session, and then adding a new
movement during each session for the first 5 weeks. In each training session of the first weeks, sufficient time was provided for practicing the new and previously learned movements.
During the last 5 weeks, participants also practiced the movements in the opposite direction to the original direction
in order to similarly “load” both lower limbs.
</text>
  </threadedComment>
  <threadedComment ref="E54" dT="2019-12-18T08:51:33.50" personId="{42CFCB0A-E3BE-400B-BF1B-D75DC7197EB5}" id="{F4775FFF-6A03-430F-BA63-82F5059C6DAA}">
    <text xml:space="preserve">INTERVENTION
General advice A simple verbal explanation concerning knee
pain and knee OA was given to all study
subjects before randomisation. In addition all subjects were advised on the importance of losing weight or not becoming overweight, wearing training shoes/air ﬁlled soles and maintaining ﬁtness by walking or swimming.
Exercise group
A graded exercise programme was devised. Five exercises were included:
1 Isometric quadriceps contraction in full
extension held for ﬁve seconds (subject sits on ﬂoor with back supported and legs extended, with rolled up towel under one knee and contracts quadriceps by pushing into the ﬂoor against towel)
2 Isotonic quadriceps contraction held in mid ﬂexion for ﬁve seconds (subject sits in a chair, lifts lower leg to partially extended position and holds)
3 Isotonic hamstring contraction (subjects lies on front or side and bends knee bringing foot  towards body)
4 Isotonic quadriceps contraction with resistance band held for ﬁve seconds (as for exercise 2)
5 Dynamic stepping exercise (walking up and down one step/stair) Exercises were started in the above order and increased to a maximum of 20 repetitions on
each leg. Exercises were performed at home on a daily basis, having been taught by a nurse metrologist. In addition to the initial visit, sub-
jects were visited on three further occasions (at two weeks, six weeks, and three months) by the metrologist.
COMPLIANCE
Subjects were asked to complete a diary documenting the number of exercises performed each day. Compliance was graded into four categories based on the number of exercises performed over the study period.
</text>
  </threadedComment>
  <threadedComment ref="R54" dT="2020-01-27T16:32:25.37" personId="{42CFCB0A-E3BE-400B-BF1B-D75DC7197EB5}" id="{4B2CDDAB-2E40-4E99-8324-924CF1A9BB38}">
    <text xml:space="preserve">The higher score, the worse
</text>
  </threadedComment>
  <threadedComment ref="V54" dT="2019-12-18T08:45:41.15" personId="{42CFCB0A-E3BE-400B-BF1B-D75DC7197EB5}" id="{45757416-93A4-459D-8D22-0A2D51445A0A}">
    <text xml:space="preserve">Self reported WOMAC physical function
score (0–68, with higher scores indicating
more disability)
</text>
  </threadedComment>
  <threadedComment ref="AA54" dT="2019-12-18T08:48:35.59" personId="{42CFCB0A-E3BE-400B-BF1B-D75DC7197EB5}" id="{0CDBFDCD-03DD-49C7-868B-F2763ABF6523}">
    <text xml:space="preserve">Self reported health status using the Anglicised version of the SF-36 health status questionnaire12 (0–100 for each dimension with higher scores indicating “better health”)
</text>
  </threadedComment>
  <threadedComment ref="E56" dT="2019-12-18T08:52:08.19" personId="{42CFCB0A-E3BE-400B-BF1B-D75DC7197EB5}" id="{03F512F0-495C-477F-9E9B-133686C5BE5F}">
    <text xml:space="preserve">Control group
Subjects in the control group did not receive speciﬁc intervention and were not visited between assessments.
</text>
  </threadedComment>
  <threadedComment ref="E58" dT="2020-01-28T16:09:24.63" personId="{53AFB218-E3EE-436A-BEB1-F88F7768E553}" id="{5D4E7BF7-048A-4F10-A60C-5AFF5EDEA0F8}">
    <text xml:space="preserve">The  platform  group  subjects  received  a  vertical  sinusoidal vibration at a preestablished frequency (FitVibea).  The volume of the squat training for the squat and platform groups was increased systematically during the 12-week inter-
vention by increasing the time and number of sets and reducing
the rest time (table 1). For patients in the platform group, the vibration acceleration was also increased by varying the vibratory frequency (35–40Hz).
</text>
  </threadedComment>
  <threadedComment ref="E60" dT="2020-01-28T16:09:42.72" personId="{53AFB218-E3EE-436A-BEB1-F88F7768E553}" id="{CDC074D9-2E0F-470D-B824-43B7DDE75996}">
    <text xml:space="preserve">The  structured  program  of  squat  exercises  in  the  platform and squat groups was conducted 3 times per week, on alternate days, for 12 weeks. Before the squat exercise, the intervention groups (squat and
platform)  warmed  up  on  exercise  bikes c for  10  uninterrupted
minutes  at  70%  of  maximum  cardiac  frequency,  which  was predicted  for  age  and  was  monitored  with  a  cardiofrequency meter (Polar model F4d)
</text>
  </threadedComment>
  <threadedComment ref="E64" dT="2019-12-16T10:50:40.20" personId="{42CFCB0A-E3BE-400B-BF1B-D75DC7197EB5}" id="{BB48691C-6334-4381-A363-83875A96E1BB}">
    <text xml:space="preserve">The control group received no intervention during the study period.
Intervention: The programme involved eight weeks of group Tai Chi Qigong sessions, with 60 minutes per session twice a week.
Tai Chi Qigong was performed for 1 hour, and repeated twice a week for eight weeks. Tai Chi Qigong consists of 18 movements, in which traditional warm-up exercises include weight shifting,
arm swinging, visualization techniques and gentle stretches of the neck, shoulder spine, arms and legs. These exercises focus on releasing tension
in the physical body, incorporating mindfulness and imagery into movement, increasing awareness
of breathing and promoting overall relaxation of the body and mind.
Activities Approximate
Duration (min)
Warm-up exercise (15)
1) Supine – hypogastric breathing
2) Sitting – neck/shoulder stretches
3) Sitting – arm/leg stretches
Tai Chi Qigong 18 movements: (45)
1) Raising the arms
2) Opening the chest
3) Painting a rainbow
4) Separating the clouds
5) Rolling the arms in a horse-riding stance
6) Rowing the boat
7) Carry ball in front of the shoulders
8) Looking at the moon
9) Pushing palms
10) Cloud hands in a horse-riding stance
11) Scooping the sea and searching the sky
12) Pushing waves
13) Flying dove spreads its wings
14) Punching in horse stance
15) Flying like wild geese
16) Rotating wheel
17) Stepping whilst bouncing a ball
18) Balancing chi
</text>
  </threadedComment>
  <threadedComment ref="R64" dT="2019-12-16T10:53:50.12" personId="{42CFCB0A-E3BE-400B-BF1B-D75DC7197EB5}" id="{A20C4DC8-F7C8-4E2F-96BC-37D2485934A8}">
    <text xml:space="preserve">Western Ontario and McMaster University Osteoarthritis Index (WOMAC) questionnaire, with a scale from 26 (no difficulty) to 130 (extreme difficulty) indicating the level of difficulty asso-
ciated with overall functional activities due to knee pain, and including subscales for knee pain (35 points), stiffness (10 points) and physical func-
tion (85 points).
</text>
  </threadedComment>
  <threadedComment ref="Y64" dT="2019-12-16T10:54:16.93" personId="{42CFCB0A-E3BE-400B-BF1B-D75DC7197EB5}" id="{5AFE2325-1DA9-4CAC-979B-86B0A6585096}">
    <text xml:space="preserve">Patients were instructed to walk a distance of 6 m as fast as possible and the elapsed time was recorded.
</text>
  </threadedComment>
  <threadedComment ref="AA64" dT="2019-12-16T10:52:10.16" personId="{42CFCB0A-E3BE-400B-BF1B-D75DC7197EB5}" id="{ACAF58C2-B09B-4587-A784-1BB99A414E81}">
    <text xml:space="preserve">The higher, the better
</text>
  </threadedComment>
  <threadedComment ref="E68" dT="2020-01-28T16:24:24.24" personId="{53AFB218-E3EE-436A-BEB1-F88F7768E553}" id="{2789A1C0-ED02-4167-8DE7-B90E50B845E0}">
    <text xml:space="preserve">A previously designed computer game foot-stepping exercise that predominantly involves knee movement in a sitting position was utilized.19 During PrT, the patients were asked to repetitively step on target pedals in multiple directions. Patients were also required to perform fast and accurate range-of-motion exercises involving the knee. Such an exercise model has been previously demonstrated to increase proprioception in individuals with knee OA.19,23 In the computer game used for training, the head of a snake appeared in the center of the computer screen, ready to catch its prey. Participants controlled movement of the snake (up, down, left, and right) by stepping on the anterior, posterior, left, and right pedals, respectively. The snake was programmed to move at 1 of 9 speeds, beginning with the slowest speed. When the subject accumulated a specific score predetermined by the program, the game progressed to the next faster speed, thus increasing difficulty of the task. All participants were able to attain the fastest speed by the end of the 8-week intervention. During performance of the task, an approximately 150- to 250-N force (as read on the load cells located under the foot pedal) was applied to the foot of the participating subject. Training was performed for 20 minutes for each lower extremity, with a 10-minute break between sides to prevent fatigue. All patients underwent 3 training sessions per week for 8 weeks in our kinesiology laboratory
</text>
  </threadedComment>
  <threadedComment ref="E70" dT="2020-01-28T16:24:38.32" personId="{53AFB218-E3EE-436A-BEB1-F88F7768E553}" id="{A68D4F20-3C3D-4DC9-839B-DBB2208DFEBE}">
    <text xml:space="preserve">Patients sat comfortably in a chair with their back against the back support (Enraf-Nonius BV, Delft, Netherlands) and their knees at 90° of flexion. Both hands were used to grasp the sides of the seat. A pad attached to the dynamometer cable was placed on the distal, anterior portion of the lower leg. Before training, the quadriceps 1-RM was determined using an En-Dynamic dynamometer (Enraf-Nonius BV). During training, patients were asked to fully extend the knee using a concentric quadriceps action, then to lower the leg using
an eccentric quadriceps action (&lt;?=KH;_x0016_().
The baseline resistance was set at 50%
of 1-RM, with a progressive increment of
5% of the original 1-RM every 2 weeks, as
long as the increased resistance did not
elicit knee pain. All patients trained 3
sessions weekly for 8 weeks. Each session
consisted of 4 sets, with 6 repetitions per
set. There was a 1-minute rest between
sets. Both lower extremities were trained,
with a 5-minute interval between the
training of each side.
Patients in the control group did not
receive any intervention. All participants
were asked to cease any exercise activity
outside of the exercise training.
</text>
  </threadedComment>
  <threadedComment ref="B74" dT="2019-12-18T16:21:34.48" personId="{42CFCB0A-E3BE-400B-BF1B-D75DC7197EB5}" id="{16D89EB7-0469-4571-B5FA-9D162663233C}">
    <text xml:space="preserve">The data was'nt clear enough to me. It is better to check with experts.
</text>
  </threadedComment>
  <threadedComment ref="D74" dT="2019-12-18T15:58:20.19" personId="{42CFCB0A-E3BE-400B-BF1B-D75DC7197EB5}" id="{58925ADF-C648-4CA8-AE37-31FC2F838B70}">
    <text xml:space="preserve">Thirty four patients
were included in the trial (Fig. 1). Inclusion criteria were knee OA (radiographic grade II, III, or IV using
Kelgreen-Lawrence criteria), being independent in daily activity and being between 50–69 years of age.
</text>
  </threadedComment>
  <threadedComment ref="E74" dT="2019-12-18T16:03:47.68" personId="{42CFCB0A-E3BE-400B-BF1B-D75DC7197EB5}" id="{FA6A242F-190F-4926-9DF8-AF481EC6C6DD}">
    <text xml:space="preserve">Training program
A 12-week exercise program was supervised three times per week by four trainers and one health technician. The participants were informed on the details
of the exercise program, work stations and breathing control during walk and exercise stations. The program
involved aerobic, strength, and ﬂexibility training.
Exercise sessions began with a 10-min warm-up and ended with a 15-min cool-down session. These sessions included slow walk, low-impact calisthenics and
slow, static stretching exercises.
The aerobic training phase consisted of a 20 minute walk at a comfortable pace. The THR was 50 percent of heart rate reserve in the ﬁrst two weeks, and was enhanced 5 percent every two weeks during the ﬁrst six weeks of the training process.
Functional strengthening exercises were performed in a circuit and were organized as a row of four exer-
cise stations. The exercises included step-ups, chair-squat, standing hip extension, and knee mid-ﬂexion to
end-range extension (in sitting position), utilizing body weight as resistance. In the ﬁrst two weeks, exercises
with 12 repetitions in a single set were performed. The sets were increased to three in the 3rd week for all par-
ticipants. Two-min rest intervals were allowed between sets, and 1 minute rests between single exercise bouts.
In addition, diaphragmatic respiratory exercises with three repetitions were performed.
After all strength and aerobic exercises, ﬂexibility exercises included a static stretching program with the
hip external-internal rotator muscle, hamstring, quadriceps, calf, invertor, evertor, plantar ﬂexor and dor-
salﬂexor muscle stretch in sitting and standing positions. The intensity was three repetitions per muscle group with a duration of 20-sec hold.
</text>
  </threadedComment>
  <threadedComment ref="E78" dT="2020-01-28T16:40:47.12" personId="{53AFB218-E3EE-436A-BEB1-F88F7768E553}" id="{2DF1EBFB-A4E7-4E8F-AE2F-1C4D4E93A088}">
    <text xml:space="preserve">Six experienced musculoskeletal physiotherapists supervised the home-based quadriceps strengthening program. Participants were taught 5 quadriceps strengthening exercises (Table 1) to be performed on the study leg 5 days a week for 12 weeks using ankle weights and a black Thera-Band (Hygenic Corporation, Akron, OH). Participants visited the physiotherapists a total of 7 times (during weeks 1, 2, 3, 4, 5, 7, and 10), and exercise loads were progressed when participants could comfortably achieve the given dosages. Participants in the control group were not given any intervention and were asked to avoid starting any new treatment or exercise program.
</text>
  </threadedComment>
  <threadedComment ref="G78" dT="2020-01-28T16:44:46.56" personId="{53AFB218-E3EE-436A-BEB1-F88F7768E553}" id="{2E16177B-B263-4A4C-84D5-B131C6D45ADF}">
    <text xml:space="preserve">Participants visited the physiotherapists a total of 7 times (during weeks 1, 2, 3, 4, 5, 7, and 10)
</text>
  </threadedComment>
  <threadedComment ref="I78" dT="2020-01-28T16:44:12.80" personId="{53AFB218-E3EE-436A-BEB1-F88F7768E553}" id="{13046FC8-B14F-433E-BBA1-CF3312A9CB30}">
    <text xml:space="preserve">Six experienced musculoskeletal physiotherapists supervised the home-based quadriceps strengthening program.
</text>
  </threadedComment>
  <threadedComment ref="R78" dT="2020-01-28T16:39:54.06" personId="{53AFB218-E3EE-436A-BEB1-F88F7768E553}" id="{20AD450A-F47B-4086-807C-08A8DF02FD55}">
    <text xml:space="preserve">The WOMAC ranges from 0 –100, with higher scores indicating worse symptoms.
</text>
  </threadedComment>
  <threadedComment ref="V78" dT="2020-01-28T16:39:59.03" personId="{53AFB218-E3EE-436A-BEB1-F88F7768E553}" id="{957716D4-C3AD-46C3-A4B7-0B63E81D6D9D}">
    <text xml:space="preserve">The WOMAC ranges from 0 –100, with higher scores indicating worse symptoms.
</text>
  </threadedComment>
  <threadedComment ref="X78" dT="2020-01-28T16:40:04.00" personId="{53AFB218-E3EE-436A-BEB1-F88F7768E553}" id="{226A14D2-5A79-4D6E-9835-22C0A4CAE7CC}">
    <text xml:space="preserve">The WOMAC ranges from 0 –100
</text>
  </threadedComment>
  <threadedComment ref="E80" dT="2020-01-28T16:41:02.94" personId="{53AFB218-E3EE-436A-BEB1-F88F7768E553}" id="{2BAA537B-4E8A-4E73-A1B9-4889F3DE8B38}">
    <text xml:space="preserve">Table 1. Quadriceps exercises* 1. Long arc knee extension using ankle weight in sitting position from 90 degrees to 0 degrees knee flexion. 2. Inner range knee extension using ankle weight over fulcrum in supine lying or long sitting position from 30 degrees to 0 degrees knee flexion. 3. Straight leg raise using ankle weight in supine lying or elbow-supported supine lying position. 4. Isometric knee extension at 30 degrees knee flexion using ankle weight in sitting position. 5. Isometric knee extension at 60 degrees knee flexion using Thera-Band in sitting position. 
* Each exercise was performed in a controlled manner at a selfdetermined pace. Two sets of 10 repetitions were performed for the first 2 weeks, and 3 sets of 10 repetitions thereafter. Exercises were performed 5 days of each week, with 2 rest days determined by the participants according to their symptoms.
</text>
  </threadedComment>
  <threadedComment ref="G80" dT="2020-01-28T16:44:51.05" personId="{53AFB218-E3EE-436A-BEB1-F88F7768E553}" id="{A182722F-1EB3-4EB8-9A87-EECA53297B2D}">
    <text xml:space="preserve">Participants visited the physiotherapists a total of 7 times (during weeks 1, 2, 3, 4, 5, 7, and 10)
</text>
  </threadedComment>
  <threadedComment ref="I80" dT="2020-01-28T16:44:18.20" personId="{53AFB218-E3EE-436A-BEB1-F88F7768E553}" id="{BE258E3D-18D8-4293-82F7-40C76304F971}">
    <text xml:space="preserve">Six experienced musculoskeletal physiotherapists supervised the home-based quadriceps strengthening program.
</text>
  </threadedComment>
  <threadedComment ref="E86" dT="2019-12-16T10:50:40.20" personId="{42CFCB0A-E3BE-400B-BF1B-D75DC7197EB5}" id="{A5E6A45D-0D5E-4A28-B8BC-54659A90EC9D}">
    <text xml:space="preserve">The control group received no intervention during the study period.
Intervention: The programme involved eight weeks of group Tai Chi Qigong sessions, with 60 minutes per session twice a week.
Tai Chi Qigong was performed for 1 hour, and repeated twice a week for eight weeks. Tai Chi Qigong consists of 18 movements, in which traditional warm-up exercises include weight shifting,
arm swinging, visualization techniques and gentle stretches of the neck, shoulder spine, arms and legs. These exercises focus on releasing tension
in the physical body, incorporating mindfulness and imagery into movement, increasing awareness
of breathing and promoting overall relaxation of the body and mind.
Activities Approximate
Duration (min)
Warm-up exercise (15)
1) Supine – hypogastric breathing
2) Sitting – neck/shoulder stretches
3) Sitting – arm/leg stretches
Tai Chi Qigong 18 movements: (45)
1) Raising the arms
2) Opening the chest
3) Painting a rainbow
4) Separating the clouds
5) Rolling the arms in a horse-riding stance
6) Rowing the boat
7) Carry ball in front of the shoulders
8) Looking at the moon
9) Pushing palms
10) Cloud hands in a horse-riding stance
11) Scooping the sea and searching the sky
12) Pushing waves
13) Flying dove spreads its wings
14) Punching in horse stance
15) Flying like wild geese
16) Rotating wheel
17) Stepping whilst bouncing a ball
18) Balancing chi
</text>
  </threadedComment>
  <threadedComment ref="R86" dT="2019-12-16T10:53:50.12" personId="{42CFCB0A-E3BE-400B-BF1B-D75DC7197EB5}" id="{37395DFE-E17A-4C4D-81FF-E69701D9F9B6}">
    <text xml:space="preserve">Western Ontario and McMaster University Osteoarthritis Index (WOMAC) questionnaire, with a scale from 26 (no difficulty) to 130 (extreme difficulty) indicating the level of difficulty asso-
ciated with overall functional activities due to knee pain, and including subscales for knee pain (35 points), stiffness (10 points) and physical func-
tion (85 points).
</text>
  </threadedComment>
  <threadedComment ref="Y86" dT="2019-12-16T10:54:16.93" personId="{42CFCB0A-E3BE-400B-BF1B-D75DC7197EB5}" id="{A3C18D30-F632-4D95-BFC2-24A4E18C0525}">
    <text xml:space="preserve">Patients were instructed to walk a distance of 6 m as fast as possible and the elapsed time was recorded.
</text>
  </threadedComment>
  <threadedComment ref="AA86" dT="2019-12-16T10:52:10.16" personId="{42CFCB0A-E3BE-400B-BF1B-D75DC7197EB5}" id="{6E32E0BF-1D2E-42D3-AD80-E747B55553DE}">
    <text xml:space="preserve">The higher, the better
</text>
  </threadedComment>
  <threadedComment ref="E90" dT="2020-01-31T14:34:58.15" personId="{53AFB218-E3EE-436A-BEB1-F88F7768E553}" id="{19561215-F6B9-4383-AEF6-728104AB9EB9}">
    <text xml:space="preserve">Exercise therapy. Exercise therapy comprised a 20-week individualized (tailored) knee OA exercise program, with 2 sessions of 30–60 minutes per week under the supervision of a PT. The exercise therapy provided in the present study was based on the protocol developed by Knoop et al (12) and consisted of muscle-strength training of the lower extremity, aerobic training, and training of daily activities (1,2,12,16). Flexibility and stability exercises of the lower extremity were added on indication. See Supplementary Appendix A (available on the Arthritis Care &amp; Research web site at http://onlinelibrary.wiley.com/doi/10.1002/acr. 23013/abstract) for an overview of the content of the exercise therapy. Comorbidity-related adaptations were made to the diagnostic phase and the intervention phase (20) (see Supplementary Appendix B, available on the Arthritis Care &amp; Research web site at http://onlinelibrary.wiley.com/doi/10. 1002/acr.23013/abstract). In the diagnostic phase, comorbidityrelated contraindications and restrictions were identified by history taking and physical examination in an extensive 1-hour intake procedure. Absolute contraindications were defined as conditions that would lead to the immediate exclusion of the participant from exercise therapy (e.g., unstable angina). Restrictions (or relative contraindications) were defined as impairments that limit the application of exercise therapy (e.g., dyspnea in patients with COPD). In the intervention phase, knee OA exercises as described by Knoop et al (12) (see Supplementary Appendix A, available on the Arthritis Care &amp; Research web site at http:// onlinelibrary.wiley.com/doi/10.1002/acr.23013/abstract) were adapted to the comorbid disease, taking into account restrictions. Exercise therapy was adapted by changing frequency, intensity, timing, and type (FITT) factors of the exercises or by adding educational (e.g., providing comorbidityrelated information on exercise therapy) or coaching strategies (e.g., coaching for reducing body weight or coaching for fear of exertion). Third, during every training session, comorbidity-related symptoms and clinical parameters were monitored, and exercise was adapted if required. The specific adaptations to the OA exercises were based on principles described in comorbidity-specific exercise guidelines (e.g., cardiac rehabilitation) (26) and were listed in the protocol (20) (see Supplementary Appendix B, available on the Arthritis Care &amp; Research web site at http://onlinelibrary.wiley. com/doi/10.1002/acr.23013/abstract). The training intensity was monitored with the Borg Rate of Perceived Exertion scale (range 6–20) (27) and on the heart rate reserve, if indicated (28). In addition to the supervised exercise sessions, education on knee OA was provided, and participants were encouraged to perform exercises at home at least 5 times a week.
</text>
  </threadedComment>
  <threadedComment ref="G90" dT="2020-01-31T15:02:01.96" personId="{53AFB218-E3EE-436A-BEB1-F88F7768E553}" id="{E85469EF-14C1-4E0C-8892-206795573491}">
    <text xml:space="preserve">In addition to the supervised exercise sessions, education on knee OA was provided, and participants were encouraged to perform exercises at home at least 5 times a week.
</text>
  </threadedComment>
  <threadedComment ref="Q91" dT="2020-01-31T14:55:09.61" personId="{53AFB218-E3EE-436A-BEB1-F88F7768E553}" id="{840BDBEA-58B4-4D29-9C6A-B7010ED1D614}">
    <text xml:space="preserve">The treatment period is 20 weeks. They gave midtreatment results after 10 weeks. There is also followup results after 32 weeks. Since the treatment is over after 20 weeks, I did not include results after 32 weeks.
</text>
  </threadedComment>
  <threadedComment ref="D97" dT="2020-01-31T15:04:00.38" personId="{53AFB218-E3EE-436A-BEB1-F88F7768E553}" id="{FDA2B966-56A7-46AC-BB52-05A0384D3C2B}">
    <text xml:space="preserve">Training weight. According to the criteria defined by Beneka et al29 for elderly people, 50% and 90% of 1 RM should be attained for lowand high-resistance strength training, respectively. However, in an unpublished pilot study (N_x0001_10), we found that 7 subjects with Western Ontario and McMaster Universities Osteoarthritis Index (WOMAC)30 pain scores of _x0001_5 were not able to tolerate a training weight of 80% of 1 RM. After several trials, 60% of 1 RM was designated as the initial intensity for high-resistance strength training (about 45–50 kg). In order to observe a greater clinically meaningful difference between high- and lowresistance exercises, the initial lowresistance training intensity was set at 10% of 1 RM (about 7–10 kg). For the purpose of accomplishing a similar total volume of training (resistance repetitions sets), the high-resistance exercise (60% of 1 RM) consisted of 8 repetitions 3 sets (training volume per session_x0001_1 RM 0.6 24_x0001_14.4 1 RM), and the low-resistance exercise (10% of 1 RM) consisted of 15 repetitions 10 sets (training volume per session_x0001_1 RM 0.1 150_x0001_15 1 RM).
</text>
  </threadedComment>
  <threadedComment ref="E97" dT="2020-01-31T15:04:18.67" personId="{53AFB218-E3EE-436A-BEB1-F88F7768E553}" id="{B7BAA514-9FFB-4AEB-B0BA-883176B31BB3}">
    <text xml:space="preserve">Before resistance training, the EN-Dynamic Track leg press machine* (Enraf-Nonius BV, Netherlands) was used to measure 1-RM unilateral strength in the lower extremity. The testing resistance was set at 0.5 to 0.6 times body weight. A single set of repetition-to-fatigue test was performed. All subjects were encouraged to perform as many unilateral leg press repetitions as possible until they could not press or failed to complete a full range of motion again. Finally, the resistance load and the number of repetitions of each subject were recorded to estimate the unilateral 1-RM value using Odvar Holten Pyramid diagram31 provided by the software of the EN-Dynamic Track machine. Subjects performed knee resistance training in a sitting position, with one foot placed on the center of the pedal of the EN-Dynamic Track machine. Subjects were asked to fully extend and flex their knee joint from 90 degrees of knee flexion. Each action was completed rhythmically, with the first second spent extending the knee and the following second spent flexing the knee.
</text>
  </threadedComment>
  <threadedComment ref="E99" dT="2020-01-31T15:04:31.49" personId="{53AFB218-E3EE-436A-BEB1-F88F7768E553}" id="{7B4EF1BF-15F2-49B9-8C2F-42C540D878B1}">
    <text xml:space="preserve">The subjects in both exercise groups underwent 3 training sessions per week for 8 weeks in our kinesiology laboratory. The program was delivered individually to the subjects and supervised by an experienced therapist. Every 2 weeks, 1 RM was retested, and the training weight for both groups was progressively increased by 5% of the new 1 RM, as tolerated. Subjects rested for 1 minute between sets. Both legs were trained, with a 5-minute interval between left and right knee sessions. Subjects in the control group did not receive any intervention. All subjects assigned to an exercise group used an exercise bicycle for 10 minutes as a warm-up before undertaking resistance training. Cold packs were applied to subjects’ knees for 10 minutes after exercise completion. An exercise session took approximately 30 minutes in the HR group and 50 minutes in the LR group. All subjects were asked to cease any exercise activity outside of the exercise training.
</text>
  </threadedComment>
  <threadedComment ref="D104" dT="2020-01-31T15:12:56.07" personId="{53AFB218-E3EE-436A-BEB1-F88F7768E553}" id="{30F8A2D0-8F13-46BE-AF9D-DE20401098C0}">
    <text xml:space="preserve">A total of 90 (56 female, 34 male) patients with knee OA were included in this study. Their ages ranged between 48 and 71 years. After physicalexamination, allsubjects received weight-bearing anteroposterior X-rays of the knees. Patients having a quadriceps exercise program during the last 6 months, effusion on knees, previous knee replacement, severe cardiovascular diseases, and grade 4 OA according to Kellgren and Lawrence criteria were excluded from the study [6]. The patients were separated into three groups. 
</text>
  </threadedComment>
  <threadedComment ref="E104" dT="2020-01-31T15:13:08.63" personId="{53AFB218-E3EE-436A-BEB1-F88F7768E553}" id="{EDCE9348-AA85-4A9D-AAAF-75DB9822A12F}">
    <text xml:space="preserve">Group 1 (n=30) received a home exercise program. This program included isometric and isotonic quadriceps exercises: 1. Isometric straight leg lifts (patient lies supine on a flat surface, slowly contracts the thigh muscles and dorsoflex the foot, slowly lifts the foot 10 cm up from the surface and holds for 5 s, then lowers slowly) 2. Isometric quadriceps contraction (patient sits on the floor, puts a hand under the knee with legs extended, and contracts the quadriceps by pushing against the hand) 3. Isotonic quadriceps exercise (begin in a sitting position with the knee bent about 90, slowly extend the leg, and hold this position for 5 s). Patients also received this program adding weight. They started with the lowest weight (0.5 kg) and progressed up to a maximum of 5 kg. Each of the exercises was applied at least ten times, twice a day at home. They were taught by a physiotherapist at the hospital.
</text>
  </threadedComment>
  <threadedComment ref="E106" dT="2020-01-31T15:13:20.93" personId="{53AFB218-E3EE-436A-BEB1-F88F7768E553}" id="{EDF88D18-F766-45AB-A310-C672F64E4C43}">
    <text xml:space="preserve">Group 2 (n=30) joined the regular walking program. Patients started the walking program for 10 min, three times per week. They gradually increased the walking time up to half an hour.
</text>
  </threadedComment>
  <threadedComment ref="E111" dT="2020-02-13T15:14:18.76" personId="{53AFB218-E3EE-436A-BEB1-F88F7768E553}" id="{49479108-DDF3-4463-B4F5-0CBF586AD2E2}">
    <text xml:space="preserve">Eight weeks of progressive combined resistance and aerobic exercise training was performed at the Orthopeadic Clinic, Hospital Universiti Sains Malaysia three times weekly non-consecutively to minimize the effects of fatigue and consisted of combined resistance and aerobic exercises grouped in a single one-hour training session. 
</text>
  </threadedComment>
</ThreadedComments>
</file>

<file path=xl/worksheets/_rels/sheet1.xml.rels><?xml version="1.0" encoding="UTF-8" standalone="yes"?>
<Relationships xmlns="http://schemas.openxmlformats.org/package/2006/relationships"><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1"/>
  <sheetViews>
    <sheetView topLeftCell="J1" zoomScale="60" zoomScaleNormal="60" workbookViewId="0">
      <selection activeCell="U86" sqref="U86"/>
    </sheetView>
  </sheetViews>
  <sheetFormatPr defaultRowHeight="14.5" x14ac:dyDescent="0.35"/>
  <cols>
    <col min="1" max="1" width="4.453125" style="4" bestFit="1" customWidth="1"/>
    <col min="2" max="2" width="15.54296875" style="4" bestFit="1" customWidth="1"/>
    <col min="3" max="3" width="9.453125" style="4" bestFit="1" customWidth="1"/>
    <col min="4" max="4" width="15.54296875" style="4" bestFit="1" customWidth="1"/>
    <col min="5" max="5" width="41.90625" style="4" bestFit="1" customWidth="1"/>
    <col min="6" max="6" width="33.7265625" style="4" bestFit="1" customWidth="1"/>
    <col min="7" max="7" width="21.453125" style="4" bestFit="1" customWidth="1"/>
    <col min="8" max="8" width="29.90625" style="4" bestFit="1" customWidth="1"/>
    <col min="9" max="9" width="24" style="4" bestFit="1" customWidth="1"/>
    <col min="10" max="10" width="17.1796875" style="4" bestFit="1" customWidth="1"/>
    <col min="11" max="11" width="15.54296875" style="4" bestFit="1" customWidth="1"/>
    <col min="12" max="12" width="17.81640625" style="4" bestFit="1" customWidth="1"/>
    <col min="13" max="13" width="19.1796875" style="4" bestFit="1" customWidth="1"/>
    <col min="14" max="15" width="3.7265625" style="4" bestFit="1" customWidth="1"/>
    <col min="16" max="16" width="5.81640625" style="4" bestFit="1" customWidth="1"/>
    <col min="17" max="17" width="10.36328125" style="4" bestFit="1" customWidth="1"/>
    <col min="18" max="18" width="20.36328125" style="4" bestFit="1" customWidth="1"/>
    <col min="19" max="19" width="16" style="4" bestFit="1" customWidth="1"/>
    <col min="20" max="20" width="15.36328125" style="4" bestFit="1" customWidth="1"/>
    <col min="21" max="21" width="19" style="4" bestFit="1" customWidth="1"/>
    <col min="22" max="22" width="20.54296875" style="4" bestFit="1" customWidth="1"/>
    <col min="23" max="23" width="18.7265625" style="4" bestFit="1" customWidth="1"/>
    <col min="24" max="24" width="19.453125" style="4" bestFit="1" customWidth="1"/>
    <col min="25" max="25" width="27.81640625" style="4" bestFit="1" customWidth="1"/>
    <col min="26" max="26" width="61.453125" style="4" bestFit="1" customWidth="1"/>
    <col min="27" max="27" width="27.6328125" style="4" bestFit="1" customWidth="1"/>
    <col min="28" max="28" width="17.81640625" style="4" bestFit="1" customWidth="1"/>
    <col min="29" max="29" width="19.90625" style="4" customWidth="1"/>
    <col min="30" max="30" width="24" style="4" bestFit="1" customWidth="1"/>
    <col min="31" max="16384" width="8.7265625" style="4"/>
  </cols>
  <sheetData>
    <row r="1" spans="1:29" x14ac:dyDescent="0.35">
      <c r="A1" s="84" t="s">
        <v>0</v>
      </c>
      <c r="B1" s="75" t="s">
        <v>1</v>
      </c>
      <c r="C1" s="66" t="s">
        <v>2</v>
      </c>
      <c r="D1" s="66" t="s">
        <v>3</v>
      </c>
      <c r="E1" s="66" t="s">
        <v>4</v>
      </c>
      <c r="F1" s="68" t="s">
        <v>5</v>
      </c>
      <c r="G1" s="68" t="s">
        <v>6</v>
      </c>
      <c r="H1" s="68" t="s">
        <v>7</v>
      </c>
      <c r="I1" s="68" t="s">
        <v>8</v>
      </c>
      <c r="J1" s="66" t="s">
        <v>9</v>
      </c>
      <c r="K1" s="66" t="s">
        <v>10</v>
      </c>
      <c r="L1" s="66" t="s">
        <v>11</v>
      </c>
      <c r="M1" s="66" t="s">
        <v>12</v>
      </c>
      <c r="N1" s="66" t="s">
        <v>13</v>
      </c>
      <c r="O1" s="66"/>
      <c r="P1" s="66"/>
      <c r="Q1" s="22"/>
      <c r="R1" s="107" t="s">
        <v>14</v>
      </c>
      <c r="S1" s="96"/>
      <c r="T1" s="96"/>
      <c r="U1" s="97"/>
      <c r="V1" s="67" t="s">
        <v>15</v>
      </c>
      <c r="W1" s="67"/>
      <c r="X1" s="22"/>
      <c r="Y1" s="67" t="s">
        <v>16</v>
      </c>
      <c r="Z1" s="67"/>
      <c r="AA1" s="67" t="s">
        <v>17</v>
      </c>
      <c r="AB1" s="67"/>
    </row>
    <row r="2" spans="1:29" x14ac:dyDescent="0.35">
      <c r="A2" s="84"/>
      <c r="B2" s="75"/>
      <c r="C2" s="66"/>
      <c r="D2" s="66"/>
      <c r="E2" s="66"/>
      <c r="F2" s="102"/>
      <c r="G2" s="102"/>
      <c r="H2" s="102"/>
      <c r="I2" s="102"/>
      <c r="J2" s="66"/>
      <c r="K2" s="66"/>
      <c r="L2" s="66"/>
      <c r="M2" s="66"/>
      <c r="N2" s="100" t="s">
        <v>18</v>
      </c>
      <c r="O2" s="100" t="s">
        <v>19</v>
      </c>
      <c r="P2" s="100" t="s">
        <v>20</v>
      </c>
      <c r="Q2" s="94" t="s">
        <v>21</v>
      </c>
      <c r="R2" s="108" t="s">
        <v>22</v>
      </c>
      <c r="S2" s="96" t="s">
        <v>23</v>
      </c>
      <c r="T2" s="96"/>
      <c r="U2" s="97"/>
      <c r="V2" s="94" t="s">
        <v>22</v>
      </c>
      <c r="W2" s="96" t="s">
        <v>23</v>
      </c>
      <c r="X2" s="97"/>
      <c r="Y2" s="22"/>
      <c r="Z2" s="22"/>
      <c r="AA2" s="22"/>
      <c r="AB2" s="22"/>
    </row>
    <row r="3" spans="1:29" x14ac:dyDescent="0.35">
      <c r="A3" s="84"/>
      <c r="B3" s="75"/>
      <c r="C3" s="66"/>
      <c r="D3" s="66"/>
      <c r="E3" s="66"/>
      <c r="F3" s="69"/>
      <c r="G3" s="69"/>
      <c r="H3" s="69"/>
      <c r="I3" s="69"/>
      <c r="J3" s="66"/>
      <c r="K3" s="66"/>
      <c r="L3" s="66"/>
      <c r="M3" s="66"/>
      <c r="N3" s="101"/>
      <c r="O3" s="101"/>
      <c r="P3" s="101"/>
      <c r="Q3" s="95"/>
      <c r="R3" s="109"/>
      <c r="S3" s="6" t="s">
        <v>546</v>
      </c>
      <c r="T3" s="9" t="s">
        <v>547</v>
      </c>
      <c r="U3" s="7" t="s">
        <v>548</v>
      </c>
      <c r="V3" s="95"/>
      <c r="W3" s="6" t="s">
        <v>549</v>
      </c>
      <c r="X3" s="7" t="s">
        <v>550</v>
      </c>
      <c r="Y3" s="1" t="s">
        <v>22</v>
      </c>
      <c r="Z3" s="1" t="s">
        <v>24</v>
      </c>
      <c r="AA3" s="1" t="s">
        <v>22</v>
      </c>
      <c r="AB3" s="1" t="s">
        <v>24</v>
      </c>
    </row>
    <row r="4" spans="1:29" x14ac:dyDescent="0.35">
      <c r="A4" s="85">
        <v>1</v>
      </c>
      <c r="B4" s="77" t="s">
        <v>25</v>
      </c>
      <c r="C4" s="45">
        <v>2008</v>
      </c>
      <c r="D4" s="74" t="s">
        <v>26</v>
      </c>
      <c r="E4" s="74" t="s">
        <v>27</v>
      </c>
      <c r="F4" s="43" t="s">
        <v>551</v>
      </c>
      <c r="G4" s="43">
        <v>40</v>
      </c>
      <c r="H4" s="43" t="s">
        <v>552</v>
      </c>
      <c r="I4" s="43" t="s">
        <v>553</v>
      </c>
      <c r="J4" s="72" t="s">
        <v>28</v>
      </c>
      <c r="K4" s="72" t="s">
        <v>29</v>
      </c>
      <c r="L4" s="70" t="s">
        <v>30</v>
      </c>
      <c r="M4" s="70" t="s">
        <v>30</v>
      </c>
      <c r="N4" s="72">
        <v>0</v>
      </c>
      <c r="O4" s="24">
        <v>14</v>
      </c>
      <c r="P4" s="23">
        <v>14</v>
      </c>
      <c r="Q4" s="23" t="s">
        <v>31</v>
      </c>
      <c r="R4" s="45" t="s">
        <v>84</v>
      </c>
      <c r="S4" s="11" t="s">
        <v>32</v>
      </c>
      <c r="T4" s="11"/>
      <c r="U4" s="11" t="s">
        <v>554</v>
      </c>
      <c r="V4" s="45" t="s">
        <v>33</v>
      </c>
      <c r="W4" s="11" t="s">
        <v>34</v>
      </c>
      <c r="X4" s="11" t="s">
        <v>555</v>
      </c>
      <c r="Y4" s="45" t="s">
        <v>35</v>
      </c>
      <c r="Z4" s="23" t="s">
        <v>36</v>
      </c>
      <c r="AA4" s="45" t="s">
        <v>37</v>
      </c>
      <c r="AB4" s="23" t="s">
        <v>38</v>
      </c>
    </row>
    <row r="5" spans="1:29" x14ac:dyDescent="0.35">
      <c r="A5" s="85"/>
      <c r="B5" s="77"/>
      <c r="C5" s="45"/>
      <c r="D5" s="74"/>
      <c r="E5" s="74"/>
      <c r="F5" s="44"/>
      <c r="G5" s="44"/>
      <c r="H5" s="44"/>
      <c r="I5" s="44"/>
      <c r="J5" s="72"/>
      <c r="K5" s="72"/>
      <c r="L5" s="70"/>
      <c r="M5" s="70"/>
      <c r="N5" s="72"/>
      <c r="O5" s="24">
        <v>11</v>
      </c>
      <c r="P5" s="23">
        <v>11</v>
      </c>
      <c r="Q5" s="24" t="s">
        <v>39</v>
      </c>
      <c r="R5" s="45"/>
      <c r="S5" s="11" t="s">
        <v>40</v>
      </c>
      <c r="T5" s="11"/>
      <c r="U5" s="11" t="s">
        <v>556</v>
      </c>
      <c r="V5" s="45"/>
      <c r="W5" s="11" t="s">
        <v>41</v>
      </c>
      <c r="X5" s="11" t="s">
        <v>557</v>
      </c>
      <c r="Y5" s="45"/>
      <c r="Z5" s="11" t="s">
        <v>42</v>
      </c>
      <c r="AA5" s="45"/>
      <c r="AB5" s="11" t="s">
        <v>43</v>
      </c>
    </row>
    <row r="6" spans="1:29" x14ac:dyDescent="0.35">
      <c r="A6" s="85"/>
      <c r="B6" s="77"/>
      <c r="C6" s="45"/>
      <c r="D6" s="45" t="s">
        <v>44</v>
      </c>
      <c r="E6" s="73" t="s">
        <v>45</v>
      </c>
      <c r="F6" s="98" t="s">
        <v>30</v>
      </c>
      <c r="G6" s="98" t="s">
        <v>30</v>
      </c>
      <c r="H6" s="98" t="s">
        <v>30</v>
      </c>
      <c r="I6" s="98" t="s">
        <v>30</v>
      </c>
      <c r="J6" s="45" t="s">
        <v>46</v>
      </c>
      <c r="K6" s="45" t="s">
        <v>47</v>
      </c>
      <c r="L6" s="71" t="s">
        <v>30</v>
      </c>
      <c r="M6" s="71" t="s">
        <v>30</v>
      </c>
      <c r="N6" s="45">
        <v>0</v>
      </c>
      <c r="O6" s="11">
        <v>14</v>
      </c>
      <c r="P6" s="11">
        <v>14</v>
      </c>
      <c r="Q6" s="24" t="s">
        <v>31</v>
      </c>
      <c r="R6" s="45"/>
      <c r="S6" s="11" t="s">
        <v>48</v>
      </c>
      <c r="T6" s="11"/>
      <c r="U6" s="11" t="s">
        <v>558</v>
      </c>
      <c r="V6" s="45"/>
      <c r="W6" s="11" t="s">
        <v>49</v>
      </c>
      <c r="X6" s="11" t="s">
        <v>559</v>
      </c>
      <c r="Y6" s="45"/>
      <c r="Z6" s="11" t="s">
        <v>50</v>
      </c>
      <c r="AA6" s="45"/>
      <c r="AB6" s="11" t="s">
        <v>51</v>
      </c>
    </row>
    <row r="7" spans="1:29" x14ac:dyDescent="0.35">
      <c r="A7" s="85"/>
      <c r="B7" s="77"/>
      <c r="C7" s="45"/>
      <c r="D7" s="45"/>
      <c r="E7" s="73"/>
      <c r="F7" s="99"/>
      <c r="G7" s="99"/>
      <c r="H7" s="99"/>
      <c r="I7" s="99"/>
      <c r="J7" s="45"/>
      <c r="K7" s="45"/>
      <c r="L7" s="71"/>
      <c r="M7" s="71"/>
      <c r="N7" s="45"/>
      <c r="O7" s="11">
        <v>10</v>
      </c>
      <c r="P7" s="11">
        <v>10</v>
      </c>
      <c r="Q7" s="11" t="s">
        <v>39</v>
      </c>
      <c r="R7" s="45"/>
      <c r="S7" s="11" t="s">
        <v>52</v>
      </c>
      <c r="T7" s="11"/>
      <c r="U7" s="11" t="s">
        <v>560</v>
      </c>
      <c r="V7" s="45"/>
      <c r="W7" s="11" t="s">
        <v>53</v>
      </c>
      <c r="X7" s="11" t="s">
        <v>561</v>
      </c>
      <c r="Y7" s="45"/>
      <c r="Z7" s="11" t="s">
        <v>54</v>
      </c>
      <c r="AA7" s="45"/>
      <c r="AB7" s="11" t="s">
        <v>55</v>
      </c>
    </row>
    <row r="8" spans="1:29" x14ac:dyDescent="0.35">
      <c r="A8" s="84">
        <v>2</v>
      </c>
      <c r="B8" s="76" t="s">
        <v>56</v>
      </c>
      <c r="C8" s="60">
        <v>2010</v>
      </c>
      <c r="D8" s="60" t="s">
        <v>26</v>
      </c>
      <c r="E8" s="60" t="s">
        <v>562</v>
      </c>
      <c r="F8" s="86" t="s">
        <v>563</v>
      </c>
      <c r="G8" s="86" t="s">
        <v>564</v>
      </c>
      <c r="H8" s="86" t="s">
        <v>565</v>
      </c>
      <c r="I8" s="86" t="s">
        <v>566</v>
      </c>
      <c r="J8" s="60" t="s">
        <v>57</v>
      </c>
      <c r="K8" s="60" t="s">
        <v>58</v>
      </c>
      <c r="L8" s="60" t="s">
        <v>30</v>
      </c>
      <c r="M8" s="60" t="s">
        <v>30</v>
      </c>
      <c r="N8" s="60">
        <v>22</v>
      </c>
      <c r="O8" s="60">
        <v>23</v>
      </c>
      <c r="P8" s="60">
        <v>45</v>
      </c>
      <c r="Q8" s="20" t="s">
        <v>31</v>
      </c>
      <c r="R8" s="60" t="s">
        <v>59</v>
      </c>
      <c r="S8" s="20"/>
      <c r="T8" s="20"/>
      <c r="U8" s="20" t="s">
        <v>60</v>
      </c>
      <c r="V8" s="60" t="s">
        <v>61</v>
      </c>
      <c r="W8" s="20"/>
      <c r="X8" s="2" t="s">
        <v>62</v>
      </c>
      <c r="Y8" s="60" t="s">
        <v>63</v>
      </c>
      <c r="Z8" s="20" t="s">
        <v>64</v>
      </c>
      <c r="AA8" s="60" t="s">
        <v>30</v>
      </c>
      <c r="AB8" s="60" t="s">
        <v>30</v>
      </c>
    </row>
    <row r="9" spans="1:29" x14ac:dyDescent="0.35">
      <c r="A9" s="84"/>
      <c r="B9" s="76"/>
      <c r="C9" s="60"/>
      <c r="D9" s="60"/>
      <c r="E9" s="60"/>
      <c r="F9" s="87"/>
      <c r="G9" s="87"/>
      <c r="H9" s="87"/>
      <c r="I9" s="87"/>
      <c r="J9" s="60"/>
      <c r="K9" s="60"/>
      <c r="L9" s="60"/>
      <c r="M9" s="60"/>
      <c r="N9" s="60"/>
      <c r="O9" s="60"/>
      <c r="P9" s="60"/>
      <c r="Q9" s="20" t="s">
        <v>344</v>
      </c>
      <c r="R9" s="60"/>
      <c r="S9" s="20"/>
      <c r="T9" s="20"/>
      <c r="U9" s="20" t="s">
        <v>65</v>
      </c>
      <c r="V9" s="60"/>
      <c r="W9" s="20"/>
      <c r="X9" s="2" t="s">
        <v>66</v>
      </c>
      <c r="Y9" s="60"/>
      <c r="Z9" s="20" t="s">
        <v>67</v>
      </c>
      <c r="AA9" s="60"/>
      <c r="AB9" s="60"/>
    </row>
    <row r="10" spans="1:29" x14ac:dyDescent="0.35">
      <c r="A10" s="84"/>
      <c r="B10" s="76"/>
      <c r="C10" s="60"/>
      <c r="D10" s="60" t="s">
        <v>44</v>
      </c>
      <c r="E10" s="60" t="s">
        <v>68</v>
      </c>
      <c r="F10" s="86" t="s">
        <v>30</v>
      </c>
      <c r="G10" s="86" t="s">
        <v>30</v>
      </c>
      <c r="H10" s="86" t="s">
        <v>30</v>
      </c>
      <c r="I10" s="86" t="s">
        <v>30</v>
      </c>
      <c r="J10" s="60" t="s">
        <v>69</v>
      </c>
      <c r="K10" s="60" t="s">
        <v>70</v>
      </c>
      <c r="L10" s="60" t="s">
        <v>30</v>
      </c>
      <c r="M10" s="60" t="s">
        <v>30</v>
      </c>
      <c r="N10" s="60">
        <v>24</v>
      </c>
      <c r="O10" s="60">
        <v>20</v>
      </c>
      <c r="P10" s="60">
        <v>44</v>
      </c>
      <c r="Q10" s="20" t="s">
        <v>31</v>
      </c>
      <c r="R10" s="60"/>
      <c r="S10" s="20"/>
      <c r="T10" s="20"/>
      <c r="U10" s="20" t="s">
        <v>71</v>
      </c>
      <c r="V10" s="60"/>
      <c r="W10" s="20"/>
      <c r="X10" s="2" t="s">
        <v>72</v>
      </c>
      <c r="Y10" s="60"/>
      <c r="Z10" s="2" t="s">
        <v>73</v>
      </c>
      <c r="AA10" s="60"/>
      <c r="AB10" s="60"/>
    </row>
    <row r="11" spans="1:29" x14ac:dyDescent="0.35">
      <c r="A11" s="84"/>
      <c r="B11" s="76"/>
      <c r="C11" s="60"/>
      <c r="D11" s="60"/>
      <c r="E11" s="60"/>
      <c r="F11" s="87"/>
      <c r="G11" s="87"/>
      <c r="H11" s="87"/>
      <c r="I11" s="87"/>
      <c r="J11" s="60"/>
      <c r="K11" s="60"/>
      <c r="L11" s="60"/>
      <c r="M11" s="60"/>
      <c r="N11" s="60"/>
      <c r="O11" s="60"/>
      <c r="P11" s="60"/>
      <c r="Q11" s="20" t="s">
        <v>344</v>
      </c>
      <c r="R11" s="60"/>
      <c r="S11" s="20"/>
      <c r="T11" s="20"/>
      <c r="U11" s="32" t="s">
        <v>74</v>
      </c>
      <c r="V11" s="60"/>
      <c r="W11" s="20"/>
      <c r="X11" s="2" t="s">
        <v>75</v>
      </c>
      <c r="Y11" s="60"/>
      <c r="Z11" s="2" t="s">
        <v>76</v>
      </c>
      <c r="AA11" s="60"/>
      <c r="AB11" s="93"/>
      <c r="AC11" s="41"/>
    </row>
    <row r="12" spans="1:29" x14ac:dyDescent="0.35">
      <c r="A12" s="85">
        <v>3</v>
      </c>
      <c r="B12" s="77" t="s">
        <v>77</v>
      </c>
      <c r="C12" s="45">
        <v>2017</v>
      </c>
      <c r="D12" s="45" t="s">
        <v>78</v>
      </c>
      <c r="E12" s="45" t="s">
        <v>79</v>
      </c>
      <c r="F12" s="46" t="s">
        <v>567</v>
      </c>
      <c r="G12" s="46">
        <v>16</v>
      </c>
      <c r="H12" s="46" t="s">
        <v>568</v>
      </c>
      <c r="I12" s="46" t="s">
        <v>569</v>
      </c>
      <c r="J12" s="45" t="s">
        <v>80</v>
      </c>
      <c r="K12" s="45" t="s">
        <v>81</v>
      </c>
      <c r="L12" s="45" t="s">
        <v>82</v>
      </c>
      <c r="M12" s="45" t="s">
        <v>83</v>
      </c>
      <c r="N12" s="45">
        <v>5</v>
      </c>
      <c r="O12" s="45">
        <v>10</v>
      </c>
      <c r="P12" s="45">
        <v>15</v>
      </c>
      <c r="Q12" s="11" t="s">
        <v>31</v>
      </c>
      <c r="R12" s="82" t="s">
        <v>84</v>
      </c>
      <c r="S12" s="17"/>
      <c r="T12" s="119" t="s">
        <v>85</v>
      </c>
      <c r="U12" s="121">
        <f>31.33/5</f>
        <v>6.266</v>
      </c>
      <c r="V12" s="77" t="s">
        <v>33</v>
      </c>
      <c r="W12" s="11" t="s">
        <v>86</v>
      </c>
      <c r="X12" s="50" t="s">
        <v>88</v>
      </c>
      <c r="Y12" s="46" t="s">
        <v>87</v>
      </c>
      <c r="Z12" s="11" t="s">
        <v>88</v>
      </c>
      <c r="AA12" s="11" t="s">
        <v>30</v>
      </c>
      <c r="AB12" s="26" t="s">
        <v>30</v>
      </c>
      <c r="AC12" s="42"/>
    </row>
    <row r="13" spans="1:29" x14ac:dyDescent="0.35">
      <c r="A13" s="85"/>
      <c r="B13" s="77"/>
      <c r="C13" s="45"/>
      <c r="D13" s="45"/>
      <c r="E13" s="45"/>
      <c r="F13" s="47"/>
      <c r="G13" s="47"/>
      <c r="H13" s="47"/>
      <c r="I13" s="47"/>
      <c r="J13" s="45"/>
      <c r="K13" s="45"/>
      <c r="L13" s="45"/>
      <c r="M13" s="45"/>
      <c r="N13" s="45"/>
      <c r="O13" s="45"/>
      <c r="P13" s="45"/>
      <c r="Q13" s="11" t="s">
        <v>39</v>
      </c>
      <c r="R13" s="82"/>
      <c r="S13" s="17"/>
      <c r="T13" s="119" t="s">
        <v>89</v>
      </c>
      <c r="U13" s="121">
        <f>8/5</f>
        <v>1.6</v>
      </c>
      <c r="V13" s="77"/>
      <c r="W13" s="11" t="s">
        <v>90</v>
      </c>
      <c r="X13" s="56"/>
      <c r="Y13" s="47"/>
      <c r="Z13" s="11" t="s">
        <v>88</v>
      </c>
      <c r="AA13" s="11"/>
      <c r="AB13" s="26"/>
      <c r="AC13" s="42"/>
    </row>
    <row r="14" spans="1:29" x14ac:dyDescent="0.35">
      <c r="A14" s="85"/>
      <c r="B14" s="77"/>
      <c r="C14" s="45"/>
      <c r="D14" s="45" t="s">
        <v>91</v>
      </c>
      <c r="E14" s="45"/>
      <c r="F14" s="47"/>
      <c r="G14" s="47"/>
      <c r="H14" s="47"/>
      <c r="I14" s="47"/>
      <c r="J14" s="45" t="s">
        <v>92</v>
      </c>
      <c r="K14" s="45" t="s">
        <v>93</v>
      </c>
      <c r="L14" s="45" t="s">
        <v>94</v>
      </c>
      <c r="M14" s="45" t="s">
        <v>95</v>
      </c>
      <c r="N14" s="45">
        <v>4</v>
      </c>
      <c r="O14" s="45">
        <v>7</v>
      </c>
      <c r="P14" s="45">
        <v>11</v>
      </c>
      <c r="Q14" s="11" t="s">
        <v>31</v>
      </c>
      <c r="R14" s="82"/>
      <c r="S14" s="17"/>
      <c r="T14" s="119">
        <v>0</v>
      </c>
      <c r="U14" s="121">
        <v>0</v>
      </c>
      <c r="V14" s="77"/>
      <c r="W14" s="11" t="s">
        <v>96</v>
      </c>
      <c r="X14" s="56"/>
      <c r="Y14" s="47"/>
      <c r="Z14" s="11" t="s">
        <v>88</v>
      </c>
      <c r="AA14" s="11"/>
      <c r="AB14" s="26"/>
      <c r="AC14" s="42"/>
    </row>
    <row r="15" spans="1:29" x14ac:dyDescent="0.35">
      <c r="A15" s="85"/>
      <c r="B15" s="77"/>
      <c r="C15" s="45"/>
      <c r="D15" s="45"/>
      <c r="E15" s="45"/>
      <c r="F15" s="48"/>
      <c r="G15" s="48"/>
      <c r="H15" s="48"/>
      <c r="I15" s="48"/>
      <c r="J15" s="45"/>
      <c r="K15" s="45"/>
      <c r="L15" s="45"/>
      <c r="M15" s="45"/>
      <c r="N15" s="45"/>
      <c r="O15" s="45"/>
      <c r="P15" s="45"/>
      <c r="Q15" s="11" t="s">
        <v>39</v>
      </c>
      <c r="R15" s="82"/>
      <c r="S15" s="17"/>
      <c r="T15" s="119" t="s">
        <v>97</v>
      </c>
      <c r="U15" s="121">
        <f>0.91/5</f>
        <v>0.182</v>
      </c>
      <c r="V15" s="77"/>
      <c r="W15" s="11" t="s">
        <v>98</v>
      </c>
      <c r="X15" s="56"/>
      <c r="Y15" s="47"/>
      <c r="Z15" s="11" t="s">
        <v>88</v>
      </c>
      <c r="AA15" s="11"/>
      <c r="AB15" s="26"/>
      <c r="AC15" s="42"/>
    </row>
    <row r="16" spans="1:29" x14ac:dyDescent="0.35">
      <c r="A16" s="85"/>
      <c r="B16" s="77"/>
      <c r="C16" s="45"/>
      <c r="D16" s="45" t="s">
        <v>44</v>
      </c>
      <c r="E16" s="45" t="s">
        <v>99</v>
      </c>
      <c r="F16" s="46" t="s">
        <v>30</v>
      </c>
      <c r="G16" s="46" t="s">
        <v>30</v>
      </c>
      <c r="H16" s="46" t="s">
        <v>30</v>
      </c>
      <c r="I16" s="46" t="s">
        <v>30</v>
      </c>
      <c r="J16" s="45" t="s">
        <v>100</v>
      </c>
      <c r="K16" s="45" t="s">
        <v>101</v>
      </c>
      <c r="L16" s="45" t="s">
        <v>102</v>
      </c>
      <c r="M16" s="45" t="s">
        <v>103</v>
      </c>
      <c r="N16" s="45">
        <v>2</v>
      </c>
      <c r="O16" s="45">
        <v>14</v>
      </c>
      <c r="P16" s="45">
        <v>16</v>
      </c>
      <c r="Q16" s="11" t="s">
        <v>31</v>
      </c>
      <c r="R16" s="82"/>
      <c r="S16" s="17"/>
      <c r="T16" s="119" t="s">
        <v>104</v>
      </c>
      <c r="U16" s="121">
        <f>15.63/5</f>
        <v>3.1260000000000003</v>
      </c>
      <c r="V16" s="77"/>
      <c r="W16" s="11" t="s">
        <v>105</v>
      </c>
      <c r="X16" s="56"/>
      <c r="Y16" s="47"/>
      <c r="Z16" s="11" t="s">
        <v>88</v>
      </c>
      <c r="AA16" s="11"/>
      <c r="AB16" s="26"/>
      <c r="AC16" s="42"/>
    </row>
    <row r="17" spans="1:29" x14ac:dyDescent="0.35">
      <c r="A17" s="85"/>
      <c r="B17" s="77"/>
      <c r="C17" s="45"/>
      <c r="D17" s="45"/>
      <c r="E17" s="45"/>
      <c r="F17" s="48"/>
      <c r="G17" s="48"/>
      <c r="H17" s="48"/>
      <c r="I17" s="48"/>
      <c r="J17" s="45"/>
      <c r="K17" s="45"/>
      <c r="L17" s="45"/>
      <c r="M17" s="45"/>
      <c r="N17" s="45"/>
      <c r="O17" s="45"/>
      <c r="P17" s="45"/>
      <c r="Q17" s="11" t="s">
        <v>39</v>
      </c>
      <c r="R17" s="82"/>
      <c r="S17" s="17"/>
      <c r="T17" s="120" t="s">
        <v>106</v>
      </c>
      <c r="U17" s="121">
        <f>20.94/5</f>
        <v>4.1880000000000006</v>
      </c>
      <c r="V17" s="77"/>
      <c r="W17" s="11" t="s">
        <v>107</v>
      </c>
      <c r="X17" s="55"/>
      <c r="Y17" s="48"/>
      <c r="Z17" s="11" t="s">
        <v>88</v>
      </c>
      <c r="AA17" s="11"/>
      <c r="AB17" s="26"/>
      <c r="AC17" s="42"/>
    </row>
    <row r="18" spans="1:29" x14ac:dyDescent="0.35">
      <c r="A18" s="84">
        <v>4</v>
      </c>
      <c r="B18" s="76" t="s">
        <v>108</v>
      </c>
      <c r="C18" s="60">
        <v>2014</v>
      </c>
      <c r="D18" s="60" t="s">
        <v>26</v>
      </c>
      <c r="E18" s="60" t="s">
        <v>570</v>
      </c>
      <c r="F18" s="86" t="s">
        <v>571</v>
      </c>
      <c r="G18" s="86" t="s">
        <v>572</v>
      </c>
      <c r="H18" s="27" t="s">
        <v>573</v>
      </c>
      <c r="I18" s="86" t="s">
        <v>553</v>
      </c>
      <c r="J18" s="60" t="s">
        <v>109</v>
      </c>
      <c r="K18" s="60" t="s">
        <v>110</v>
      </c>
      <c r="L18" s="60" t="s">
        <v>30</v>
      </c>
      <c r="M18" s="60" t="s">
        <v>30</v>
      </c>
      <c r="N18" s="60">
        <v>0</v>
      </c>
      <c r="O18" s="60">
        <v>18</v>
      </c>
      <c r="P18" s="60">
        <v>18</v>
      </c>
      <c r="Q18" s="20" t="s">
        <v>31</v>
      </c>
      <c r="R18" s="60" t="s">
        <v>59</v>
      </c>
      <c r="S18" s="20"/>
      <c r="T18" s="20"/>
      <c r="U18" s="33" t="s">
        <v>111</v>
      </c>
      <c r="V18" s="86" t="s">
        <v>61</v>
      </c>
      <c r="W18" s="20"/>
      <c r="X18" s="20" t="s">
        <v>112</v>
      </c>
      <c r="Y18" s="60" t="s">
        <v>113</v>
      </c>
      <c r="Z18" s="20" t="s">
        <v>114</v>
      </c>
      <c r="AA18" s="60" t="s">
        <v>115</v>
      </c>
      <c r="AB18" s="40" t="s">
        <v>116</v>
      </c>
      <c r="AC18" s="41"/>
    </row>
    <row r="19" spans="1:29" x14ac:dyDescent="0.35">
      <c r="A19" s="84"/>
      <c r="B19" s="76"/>
      <c r="C19" s="60"/>
      <c r="D19" s="60"/>
      <c r="E19" s="60"/>
      <c r="F19" s="87"/>
      <c r="G19" s="87"/>
      <c r="H19" s="28" t="s">
        <v>574</v>
      </c>
      <c r="I19" s="87"/>
      <c r="J19" s="60"/>
      <c r="K19" s="60"/>
      <c r="L19" s="60"/>
      <c r="M19" s="60"/>
      <c r="N19" s="60"/>
      <c r="O19" s="60"/>
      <c r="P19" s="60"/>
      <c r="Q19" s="20" t="s">
        <v>117</v>
      </c>
      <c r="R19" s="60"/>
      <c r="S19" s="20"/>
      <c r="T19" s="20"/>
      <c r="U19" s="20" t="s">
        <v>118</v>
      </c>
      <c r="V19" s="88"/>
      <c r="W19" s="20"/>
      <c r="X19" s="20" t="s">
        <v>119</v>
      </c>
      <c r="Y19" s="60"/>
      <c r="Z19" s="20" t="s">
        <v>120</v>
      </c>
      <c r="AA19" s="60"/>
      <c r="AB19" s="20" t="s">
        <v>121</v>
      </c>
    </row>
    <row r="20" spans="1:29" x14ac:dyDescent="0.35">
      <c r="A20" s="84"/>
      <c r="B20" s="76"/>
      <c r="C20" s="60"/>
      <c r="D20" s="60" t="s">
        <v>44</v>
      </c>
      <c r="E20" s="60" t="s">
        <v>68</v>
      </c>
      <c r="F20" s="86" t="s">
        <v>30</v>
      </c>
      <c r="G20" s="86" t="s">
        <v>30</v>
      </c>
      <c r="H20" s="86" t="s">
        <v>30</v>
      </c>
      <c r="I20" s="86" t="s">
        <v>30</v>
      </c>
      <c r="J20" s="60" t="s">
        <v>122</v>
      </c>
      <c r="K20" s="60" t="s">
        <v>123</v>
      </c>
      <c r="L20" s="60" t="s">
        <v>30</v>
      </c>
      <c r="M20" s="60" t="s">
        <v>30</v>
      </c>
      <c r="N20" s="60">
        <v>0</v>
      </c>
      <c r="O20" s="60">
        <v>18</v>
      </c>
      <c r="P20" s="60">
        <v>18</v>
      </c>
      <c r="Q20" s="20" t="s">
        <v>31</v>
      </c>
      <c r="R20" s="60"/>
      <c r="S20" s="20"/>
      <c r="T20" s="20"/>
      <c r="U20" s="20" t="s">
        <v>124</v>
      </c>
      <c r="V20" s="88"/>
      <c r="W20" s="20"/>
      <c r="X20" s="20" t="s">
        <v>125</v>
      </c>
      <c r="Y20" s="60"/>
      <c r="Z20" s="2" t="s">
        <v>126</v>
      </c>
      <c r="AA20" s="60"/>
      <c r="AB20" s="20" t="s">
        <v>127</v>
      </c>
    </row>
    <row r="21" spans="1:29" x14ac:dyDescent="0.35">
      <c r="A21" s="84"/>
      <c r="B21" s="76"/>
      <c r="C21" s="60"/>
      <c r="D21" s="60"/>
      <c r="E21" s="60"/>
      <c r="F21" s="87"/>
      <c r="G21" s="87"/>
      <c r="H21" s="87"/>
      <c r="I21" s="87"/>
      <c r="J21" s="60"/>
      <c r="K21" s="60"/>
      <c r="L21" s="60"/>
      <c r="M21" s="60"/>
      <c r="N21" s="60"/>
      <c r="O21" s="60"/>
      <c r="P21" s="60"/>
      <c r="Q21" s="20" t="s">
        <v>117</v>
      </c>
      <c r="R21" s="60"/>
      <c r="S21" s="20"/>
      <c r="T21" s="20"/>
      <c r="U21" s="20" t="s">
        <v>128</v>
      </c>
      <c r="V21" s="87"/>
      <c r="W21" s="20"/>
      <c r="X21" s="20" t="s">
        <v>129</v>
      </c>
      <c r="Y21" s="60"/>
      <c r="Z21" s="2" t="s">
        <v>130</v>
      </c>
      <c r="AA21" s="60"/>
      <c r="AB21" s="20" t="s">
        <v>131</v>
      </c>
    </row>
    <row r="22" spans="1:29" x14ac:dyDescent="0.35">
      <c r="A22" s="84">
        <v>5</v>
      </c>
      <c r="B22" s="77" t="s">
        <v>132</v>
      </c>
      <c r="C22" s="45">
        <v>2015</v>
      </c>
      <c r="D22" s="45" t="s">
        <v>26</v>
      </c>
      <c r="E22" s="45" t="s">
        <v>133</v>
      </c>
      <c r="F22" s="46" t="s">
        <v>575</v>
      </c>
      <c r="G22" s="12"/>
      <c r="H22" s="39"/>
      <c r="I22" s="46" t="s">
        <v>569</v>
      </c>
      <c r="J22" s="77" t="s">
        <v>134</v>
      </c>
      <c r="K22" s="45" t="s">
        <v>135</v>
      </c>
      <c r="L22" s="45" t="s">
        <v>30</v>
      </c>
      <c r="M22" s="45" t="s">
        <v>30</v>
      </c>
      <c r="N22" s="45">
        <v>0</v>
      </c>
      <c r="O22" s="45">
        <v>29</v>
      </c>
      <c r="P22" s="45">
        <v>29</v>
      </c>
      <c r="Q22" s="11" t="s">
        <v>31</v>
      </c>
      <c r="R22" s="82" t="s">
        <v>33</v>
      </c>
      <c r="S22" s="31"/>
      <c r="T22" s="17"/>
      <c r="U22" s="25" t="s">
        <v>136</v>
      </c>
      <c r="V22" s="82" t="s">
        <v>33</v>
      </c>
      <c r="W22" s="17"/>
      <c r="X22" s="25" t="s">
        <v>137</v>
      </c>
      <c r="Y22" s="45" t="s">
        <v>35</v>
      </c>
      <c r="Z22" s="3" t="s">
        <v>138</v>
      </c>
      <c r="AA22" s="45" t="s">
        <v>37</v>
      </c>
      <c r="AB22" s="11" t="s">
        <v>139</v>
      </c>
    </row>
    <row r="23" spans="1:29" x14ac:dyDescent="0.35">
      <c r="A23" s="84"/>
      <c r="B23" s="77"/>
      <c r="C23" s="45"/>
      <c r="D23" s="45"/>
      <c r="E23" s="45"/>
      <c r="F23" s="47"/>
      <c r="G23" s="12" t="s">
        <v>576</v>
      </c>
      <c r="H23" s="39" t="s">
        <v>30</v>
      </c>
      <c r="I23" s="47"/>
      <c r="J23" s="77"/>
      <c r="K23" s="45"/>
      <c r="L23" s="45"/>
      <c r="M23" s="45"/>
      <c r="N23" s="45"/>
      <c r="O23" s="45"/>
      <c r="P23" s="45"/>
      <c r="Q23" s="11" t="s">
        <v>140</v>
      </c>
      <c r="R23" s="82"/>
      <c r="S23" s="31"/>
      <c r="T23" s="17"/>
      <c r="U23" s="25" t="s">
        <v>141</v>
      </c>
      <c r="V23" s="82"/>
      <c r="W23" s="17"/>
      <c r="X23" s="25" t="s">
        <v>142</v>
      </c>
      <c r="Y23" s="45"/>
      <c r="Z23" s="3" t="s">
        <v>143</v>
      </c>
      <c r="AA23" s="45"/>
      <c r="AB23" s="11" t="s">
        <v>144</v>
      </c>
    </row>
    <row r="24" spans="1:29" x14ac:dyDescent="0.35">
      <c r="A24" s="84"/>
      <c r="B24" s="77"/>
      <c r="C24" s="45"/>
      <c r="D24" s="45"/>
      <c r="E24" s="45"/>
      <c r="F24" s="47"/>
      <c r="G24" s="11" t="s">
        <v>577</v>
      </c>
      <c r="H24" s="26" t="s">
        <v>30</v>
      </c>
      <c r="I24" s="48"/>
      <c r="J24" s="77"/>
      <c r="K24" s="45"/>
      <c r="L24" s="45"/>
      <c r="M24" s="45"/>
      <c r="N24" s="45"/>
      <c r="O24" s="45"/>
      <c r="P24" s="45"/>
      <c r="Q24" s="11" t="s">
        <v>145</v>
      </c>
      <c r="R24" s="82"/>
      <c r="S24" s="31"/>
      <c r="T24" s="17"/>
      <c r="U24" s="25" t="s">
        <v>146</v>
      </c>
      <c r="V24" s="82"/>
      <c r="W24" s="17"/>
      <c r="X24" s="25" t="s">
        <v>147</v>
      </c>
      <c r="Y24" s="45"/>
      <c r="Z24" s="3" t="s">
        <v>148</v>
      </c>
      <c r="AA24" s="45"/>
      <c r="AB24" s="11" t="s">
        <v>149</v>
      </c>
    </row>
    <row r="25" spans="1:29" x14ac:dyDescent="0.35">
      <c r="A25" s="84"/>
      <c r="B25" s="77"/>
      <c r="C25" s="45"/>
      <c r="D25" s="45" t="s">
        <v>44</v>
      </c>
      <c r="E25" s="45" t="s">
        <v>150</v>
      </c>
      <c r="F25" s="103" t="s">
        <v>30</v>
      </c>
      <c r="G25" s="103" t="s">
        <v>30</v>
      </c>
      <c r="H25" s="104" t="s">
        <v>30</v>
      </c>
      <c r="I25" s="49" t="s">
        <v>30</v>
      </c>
      <c r="J25" s="45" t="s">
        <v>151</v>
      </c>
      <c r="K25" s="45" t="s">
        <v>152</v>
      </c>
      <c r="L25" s="45" t="s">
        <v>30</v>
      </c>
      <c r="M25" s="45" t="s">
        <v>30</v>
      </c>
      <c r="N25" s="45">
        <v>0</v>
      </c>
      <c r="O25" s="45">
        <v>28</v>
      </c>
      <c r="P25" s="45">
        <v>28</v>
      </c>
      <c r="Q25" s="11" t="s">
        <v>31</v>
      </c>
      <c r="R25" s="82"/>
      <c r="S25" s="31"/>
      <c r="T25" s="17"/>
      <c r="U25" s="25" t="s">
        <v>153</v>
      </c>
      <c r="V25" s="82"/>
      <c r="W25" s="17"/>
      <c r="X25" s="25" t="s">
        <v>154</v>
      </c>
      <c r="Y25" s="45"/>
      <c r="Z25" s="3" t="s">
        <v>155</v>
      </c>
      <c r="AA25" s="45"/>
      <c r="AB25" s="11" t="s">
        <v>156</v>
      </c>
    </row>
    <row r="26" spans="1:29" x14ac:dyDescent="0.35">
      <c r="A26" s="84"/>
      <c r="B26" s="77"/>
      <c r="C26" s="45"/>
      <c r="D26" s="45"/>
      <c r="E26" s="82"/>
      <c r="F26" s="104"/>
      <c r="G26" s="104"/>
      <c r="H26" s="104"/>
      <c r="I26" s="49"/>
      <c r="J26" s="77"/>
      <c r="K26" s="45"/>
      <c r="L26" s="45"/>
      <c r="M26" s="45"/>
      <c r="N26" s="45"/>
      <c r="O26" s="45"/>
      <c r="P26" s="45"/>
      <c r="Q26" s="11" t="s">
        <v>157</v>
      </c>
      <c r="R26" s="82"/>
      <c r="S26" s="31"/>
      <c r="T26" s="17"/>
      <c r="U26" s="25" t="s">
        <v>158</v>
      </c>
      <c r="V26" s="82"/>
      <c r="W26" s="17"/>
      <c r="X26" s="25" t="s">
        <v>159</v>
      </c>
      <c r="Y26" s="45"/>
      <c r="Z26" s="3" t="s">
        <v>160</v>
      </c>
      <c r="AA26" s="45"/>
      <c r="AB26" s="11" t="s">
        <v>161</v>
      </c>
    </row>
    <row r="27" spans="1:29" x14ac:dyDescent="0.35">
      <c r="A27" s="84"/>
      <c r="B27" s="77"/>
      <c r="C27" s="45"/>
      <c r="D27" s="45"/>
      <c r="E27" s="82"/>
      <c r="F27" s="105"/>
      <c r="G27" s="105"/>
      <c r="H27" s="105"/>
      <c r="I27" s="106"/>
      <c r="J27" s="77"/>
      <c r="K27" s="45"/>
      <c r="L27" s="45"/>
      <c r="M27" s="45"/>
      <c r="N27" s="45"/>
      <c r="O27" s="45"/>
      <c r="P27" s="45"/>
      <c r="Q27" s="11" t="s">
        <v>145</v>
      </c>
      <c r="R27" s="82"/>
      <c r="S27" s="31"/>
      <c r="T27" s="17"/>
      <c r="U27" s="8" t="s">
        <v>162</v>
      </c>
      <c r="V27" s="82"/>
      <c r="W27" s="17"/>
      <c r="X27" s="25" t="s">
        <v>163</v>
      </c>
      <c r="Y27" s="45"/>
      <c r="Z27" s="11" t="s">
        <v>164</v>
      </c>
      <c r="AA27" s="45"/>
      <c r="AB27" s="11" t="s">
        <v>165</v>
      </c>
    </row>
    <row r="28" spans="1:29" x14ac:dyDescent="0.35">
      <c r="A28" s="83">
        <v>6</v>
      </c>
      <c r="B28" s="58" t="s">
        <v>167</v>
      </c>
      <c r="C28" s="59">
        <v>2002</v>
      </c>
      <c r="D28" s="59" t="s">
        <v>168</v>
      </c>
      <c r="E28" s="59" t="s">
        <v>169</v>
      </c>
      <c r="F28" s="86" t="s">
        <v>563</v>
      </c>
      <c r="G28" s="86" t="s">
        <v>578</v>
      </c>
      <c r="H28" s="86" t="s">
        <v>579</v>
      </c>
      <c r="I28" s="86" t="s">
        <v>553</v>
      </c>
      <c r="J28" s="60" t="s">
        <v>170</v>
      </c>
      <c r="K28" s="59"/>
      <c r="L28" s="60" t="s">
        <v>171</v>
      </c>
      <c r="M28" s="59"/>
      <c r="N28" s="59">
        <v>11</v>
      </c>
      <c r="O28" s="59">
        <v>21</v>
      </c>
      <c r="P28" s="59">
        <v>32</v>
      </c>
      <c r="Q28" s="19" t="s">
        <v>31</v>
      </c>
      <c r="R28" s="59" t="s">
        <v>59</v>
      </c>
      <c r="S28" s="20"/>
      <c r="T28" s="20"/>
      <c r="U28" s="5" t="s">
        <v>172</v>
      </c>
      <c r="V28" s="59" t="s">
        <v>61</v>
      </c>
      <c r="W28" s="20"/>
      <c r="X28" s="19" t="s">
        <v>173</v>
      </c>
      <c r="Y28" s="59" t="s">
        <v>174</v>
      </c>
      <c r="Z28" s="19" t="s">
        <v>175</v>
      </c>
      <c r="AA28" s="59" t="s">
        <v>30</v>
      </c>
      <c r="AB28" s="59" t="s">
        <v>30</v>
      </c>
    </row>
    <row r="29" spans="1:29" x14ac:dyDescent="0.35">
      <c r="A29" s="83"/>
      <c r="B29" s="58"/>
      <c r="C29" s="59"/>
      <c r="D29" s="59"/>
      <c r="E29" s="59"/>
      <c r="F29" s="87"/>
      <c r="G29" s="87"/>
      <c r="H29" s="87"/>
      <c r="I29" s="87"/>
      <c r="J29" s="60"/>
      <c r="K29" s="59"/>
      <c r="L29" s="60"/>
      <c r="M29" s="59"/>
      <c r="N29" s="59"/>
      <c r="O29" s="59"/>
      <c r="P29" s="59"/>
      <c r="Q29" s="19" t="s">
        <v>176</v>
      </c>
      <c r="R29" s="59"/>
      <c r="S29" s="20"/>
      <c r="T29" s="20"/>
      <c r="U29" s="19" t="s">
        <v>177</v>
      </c>
      <c r="V29" s="59"/>
      <c r="W29" s="20"/>
      <c r="X29" s="19" t="s">
        <v>178</v>
      </c>
      <c r="Y29" s="59"/>
      <c r="Z29" s="19" t="s">
        <v>179</v>
      </c>
      <c r="AA29" s="59"/>
      <c r="AB29" s="59"/>
    </row>
    <row r="30" spans="1:29" x14ac:dyDescent="0.35">
      <c r="A30" s="83"/>
      <c r="B30" s="58"/>
      <c r="C30" s="59"/>
      <c r="D30" s="59" t="s">
        <v>180</v>
      </c>
      <c r="E30" s="59" t="s">
        <v>169</v>
      </c>
      <c r="F30" s="86" t="s">
        <v>563</v>
      </c>
      <c r="G30" s="86" t="s">
        <v>578</v>
      </c>
      <c r="H30" s="86" t="s">
        <v>579</v>
      </c>
      <c r="I30" s="86" t="s">
        <v>553</v>
      </c>
      <c r="J30" s="60" t="s">
        <v>181</v>
      </c>
      <c r="K30" s="59"/>
      <c r="L30" s="60" t="s">
        <v>182</v>
      </c>
      <c r="M30" s="59"/>
      <c r="N30" s="59">
        <v>10</v>
      </c>
      <c r="O30" s="59">
        <v>25</v>
      </c>
      <c r="P30" s="59">
        <v>35</v>
      </c>
      <c r="Q30" s="19" t="s">
        <v>31</v>
      </c>
      <c r="R30" s="59"/>
      <c r="S30" s="20"/>
      <c r="T30" s="20"/>
      <c r="U30" s="19" t="s">
        <v>183</v>
      </c>
      <c r="V30" s="59"/>
      <c r="W30" s="20"/>
      <c r="X30" s="19" t="s">
        <v>184</v>
      </c>
      <c r="Y30" s="59"/>
      <c r="Z30" s="19" t="s">
        <v>185</v>
      </c>
      <c r="AA30" s="59"/>
      <c r="AB30" s="59"/>
    </row>
    <row r="31" spans="1:29" x14ac:dyDescent="0.35">
      <c r="A31" s="83"/>
      <c r="B31" s="58"/>
      <c r="C31" s="59"/>
      <c r="D31" s="59"/>
      <c r="E31" s="59"/>
      <c r="F31" s="87"/>
      <c r="G31" s="87"/>
      <c r="H31" s="87"/>
      <c r="I31" s="87"/>
      <c r="J31" s="60"/>
      <c r="K31" s="59"/>
      <c r="L31" s="60"/>
      <c r="M31" s="59"/>
      <c r="N31" s="59"/>
      <c r="O31" s="59"/>
      <c r="P31" s="59"/>
      <c r="Q31" s="19" t="s">
        <v>176</v>
      </c>
      <c r="R31" s="59"/>
      <c r="S31" s="20"/>
      <c r="T31" s="20"/>
      <c r="U31" s="19" t="s">
        <v>186</v>
      </c>
      <c r="V31" s="59"/>
      <c r="W31" s="20"/>
      <c r="X31" s="19" t="s">
        <v>187</v>
      </c>
      <c r="Y31" s="59"/>
      <c r="Z31" s="19" t="s">
        <v>188</v>
      </c>
      <c r="AA31" s="59"/>
      <c r="AB31" s="59"/>
    </row>
    <row r="32" spans="1:29" x14ac:dyDescent="0.35">
      <c r="A32" s="83"/>
      <c r="B32" s="58"/>
      <c r="C32" s="59"/>
      <c r="D32" s="59" t="s">
        <v>44</v>
      </c>
      <c r="E32" s="59" t="s">
        <v>68</v>
      </c>
      <c r="F32" s="86" t="s">
        <v>30</v>
      </c>
      <c r="G32" s="86" t="s">
        <v>30</v>
      </c>
      <c r="H32" s="86" t="s">
        <v>30</v>
      </c>
      <c r="I32" s="86" t="s">
        <v>30</v>
      </c>
      <c r="J32" s="60" t="s">
        <v>189</v>
      </c>
      <c r="K32" s="59"/>
      <c r="L32" s="60" t="s">
        <v>190</v>
      </c>
      <c r="M32" s="59"/>
      <c r="N32" s="59">
        <v>7</v>
      </c>
      <c r="O32" s="59">
        <v>28</v>
      </c>
      <c r="P32" s="59">
        <v>35</v>
      </c>
      <c r="Q32" s="19" t="s">
        <v>31</v>
      </c>
      <c r="R32" s="59"/>
      <c r="S32" s="20"/>
      <c r="T32" s="20"/>
      <c r="U32" s="19" t="s">
        <v>191</v>
      </c>
      <c r="V32" s="59"/>
      <c r="W32" s="20"/>
      <c r="X32" s="19" t="s">
        <v>192</v>
      </c>
      <c r="Y32" s="59"/>
      <c r="Z32" s="19" t="s">
        <v>185</v>
      </c>
      <c r="AA32" s="59"/>
      <c r="AB32" s="59"/>
    </row>
    <row r="33" spans="1:28" x14ac:dyDescent="0.35">
      <c r="A33" s="83"/>
      <c r="B33" s="58"/>
      <c r="C33" s="59"/>
      <c r="D33" s="59"/>
      <c r="E33" s="59"/>
      <c r="F33" s="87"/>
      <c r="G33" s="87"/>
      <c r="H33" s="87"/>
      <c r="I33" s="87"/>
      <c r="J33" s="60"/>
      <c r="K33" s="59"/>
      <c r="L33" s="60"/>
      <c r="M33" s="59"/>
      <c r="N33" s="59"/>
      <c r="O33" s="59"/>
      <c r="P33" s="59"/>
      <c r="Q33" s="19" t="s">
        <v>176</v>
      </c>
      <c r="R33" s="59"/>
      <c r="S33" s="20"/>
      <c r="T33" s="20"/>
      <c r="U33" s="19" t="s">
        <v>193</v>
      </c>
      <c r="V33" s="59"/>
      <c r="W33" s="20"/>
      <c r="X33" s="19" t="s">
        <v>194</v>
      </c>
      <c r="Y33" s="59"/>
      <c r="Z33" s="19" t="s">
        <v>195</v>
      </c>
      <c r="AA33" s="59"/>
      <c r="AB33" s="59"/>
    </row>
    <row r="34" spans="1:28" x14ac:dyDescent="0.35">
      <c r="A34" s="83">
        <v>7</v>
      </c>
      <c r="B34" s="64" t="s">
        <v>196</v>
      </c>
      <c r="C34" s="57">
        <v>2001</v>
      </c>
      <c r="D34" s="57" t="s">
        <v>26</v>
      </c>
      <c r="E34" s="90" t="s">
        <v>197</v>
      </c>
      <c r="F34" s="57" t="s">
        <v>88</v>
      </c>
      <c r="G34" s="89" t="s">
        <v>88</v>
      </c>
      <c r="H34" s="57" t="s">
        <v>580</v>
      </c>
      <c r="I34" s="57" t="s">
        <v>566</v>
      </c>
      <c r="J34" s="64" t="s">
        <v>237</v>
      </c>
      <c r="K34" s="57" t="s">
        <v>581</v>
      </c>
      <c r="L34" s="57" t="s">
        <v>30</v>
      </c>
      <c r="M34" s="57" t="s">
        <v>582</v>
      </c>
      <c r="N34" s="17">
        <v>15</v>
      </c>
      <c r="O34" s="17">
        <v>47</v>
      </c>
      <c r="P34" s="17">
        <v>62</v>
      </c>
      <c r="Q34" s="11" t="s">
        <v>31</v>
      </c>
      <c r="R34" s="78" t="s">
        <v>84</v>
      </c>
      <c r="S34" s="17"/>
      <c r="T34" s="30" t="s">
        <v>238</v>
      </c>
      <c r="U34" s="17">
        <f>60.7/5</f>
        <v>12.14</v>
      </c>
      <c r="V34" s="91" t="s">
        <v>84</v>
      </c>
      <c r="W34" s="31" t="s">
        <v>239</v>
      </c>
      <c r="X34" s="17"/>
      <c r="Y34" s="64" t="s">
        <v>199</v>
      </c>
      <c r="Z34" s="17" t="s">
        <v>240</v>
      </c>
      <c r="AA34" s="57" t="s">
        <v>37</v>
      </c>
      <c r="AB34" s="31" t="s">
        <v>241</v>
      </c>
    </row>
    <row r="35" spans="1:28" x14ac:dyDescent="0.35">
      <c r="A35" s="83"/>
      <c r="B35" s="64"/>
      <c r="C35" s="57"/>
      <c r="D35" s="57"/>
      <c r="E35" s="90"/>
      <c r="F35" s="50"/>
      <c r="G35" s="89"/>
      <c r="H35" s="57"/>
      <c r="I35" s="57"/>
      <c r="J35" s="64"/>
      <c r="K35" s="57"/>
      <c r="L35" s="57"/>
      <c r="M35" s="57"/>
      <c r="N35" s="17"/>
      <c r="O35" s="17"/>
      <c r="P35" s="17">
        <v>56</v>
      </c>
      <c r="Q35" s="11" t="s">
        <v>200</v>
      </c>
      <c r="R35" s="79"/>
      <c r="S35" s="17"/>
      <c r="T35" s="30" t="s">
        <v>242</v>
      </c>
      <c r="U35" s="17">
        <f>7.7/5</f>
        <v>1.54</v>
      </c>
      <c r="V35" s="110"/>
      <c r="W35" s="31" t="s">
        <v>243</v>
      </c>
      <c r="X35" s="17"/>
      <c r="Y35" s="64"/>
      <c r="Z35" s="17" t="s">
        <v>244</v>
      </c>
      <c r="AA35" s="57"/>
      <c r="AB35" s="31" t="s">
        <v>245</v>
      </c>
    </row>
    <row r="36" spans="1:28" x14ac:dyDescent="0.35">
      <c r="A36" s="83"/>
      <c r="B36" s="64"/>
      <c r="C36" s="57"/>
      <c r="D36" s="57" t="s">
        <v>26</v>
      </c>
      <c r="E36" s="90" t="s">
        <v>201</v>
      </c>
      <c r="F36" s="13" t="s">
        <v>583</v>
      </c>
      <c r="G36" s="89" t="s">
        <v>584</v>
      </c>
      <c r="H36" s="57" t="s">
        <v>585</v>
      </c>
      <c r="I36" s="57" t="s">
        <v>586</v>
      </c>
      <c r="J36" s="64" t="s">
        <v>246</v>
      </c>
      <c r="K36" s="57" t="s">
        <v>587</v>
      </c>
      <c r="L36" s="57" t="s">
        <v>30</v>
      </c>
      <c r="M36" s="57" t="s">
        <v>247</v>
      </c>
      <c r="N36" s="17">
        <v>17</v>
      </c>
      <c r="O36" s="17">
        <v>42</v>
      </c>
      <c r="P36" s="17">
        <v>59</v>
      </c>
      <c r="Q36" s="11" t="s">
        <v>31</v>
      </c>
      <c r="R36" s="79"/>
      <c r="S36" s="17"/>
      <c r="T36" s="30" t="s">
        <v>248</v>
      </c>
      <c r="U36" s="17">
        <f>62.7/5</f>
        <v>12.540000000000001</v>
      </c>
      <c r="V36" s="110"/>
      <c r="W36" s="31" t="s">
        <v>249</v>
      </c>
      <c r="X36" s="17"/>
      <c r="Y36" s="64"/>
      <c r="Z36" s="17" t="s">
        <v>250</v>
      </c>
      <c r="AA36" s="57"/>
      <c r="AB36" s="31" t="s">
        <v>251</v>
      </c>
    </row>
    <row r="37" spans="1:28" x14ac:dyDescent="0.35">
      <c r="A37" s="83"/>
      <c r="B37" s="64"/>
      <c r="C37" s="57"/>
      <c r="D37" s="57"/>
      <c r="E37" s="90"/>
      <c r="F37" s="16" t="s">
        <v>588</v>
      </c>
      <c r="G37" s="89"/>
      <c r="H37" s="57"/>
      <c r="I37" s="57"/>
      <c r="J37" s="64"/>
      <c r="K37" s="57"/>
      <c r="L37" s="57"/>
      <c r="M37" s="57"/>
      <c r="N37" s="17"/>
      <c r="O37" s="17"/>
      <c r="P37" s="17">
        <v>51</v>
      </c>
      <c r="Q37" s="11" t="s">
        <v>200</v>
      </c>
      <c r="R37" s="79"/>
      <c r="S37" s="17"/>
      <c r="T37" s="30" t="s">
        <v>252</v>
      </c>
      <c r="U37" s="17">
        <f>11.4/5</f>
        <v>2.2800000000000002</v>
      </c>
      <c r="V37" s="110"/>
      <c r="W37" s="31" t="s">
        <v>253</v>
      </c>
      <c r="X37" s="17"/>
      <c r="Y37" s="64"/>
      <c r="Z37" s="17" t="s">
        <v>254</v>
      </c>
      <c r="AA37" s="57"/>
      <c r="AB37" s="31" t="s">
        <v>255</v>
      </c>
    </row>
    <row r="38" spans="1:28" x14ac:dyDescent="0.35">
      <c r="A38" s="83"/>
      <c r="B38" s="64"/>
      <c r="C38" s="57"/>
      <c r="D38" s="57" t="s">
        <v>44</v>
      </c>
      <c r="E38" s="90" t="s">
        <v>44</v>
      </c>
      <c r="F38" s="55" t="s">
        <v>30</v>
      </c>
      <c r="G38" s="89" t="s">
        <v>30</v>
      </c>
      <c r="H38" s="57" t="s">
        <v>30</v>
      </c>
      <c r="I38" s="57" t="s">
        <v>30</v>
      </c>
      <c r="J38" s="64" t="s">
        <v>202</v>
      </c>
      <c r="K38" s="57" t="s">
        <v>203</v>
      </c>
      <c r="L38" s="57" t="s">
        <v>30</v>
      </c>
      <c r="M38" s="57" t="s">
        <v>30</v>
      </c>
      <c r="N38" s="17">
        <v>14</v>
      </c>
      <c r="O38" s="17">
        <v>29</v>
      </c>
      <c r="P38" s="17">
        <v>43</v>
      </c>
      <c r="Q38" s="11" t="s">
        <v>31</v>
      </c>
      <c r="R38" s="79"/>
      <c r="S38" s="17"/>
      <c r="T38" s="30" t="s">
        <v>204</v>
      </c>
      <c r="U38" s="17">
        <f>65.8/5</f>
        <v>13.16</v>
      </c>
      <c r="V38" s="110"/>
      <c r="W38" s="31" t="s">
        <v>205</v>
      </c>
      <c r="X38" s="17"/>
      <c r="Y38" s="64"/>
      <c r="Z38" s="17" t="s">
        <v>206</v>
      </c>
      <c r="AA38" s="57"/>
      <c r="AB38" s="17" t="s">
        <v>207</v>
      </c>
    </row>
    <row r="39" spans="1:28" x14ac:dyDescent="0.35">
      <c r="A39" s="83"/>
      <c r="B39" s="64"/>
      <c r="C39" s="57"/>
      <c r="D39" s="57"/>
      <c r="E39" s="90"/>
      <c r="F39" s="57"/>
      <c r="G39" s="89"/>
      <c r="H39" s="57"/>
      <c r="I39" s="57"/>
      <c r="J39" s="64"/>
      <c r="K39" s="57"/>
      <c r="L39" s="57"/>
      <c r="M39" s="57"/>
      <c r="N39" s="17"/>
      <c r="O39" s="17"/>
      <c r="P39" s="17">
        <v>41</v>
      </c>
      <c r="Q39" s="11" t="s">
        <v>208</v>
      </c>
      <c r="R39" s="80"/>
      <c r="S39" s="17"/>
      <c r="T39" s="30" t="s">
        <v>209</v>
      </c>
      <c r="U39" s="17">
        <f>-1.5/5</f>
        <v>-0.3</v>
      </c>
      <c r="V39" s="92"/>
      <c r="W39" s="31" t="s">
        <v>210</v>
      </c>
      <c r="X39" s="17"/>
      <c r="Y39" s="64"/>
      <c r="Z39" s="17" t="s">
        <v>211</v>
      </c>
      <c r="AA39" s="57"/>
      <c r="AB39" s="17" t="s">
        <v>212</v>
      </c>
    </row>
    <row r="40" spans="1:28" x14ac:dyDescent="0.35">
      <c r="A40" s="83">
        <v>8</v>
      </c>
      <c r="B40" s="58" t="s">
        <v>213</v>
      </c>
      <c r="C40" s="59">
        <v>2017</v>
      </c>
      <c r="D40" s="59" t="s">
        <v>26</v>
      </c>
      <c r="E40" s="59" t="s">
        <v>589</v>
      </c>
      <c r="F40" s="86" t="s">
        <v>590</v>
      </c>
      <c r="G40" s="86" t="s">
        <v>591</v>
      </c>
      <c r="H40" s="27" t="s">
        <v>592</v>
      </c>
      <c r="I40" s="86" t="s">
        <v>593</v>
      </c>
      <c r="J40" s="59" t="s">
        <v>214</v>
      </c>
      <c r="K40" s="59" t="s">
        <v>215</v>
      </c>
      <c r="L40" s="59"/>
      <c r="M40" s="59"/>
      <c r="N40" s="19">
        <v>14</v>
      </c>
      <c r="O40" s="19">
        <v>9</v>
      </c>
      <c r="P40" s="19">
        <v>23</v>
      </c>
      <c r="Q40" s="19" t="s">
        <v>31</v>
      </c>
      <c r="R40" s="59" t="s">
        <v>59</v>
      </c>
      <c r="S40" s="20"/>
      <c r="T40" s="20"/>
      <c r="U40" s="19" t="s">
        <v>216</v>
      </c>
      <c r="V40" s="59" t="s">
        <v>61</v>
      </c>
      <c r="W40" s="20"/>
      <c r="X40" s="19" t="s">
        <v>217</v>
      </c>
      <c r="Y40" s="59" t="s">
        <v>218</v>
      </c>
      <c r="Z40" s="19" t="s">
        <v>219</v>
      </c>
      <c r="AA40" s="59" t="s">
        <v>220</v>
      </c>
      <c r="AB40" s="19" t="s">
        <v>221</v>
      </c>
    </row>
    <row r="41" spans="1:28" x14ac:dyDescent="0.35">
      <c r="A41" s="83"/>
      <c r="B41" s="58"/>
      <c r="C41" s="59"/>
      <c r="D41" s="59"/>
      <c r="E41" s="59"/>
      <c r="F41" s="87"/>
      <c r="G41" s="87"/>
      <c r="H41" s="28" t="s">
        <v>594</v>
      </c>
      <c r="I41" s="87"/>
      <c r="J41" s="59"/>
      <c r="K41" s="59"/>
      <c r="L41" s="59"/>
      <c r="M41" s="59"/>
      <c r="N41" s="19"/>
      <c r="O41" s="19"/>
      <c r="P41" s="19">
        <v>22</v>
      </c>
      <c r="Q41" s="19" t="s">
        <v>222</v>
      </c>
      <c r="R41" s="59"/>
      <c r="S41" s="20"/>
      <c r="T41" s="20"/>
      <c r="U41" s="19" t="s">
        <v>223</v>
      </c>
      <c r="V41" s="59"/>
      <c r="W41" s="20"/>
      <c r="X41" s="19" t="s">
        <v>224</v>
      </c>
      <c r="Y41" s="59"/>
      <c r="Z41" s="19" t="s">
        <v>225</v>
      </c>
      <c r="AA41" s="59"/>
      <c r="AB41" s="19" t="s">
        <v>226</v>
      </c>
    </row>
    <row r="42" spans="1:28" x14ac:dyDescent="0.35">
      <c r="A42" s="83"/>
      <c r="B42" s="58"/>
      <c r="C42" s="59"/>
      <c r="D42" s="59" t="s">
        <v>44</v>
      </c>
      <c r="E42" s="59" t="s">
        <v>68</v>
      </c>
      <c r="F42" s="86" t="s">
        <v>30</v>
      </c>
      <c r="G42" s="86" t="s">
        <v>30</v>
      </c>
      <c r="H42" s="86" t="s">
        <v>30</v>
      </c>
      <c r="I42" s="86" t="s">
        <v>30</v>
      </c>
      <c r="J42" s="59" t="s">
        <v>227</v>
      </c>
      <c r="K42" s="59" t="s">
        <v>228</v>
      </c>
      <c r="L42" s="59"/>
      <c r="M42" s="59"/>
      <c r="N42" s="19">
        <v>11</v>
      </c>
      <c r="O42" s="19">
        <v>12</v>
      </c>
      <c r="P42" s="19">
        <v>23</v>
      </c>
      <c r="Q42" s="19" t="s">
        <v>31</v>
      </c>
      <c r="R42" s="59"/>
      <c r="S42" s="20"/>
      <c r="T42" s="20"/>
      <c r="U42" s="19" t="s">
        <v>229</v>
      </c>
      <c r="V42" s="59"/>
      <c r="W42" s="20"/>
      <c r="X42" s="19" t="s">
        <v>230</v>
      </c>
      <c r="Y42" s="59"/>
      <c r="Z42" s="19" t="s">
        <v>231</v>
      </c>
      <c r="AA42" s="59"/>
      <c r="AB42" s="19" t="s">
        <v>232</v>
      </c>
    </row>
    <row r="43" spans="1:28" x14ac:dyDescent="0.35">
      <c r="A43" s="83"/>
      <c r="B43" s="58"/>
      <c r="C43" s="59"/>
      <c r="D43" s="59"/>
      <c r="E43" s="59"/>
      <c r="F43" s="87"/>
      <c r="G43" s="87"/>
      <c r="H43" s="87"/>
      <c r="I43" s="87"/>
      <c r="J43" s="59"/>
      <c r="K43" s="59"/>
      <c r="L43" s="59"/>
      <c r="M43" s="59"/>
      <c r="N43" s="19"/>
      <c r="O43" s="19"/>
      <c r="P43" s="19">
        <v>23</v>
      </c>
      <c r="Q43" s="19" t="s">
        <v>222</v>
      </c>
      <c r="R43" s="59"/>
      <c r="S43" s="20"/>
      <c r="T43" s="20"/>
      <c r="U43" s="19" t="s">
        <v>233</v>
      </c>
      <c r="V43" s="59"/>
      <c r="W43" s="20"/>
      <c r="X43" s="19" t="s">
        <v>234</v>
      </c>
      <c r="Y43" s="59"/>
      <c r="Z43" s="19" t="s">
        <v>235</v>
      </c>
      <c r="AA43" s="59"/>
      <c r="AB43" s="19" t="s">
        <v>236</v>
      </c>
    </row>
    <row r="44" spans="1:28" x14ac:dyDescent="0.35">
      <c r="A44" s="83">
        <v>9</v>
      </c>
      <c r="B44" s="64" t="s">
        <v>284</v>
      </c>
      <c r="C44" s="57">
        <v>2012</v>
      </c>
      <c r="D44" s="57" t="s">
        <v>26</v>
      </c>
      <c r="E44" s="82" t="s">
        <v>285</v>
      </c>
      <c r="F44" s="90" t="s">
        <v>595</v>
      </c>
      <c r="G44" s="57" t="s">
        <v>596</v>
      </c>
      <c r="H44" s="57" t="s">
        <v>597</v>
      </c>
      <c r="I44" s="57" t="s">
        <v>553</v>
      </c>
      <c r="J44" s="57" t="s">
        <v>286</v>
      </c>
      <c r="K44" s="57" t="s">
        <v>287</v>
      </c>
      <c r="L44" s="57"/>
      <c r="M44" s="57"/>
      <c r="N44" s="17">
        <v>4</v>
      </c>
      <c r="O44" s="17">
        <v>15</v>
      </c>
      <c r="P44" s="17">
        <v>19</v>
      </c>
      <c r="Q44" s="11" t="s">
        <v>31</v>
      </c>
      <c r="R44" s="90" t="s">
        <v>198</v>
      </c>
      <c r="S44" s="17"/>
      <c r="T44" s="30" t="s">
        <v>288</v>
      </c>
      <c r="U44" s="17">
        <f>70.8/5</f>
        <v>14.16</v>
      </c>
      <c r="V44" s="64" t="s">
        <v>198</v>
      </c>
      <c r="W44" s="31" t="s">
        <v>289</v>
      </c>
      <c r="X44" s="17"/>
      <c r="Y44" s="64" t="s">
        <v>290</v>
      </c>
      <c r="Z44" s="17" t="s">
        <v>291</v>
      </c>
      <c r="AA44" s="57" t="s">
        <v>37</v>
      </c>
      <c r="AB44" s="17" t="s">
        <v>292</v>
      </c>
    </row>
    <row r="45" spans="1:28" x14ac:dyDescent="0.35">
      <c r="A45" s="83"/>
      <c r="B45" s="64"/>
      <c r="C45" s="57"/>
      <c r="D45" s="57"/>
      <c r="E45" s="82"/>
      <c r="F45" s="90"/>
      <c r="G45" s="57"/>
      <c r="H45" s="57"/>
      <c r="I45" s="57"/>
      <c r="J45" s="57"/>
      <c r="K45" s="57"/>
      <c r="L45" s="57"/>
      <c r="M45" s="57"/>
      <c r="N45" s="17"/>
      <c r="O45" s="17"/>
      <c r="P45" s="17">
        <v>13</v>
      </c>
      <c r="Q45" s="11" t="s">
        <v>293</v>
      </c>
      <c r="R45" s="90"/>
      <c r="S45" s="17"/>
      <c r="T45" s="30" t="s">
        <v>294</v>
      </c>
      <c r="U45" s="17">
        <f>81.4/5</f>
        <v>16.28</v>
      </c>
      <c r="V45" s="64"/>
      <c r="W45" s="31" t="s">
        <v>295</v>
      </c>
      <c r="X45" s="17"/>
      <c r="Y45" s="64"/>
      <c r="Z45" s="17" t="s">
        <v>296</v>
      </c>
      <c r="AA45" s="57"/>
      <c r="AB45" s="17" t="s">
        <v>297</v>
      </c>
    </row>
    <row r="46" spans="1:28" x14ac:dyDescent="0.35">
      <c r="A46" s="83"/>
      <c r="B46" s="64"/>
      <c r="C46" s="57"/>
      <c r="D46" s="57" t="s">
        <v>44</v>
      </c>
      <c r="E46" s="90" t="s">
        <v>68</v>
      </c>
      <c r="F46" s="90" t="s">
        <v>30</v>
      </c>
      <c r="G46" s="57" t="s">
        <v>30</v>
      </c>
      <c r="H46" s="57" t="s">
        <v>30</v>
      </c>
      <c r="I46" s="57" t="s">
        <v>30</v>
      </c>
      <c r="J46" s="57" t="s">
        <v>298</v>
      </c>
      <c r="K46" s="57" t="s">
        <v>299</v>
      </c>
      <c r="L46" s="57"/>
      <c r="M46" s="57"/>
      <c r="N46" s="17">
        <v>6</v>
      </c>
      <c r="O46" s="17">
        <v>12</v>
      </c>
      <c r="P46" s="17">
        <v>18</v>
      </c>
      <c r="Q46" s="11" t="s">
        <v>31</v>
      </c>
      <c r="R46" s="90"/>
      <c r="S46" s="17"/>
      <c r="T46" s="30" t="s">
        <v>300</v>
      </c>
      <c r="U46" s="17">
        <f>70/5</f>
        <v>14</v>
      </c>
      <c r="V46" s="64"/>
      <c r="W46" s="31" t="s">
        <v>301</v>
      </c>
      <c r="X46" s="17"/>
      <c r="Y46" s="64"/>
      <c r="Z46" s="17" t="s">
        <v>302</v>
      </c>
      <c r="AA46" s="57"/>
      <c r="AB46" s="17" t="s">
        <v>303</v>
      </c>
    </row>
    <row r="47" spans="1:28" x14ac:dyDescent="0.35">
      <c r="A47" s="83"/>
      <c r="B47" s="64"/>
      <c r="C47" s="57"/>
      <c r="D47" s="57"/>
      <c r="E47" s="90"/>
      <c r="F47" s="90"/>
      <c r="G47" s="57"/>
      <c r="H47" s="57"/>
      <c r="I47" s="57"/>
      <c r="J47" s="57"/>
      <c r="K47" s="57"/>
      <c r="L47" s="57"/>
      <c r="M47" s="57"/>
      <c r="N47" s="17"/>
      <c r="O47" s="17"/>
      <c r="P47" s="17">
        <v>15</v>
      </c>
      <c r="Q47" s="11" t="s">
        <v>293</v>
      </c>
      <c r="R47" s="90"/>
      <c r="S47" s="17"/>
      <c r="T47" s="30" t="s">
        <v>304</v>
      </c>
      <c r="U47" s="17">
        <f>65.7/5</f>
        <v>13.14</v>
      </c>
      <c r="V47" s="64"/>
      <c r="W47" s="31" t="s">
        <v>305</v>
      </c>
      <c r="X47" s="17"/>
      <c r="Y47" s="64"/>
      <c r="Z47" s="17" t="s">
        <v>306</v>
      </c>
      <c r="AA47" s="57"/>
      <c r="AB47" s="17" t="s">
        <v>307</v>
      </c>
    </row>
    <row r="48" spans="1:28" x14ac:dyDescent="0.35">
      <c r="A48" s="83">
        <v>10</v>
      </c>
      <c r="B48" s="58" t="s">
        <v>256</v>
      </c>
      <c r="C48" s="59">
        <v>2013</v>
      </c>
      <c r="D48" s="59" t="s">
        <v>26</v>
      </c>
      <c r="E48" s="59" t="s">
        <v>257</v>
      </c>
      <c r="F48" s="86" t="s">
        <v>563</v>
      </c>
      <c r="G48" s="86" t="s">
        <v>598</v>
      </c>
      <c r="H48" s="86" t="s">
        <v>599</v>
      </c>
      <c r="I48" s="86" t="s">
        <v>600</v>
      </c>
      <c r="J48" s="60" t="s">
        <v>258</v>
      </c>
      <c r="K48" s="60" t="s">
        <v>259</v>
      </c>
      <c r="L48" s="59"/>
      <c r="M48" s="59"/>
      <c r="N48" s="59">
        <v>4</v>
      </c>
      <c r="O48" s="59">
        <v>9</v>
      </c>
      <c r="P48" s="59">
        <v>13</v>
      </c>
      <c r="Q48" s="19" t="s">
        <v>31</v>
      </c>
      <c r="R48" s="59" t="s">
        <v>33</v>
      </c>
      <c r="S48" s="19" t="s">
        <v>260</v>
      </c>
      <c r="T48" s="19"/>
      <c r="U48" s="19">
        <f>155/25</f>
        <v>6.2</v>
      </c>
      <c r="V48" s="51" t="s">
        <v>33</v>
      </c>
      <c r="W48" s="19" t="s">
        <v>261</v>
      </c>
      <c r="X48" s="19"/>
      <c r="Y48" s="59" t="s">
        <v>35</v>
      </c>
      <c r="Z48" s="19" t="s">
        <v>262</v>
      </c>
      <c r="AA48" s="59" t="s">
        <v>30</v>
      </c>
      <c r="AB48" s="59" t="s">
        <v>30</v>
      </c>
    </row>
    <row r="49" spans="1:28" x14ac:dyDescent="0.35">
      <c r="A49" s="83"/>
      <c r="B49" s="58"/>
      <c r="C49" s="59"/>
      <c r="D49" s="59"/>
      <c r="E49" s="59"/>
      <c r="F49" s="87"/>
      <c r="G49" s="87"/>
      <c r="H49" s="87"/>
      <c r="I49" s="87"/>
      <c r="J49" s="60"/>
      <c r="K49" s="60"/>
      <c r="L49" s="59"/>
      <c r="M49" s="59"/>
      <c r="N49" s="59"/>
      <c r="O49" s="59"/>
      <c r="P49" s="59"/>
      <c r="Q49" s="19" t="s">
        <v>263</v>
      </c>
      <c r="R49" s="59"/>
      <c r="S49" s="19" t="s">
        <v>264</v>
      </c>
      <c r="T49" s="19"/>
      <c r="U49" s="19">
        <f>71/25</f>
        <v>2.84</v>
      </c>
      <c r="V49" s="53"/>
      <c r="W49" s="19" t="s">
        <v>265</v>
      </c>
      <c r="X49" s="19"/>
      <c r="Y49" s="59"/>
      <c r="Z49" s="19" t="s">
        <v>266</v>
      </c>
      <c r="AA49" s="59"/>
      <c r="AB49" s="59"/>
    </row>
    <row r="50" spans="1:28" x14ac:dyDescent="0.35">
      <c r="A50" s="83"/>
      <c r="B50" s="58"/>
      <c r="C50" s="59"/>
      <c r="D50" s="59" t="s">
        <v>26</v>
      </c>
      <c r="E50" s="59" t="s">
        <v>267</v>
      </c>
      <c r="F50" s="86" t="s">
        <v>571</v>
      </c>
      <c r="G50" s="86" t="s">
        <v>601</v>
      </c>
      <c r="H50" s="86" t="s">
        <v>599</v>
      </c>
      <c r="I50" s="86" t="s">
        <v>553</v>
      </c>
      <c r="J50" s="60" t="s">
        <v>268</v>
      </c>
      <c r="K50" s="60" t="s">
        <v>269</v>
      </c>
      <c r="L50" s="59"/>
      <c r="M50" s="59"/>
      <c r="N50" s="59">
        <v>3</v>
      </c>
      <c r="O50" s="59">
        <v>9</v>
      </c>
      <c r="P50" s="59">
        <v>12</v>
      </c>
      <c r="Q50" s="19" t="s">
        <v>31</v>
      </c>
      <c r="R50" s="59"/>
      <c r="S50" s="19" t="s">
        <v>270</v>
      </c>
      <c r="T50" s="19"/>
      <c r="U50" s="19">
        <f>169/25</f>
        <v>6.76</v>
      </c>
      <c r="V50" s="53"/>
      <c r="W50" s="19" t="s">
        <v>271</v>
      </c>
      <c r="X50" s="19"/>
      <c r="Y50" s="59"/>
      <c r="Z50" s="19" t="s">
        <v>272</v>
      </c>
      <c r="AA50" s="59"/>
      <c r="AB50" s="59"/>
    </row>
    <row r="51" spans="1:28" x14ac:dyDescent="0.35">
      <c r="A51" s="83"/>
      <c r="B51" s="58"/>
      <c r="C51" s="59"/>
      <c r="D51" s="59"/>
      <c r="E51" s="59"/>
      <c r="F51" s="87"/>
      <c r="G51" s="87"/>
      <c r="H51" s="87"/>
      <c r="I51" s="87"/>
      <c r="J51" s="60"/>
      <c r="K51" s="60"/>
      <c r="L51" s="59"/>
      <c r="M51" s="59"/>
      <c r="N51" s="59"/>
      <c r="O51" s="59"/>
      <c r="P51" s="59"/>
      <c r="Q51" s="19" t="s">
        <v>263</v>
      </c>
      <c r="R51" s="59"/>
      <c r="S51" s="19" t="s">
        <v>273</v>
      </c>
      <c r="T51" s="19"/>
      <c r="U51" s="19">
        <f>141/25</f>
        <v>5.64</v>
      </c>
      <c r="V51" s="53"/>
      <c r="W51" s="19" t="s">
        <v>274</v>
      </c>
      <c r="X51" s="19"/>
      <c r="Y51" s="59"/>
      <c r="Z51" s="19" t="s">
        <v>275</v>
      </c>
      <c r="AA51" s="59"/>
      <c r="AB51" s="59"/>
    </row>
    <row r="52" spans="1:28" x14ac:dyDescent="0.35">
      <c r="A52" s="83"/>
      <c r="B52" s="58"/>
      <c r="C52" s="59"/>
      <c r="D52" s="59" t="s">
        <v>44</v>
      </c>
      <c r="E52" s="59" t="s">
        <v>68</v>
      </c>
      <c r="F52" s="86" t="s">
        <v>30</v>
      </c>
      <c r="G52" s="86" t="s">
        <v>30</v>
      </c>
      <c r="H52" s="86" t="s">
        <v>30</v>
      </c>
      <c r="I52" s="86" t="s">
        <v>30</v>
      </c>
      <c r="J52" s="65" t="s">
        <v>276</v>
      </c>
      <c r="K52" s="60" t="s">
        <v>277</v>
      </c>
      <c r="L52" s="59"/>
      <c r="M52" s="59"/>
      <c r="N52" s="59">
        <v>2</v>
      </c>
      <c r="O52" s="59">
        <v>4</v>
      </c>
      <c r="P52" s="59">
        <v>6</v>
      </c>
      <c r="Q52" s="19" t="s">
        <v>31</v>
      </c>
      <c r="R52" s="59"/>
      <c r="S52" s="19" t="s">
        <v>278</v>
      </c>
      <c r="T52" s="19"/>
      <c r="U52" s="19">
        <f>170/86</f>
        <v>1.9767441860465116</v>
      </c>
      <c r="V52" s="53"/>
      <c r="W52" s="19" t="s">
        <v>279</v>
      </c>
      <c r="X52" s="19"/>
      <c r="Y52" s="59"/>
      <c r="Z52" s="19" t="s">
        <v>280</v>
      </c>
      <c r="AA52" s="59"/>
      <c r="AB52" s="59"/>
    </row>
    <row r="53" spans="1:28" x14ac:dyDescent="0.35">
      <c r="A53" s="83"/>
      <c r="B53" s="58"/>
      <c r="C53" s="59"/>
      <c r="D53" s="59"/>
      <c r="E53" s="59"/>
      <c r="F53" s="87"/>
      <c r="G53" s="87"/>
      <c r="H53" s="87"/>
      <c r="I53" s="87"/>
      <c r="J53" s="65"/>
      <c r="K53" s="60"/>
      <c r="L53" s="59"/>
      <c r="M53" s="59"/>
      <c r="N53" s="59"/>
      <c r="O53" s="59"/>
      <c r="P53" s="59"/>
      <c r="Q53" s="19" t="s">
        <v>263</v>
      </c>
      <c r="R53" s="59"/>
      <c r="S53" s="19" t="s">
        <v>281</v>
      </c>
      <c r="T53" s="19"/>
      <c r="U53" s="19">
        <f>157/25</f>
        <v>6.28</v>
      </c>
      <c r="V53" s="52"/>
      <c r="W53" s="19" t="s">
        <v>282</v>
      </c>
      <c r="X53" s="19"/>
      <c r="Y53" s="59"/>
      <c r="Z53" s="19" t="s">
        <v>283</v>
      </c>
      <c r="AA53" s="59"/>
      <c r="AB53" s="59"/>
    </row>
    <row r="54" spans="1:28" x14ac:dyDescent="0.35">
      <c r="A54" s="83">
        <v>11</v>
      </c>
      <c r="B54" s="64" t="s">
        <v>371</v>
      </c>
      <c r="C54" s="57">
        <v>1999</v>
      </c>
      <c r="D54" s="57" t="s">
        <v>26</v>
      </c>
      <c r="E54" s="78" t="s">
        <v>602</v>
      </c>
      <c r="F54" s="57" t="s">
        <v>583</v>
      </c>
      <c r="G54" s="57" t="s">
        <v>603</v>
      </c>
      <c r="H54" s="57" t="s">
        <v>88</v>
      </c>
      <c r="I54" s="57" t="s">
        <v>600</v>
      </c>
      <c r="J54" s="91" t="s">
        <v>372</v>
      </c>
      <c r="K54" s="50" t="s">
        <v>30</v>
      </c>
      <c r="L54" s="50" t="s">
        <v>373</v>
      </c>
      <c r="M54" s="50" t="s">
        <v>30</v>
      </c>
      <c r="N54" s="17"/>
      <c r="O54" s="17"/>
      <c r="P54" s="17">
        <v>113</v>
      </c>
      <c r="Q54" s="17" t="s">
        <v>31</v>
      </c>
      <c r="R54" s="78" t="s">
        <v>374</v>
      </c>
      <c r="S54" s="17"/>
      <c r="T54" s="17"/>
      <c r="U54" s="21" t="s">
        <v>375</v>
      </c>
      <c r="V54" s="78" t="s">
        <v>376</v>
      </c>
      <c r="W54" s="17"/>
      <c r="X54" s="21" t="s">
        <v>377</v>
      </c>
      <c r="Y54" s="50" t="s">
        <v>378</v>
      </c>
      <c r="Z54" s="17" t="s">
        <v>379</v>
      </c>
      <c r="AA54" s="50" t="s">
        <v>37</v>
      </c>
      <c r="AB54" s="31"/>
    </row>
    <row r="55" spans="1:28" x14ac:dyDescent="0.35">
      <c r="A55" s="83"/>
      <c r="B55" s="64"/>
      <c r="C55" s="57"/>
      <c r="D55" s="57"/>
      <c r="E55" s="80"/>
      <c r="F55" s="57"/>
      <c r="G55" s="57"/>
      <c r="H55" s="57"/>
      <c r="I55" s="57"/>
      <c r="J55" s="92"/>
      <c r="K55" s="55"/>
      <c r="L55" s="55"/>
      <c r="M55" s="55"/>
      <c r="N55" s="17"/>
      <c r="O55" s="17"/>
      <c r="P55" s="17">
        <v>108</v>
      </c>
      <c r="Q55" s="17" t="s">
        <v>380</v>
      </c>
      <c r="R55" s="79"/>
      <c r="S55" s="17"/>
      <c r="T55" s="17"/>
      <c r="U55" s="21" t="s">
        <v>381</v>
      </c>
      <c r="V55" s="79"/>
      <c r="W55" s="17"/>
      <c r="X55" s="21" t="s">
        <v>382</v>
      </c>
      <c r="Y55" s="56"/>
      <c r="Z55" s="17" t="s">
        <v>383</v>
      </c>
      <c r="AA55" s="56"/>
      <c r="AB55" s="31" t="s">
        <v>384</v>
      </c>
    </row>
    <row r="56" spans="1:28" x14ac:dyDescent="0.35">
      <c r="A56" s="83"/>
      <c r="B56" s="64"/>
      <c r="C56" s="57"/>
      <c r="D56" s="57" t="s">
        <v>44</v>
      </c>
      <c r="E56" s="78" t="s">
        <v>68</v>
      </c>
      <c r="F56" s="57" t="s">
        <v>30</v>
      </c>
      <c r="G56" s="57" t="s">
        <v>30</v>
      </c>
      <c r="H56" s="57" t="s">
        <v>30</v>
      </c>
      <c r="I56" s="57" t="s">
        <v>30</v>
      </c>
      <c r="J56" s="91" t="s">
        <v>385</v>
      </c>
      <c r="K56" s="50" t="s">
        <v>30</v>
      </c>
      <c r="L56" s="50" t="s">
        <v>386</v>
      </c>
      <c r="M56" s="50" t="s">
        <v>30</v>
      </c>
      <c r="N56" s="17"/>
      <c r="O56" s="17"/>
      <c r="P56" s="17">
        <v>78</v>
      </c>
      <c r="Q56" s="17" t="s">
        <v>31</v>
      </c>
      <c r="R56" s="79" t="s">
        <v>166</v>
      </c>
      <c r="S56" s="17"/>
      <c r="T56" s="17"/>
      <c r="U56" s="21" t="s">
        <v>387</v>
      </c>
      <c r="V56" s="79" t="s">
        <v>166</v>
      </c>
      <c r="W56" s="17"/>
      <c r="X56" s="21" t="s">
        <v>388</v>
      </c>
      <c r="Y56" s="56" t="s">
        <v>166</v>
      </c>
      <c r="Z56" s="17" t="s">
        <v>389</v>
      </c>
      <c r="AA56" s="56" t="s">
        <v>390</v>
      </c>
      <c r="AB56" s="31"/>
    </row>
    <row r="57" spans="1:28" x14ac:dyDescent="0.35">
      <c r="A57" s="83"/>
      <c r="B57" s="64"/>
      <c r="C57" s="57"/>
      <c r="D57" s="57"/>
      <c r="E57" s="80"/>
      <c r="F57" s="57"/>
      <c r="G57" s="57"/>
      <c r="H57" s="57"/>
      <c r="I57" s="57"/>
      <c r="J57" s="92"/>
      <c r="K57" s="55"/>
      <c r="L57" s="55"/>
      <c r="M57" s="55"/>
      <c r="N57" s="17"/>
      <c r="O57" s="17"/>
      <c r="P57" s="17">
        <v>72</v>
      </c>
      <c r="Q57" s="17" t="s">
        <v>380</v>
      </c>
      <c r="R57" s="80"/>
      <c r="S57" s="17"/>
      <c r="T57" s="17"/>
      <c r="U57" s="21" t="s">
        <v>391</v>
      </c>
      <c r="V57" s="80"/>
      <c r="W57" s="17"/>
      <c r="X57" s="21" t="s">
        <v>392</v>
      </c>
      <c r="Y57" s="55"/>
      <c r="Z57" s="17" t="s">
        <v>393</v>
      </c>
      <c r="AA57" s="55"/>
      <c r="AB57" s="31" t="s">
        <v>394</v>
      </c>
    </row>
    <row r="58" spans="1:28" x14ac:dyDescent="0.35">
      <c r="A58" s="83">
        <v>12</v>
      </c>
      <c r="B58" s="58" t="s">
        <v>309</v>
      </c>
      <c r="C58" s="59">
        <v>2012</v>
      </c>
      <c r="D58" s="59" t="s">
        <v>26</v>
      </c>
      <c r="E58" s="59" t="s">
        <v>310</v>
      </c>
      <c r="F58" s="86" t="s">
        <v>88</v>
      </c>
      <c r="G58" s="86">
        <v>36</v>
      </c>
      <c r="H58" s="86" t="s">
        <v>88</v>
      </c>
      <c r="I58" s="86" t="s">
        <v>88</v>
      </c>
      <c r="J58" s="60" t="s">
        <v>311</v>
      </c>
      <c r="K58" s="60" t="s">
        <v>312</v>
      </c>
      <c r="L58" s="59" t="s">
        <v>313</v>
      </c>
      <c r="M58" s="59" t="s">
        <v>314</v>
      </c>
      <c r="N58" s="19">
        <v>2</v>
      </c>
      <c r="O58" s="19">
        <v>10</v>
      </c>
      <c r="P58" s="19">
        <v>12</v>
      </c>
      <c r="Q58" s="19" t="s">
        <v>31</v>
      </c>
      <c r="R58" s="52" t="s">
        <v>315</v>
      </c>
      <c r="S58" s="19" t="s">
        <v>316</v>
      </c>
      <c r="T58" s="19"/>
      <c r="U58" s="19">
        <f>175/25</f>
        <v>7</v>
      </c>
      <c r="V58" s="52" t="s">
        <v>317</v>
      </c>
      <c r="W58" s="19" t="s">
        <v>318</v>
      </c>
      <c r="X58" s="19"/>
      <c r="Y58" s="59" t="s">
        <v>35</v>
      </c>
      <c r="Z58" s="19" t="s">
        <v>319</v>
      </c>
      <c r="AA58" s="52" t="s">
        <v>30</v>
      </c>
      <c r="AB58" s="59" t="s">
        <v>30</v>
      </c>
    </row>
    <row r="59" spans="1:28" x14ac:dyDescent="0.35">
      <c r="A59" s="83"/>
      <c r="B59" s="58"/>
      <c r="C59" s="59"/>
      <c r="D59" s="59"/>
      <c r="E59" s="59"/>
      <c r="F59" s="87"/>
      <c r="G59" s="87"/>
      <c r="H59" s="87"/>
      <c r="I59" s="87"/>
      <c r="J59" s="60"/>
      <c r="K59" s="60"/>
      <c r="L59" s="59"/>
      <c r="M59" s="59"/>
      <c r="N59" s="19"/>
      <c r="O59" s="19"/>
      <c r="P59" s="19">
        <v>10</v>
      </c>
      <c r="Q59" s="19" t="s">
        <v>222</v>
      </c>
      <c r="R59" s="59"/>
      <c r="S59" s="19" t="s">
        <v>320</v>
      </c>
      <c r="T59" s="19"/>
      <c r="U59" s="19">
        <f>312.5/25</f>
        <v>12.5</v>
      </c>
      <c r="V59" s="59"/>
      <c r="W59" s="19" t="s">
        <v>321</v>
      </c>
      <c r="X59" s="19"/>
      <c r="Y59" s="59"/>
      <c r="Z59" s="19" t="s">
        <v>322</v>
      </c>
      <c r="AA59" s="59"/>
      <c r="AB59" s="59"/>
    </row>
    <row r="60" spans="1:28" x14ac:dyDescent="0.35">
      <c r="A60" s="83"/>
      <c r="B60" s="58"/>
      <c r="C60" s="59"/>
      <c r="D60" s="59" t="s">
        <v>26</v>
      </c>
      <c r="E60" s="59" t="s">
        <v>323</v>
      </c>
      <c r="F60" s="86" t="s">
        <v>590</v>
      </c>
      <c r="G60" s="86">
        <v>36</v>
      </c>
      <c r="H60" s="86" t="s">
        <v>88</v>
      </c>
      <c r="I60" s="86" t="s">
        <v>88</v>
      </c>
      <c r="J60" s="60" t="s">
        <v>324</v>
      </c>
      <c r="K60" s="60" t="s">
        <v>325</v>
      </c>
      <c r="L60" s="59" t="s">
        <v>326</v>
      </c>
      <c r="M60" s="59" t="s">
        <v>327</v>
      </c>
      <c r="N60" s="19">
        <v>1</v>
      </c>
      <c r="O60" s="19">
        <v>10</v>
      </c>
      <c r="P60" s="19">
        <v>11</v>
      </c>
      <c r="Q60" s="19" t="s">
        <v>31</v>
      </c>
      <c r="R60" s="59"/>
      <c r="S60" s="19" t="s">
        <v>328</v>
      </c>
      <c r="T60" s="19"/>
      <c r="U60" s="19">
        <f>275/25</f>
        <v>11</v>
      </c>
      <c r="V60" s="59"/>
      <c r="W60" s="19" t="s">
        <v>329</v>
      </c>
      <c r="X60" s="19"/>
      <c r="Y60" s="59"/>
      <c r="Z60" s="19" t="s">
        <v>330</v>
      </c>
      <c r="AA60" s="59"/>
      <c r="AB60" s="59"/>
    </row>
    <row r="61" spans="1:28" x14ac:dyDescent="0.35">
      <c r="A61" s="83"/>
      <c r="B61" s="58"/>
      <c r="C61" s="59"/>
      <c r="D61" s="59"/>
      <c r="E61" s="59"/>
      <c r="F61" s="87"/>
      <c r="G61" s="87"/>
      <c r="H61" s="87"/>
      <c r="I61" s="87"/>
      <c r="J61" s="60"/>
      <c r="K61" s="60"/>
      <c r="L61" s="59"/>
      <c r="M61" s="59"/>
      <c r="N61" s="19"/>
      <c r="O61" s="19"/>
      <c r="P61" s="19">
        <v>10</v>
      </c>
      <c r="Q61" s="19" t="s">
        <v>222</v>
      </c>
      <c r="R61" s="59"/>
      <c r="S61" s="19" t="s">
        <v>331</v>
      </c>
      <c r="T61" s="19"/>
      <c r="U61" s="19">
        <f>150/25</f>
        <v>6</v>
      </c>
      <c r="V61" s="59"/>
      <c r="W61" s="19" t="s">
        <v>332</v>
      </c>
      <c r="X61" s="19"/>
      <c r="Y61" s="59"/>
      <c r="Z61" s="19" t="s">
        <v>333</v>
      </c>
      <c r="AA61" s="59"/>
      <c r="AB61" s="59"/>
    </row>
    <row r="62" spans="1:28" x14ac:dyDescent="0.35">
      <c r="A62" s="83"/>
      <c r="B62" s="58"/>
      <c r="C62" s="59"/>
      <c r="D62" s="59" t="s">
        <v>44</v>
      </c>
      <c r="E62" s="59" t="s">
        <v>68</v>
      </c>
      <c r="F62" s="86" t="s">
        <v>30</v>
      </c>
      <c r="G62" s="86" t="s">
        <v>30</v>
      </c>
      <c r="H62" s="86" t="s">
        <v>30</v>
      </c>
      <c r="I62" s="86" t="s">
        <v>30</v>
      </c>
      <c r="J62" s="65" t="s">
        <v>334</v>
      </c>
      <c r="K62" s="60" t="s">
        <v>335</v>
      </c>
      <c r="L62" s="59" t="s">
        <v>336</v>
      </c>
      <c r="M62" s="59" t="s">
        <v>337</v>
      </c>
      <c r="N62" s="19">
        <v>1</v>
      </c>
      <c r="O62" s="19">
        <v>11</v>
      </c>
      <c r="P62" s="19">
        <v>12</v>
      </c>
      <c r="Q62" s="19" t="s">
        <v>31</v>
      </c>
      <c r="R62" s="59"/>
      <c r="S62" s="19" t="s">
        <v>338</v>
      </c>
      <c r="T62" s="19"/>
      <c r="U62" s="19">
        <f>175/25</f>
        <v>7</v>
      </c>
      <c r="V62" s="59"/>
      <c r="W62" s="19" t="s">
        <v>339</v>
      </c>
      <c r="X62" s="19"/>
      <c r="Y62" s="59"/>
      <c r="Z62" s="19" t="s">
        <v>340</v>
      </c>
      <c r="AA62" s="59"/>
      <c r="AB62" s="59"/>
    </row>
    <row r="63" spans="1:28" x14ac:dyDescent="0.35">
      <c r="A63" s="83"/>
      <c r="B63" s="58"/>
      <c r="C63" s="59"/>
      <c r="D63" s="59"/>
      <c r="E63" s="59"/>
      <c r="F63" s="87"/>
      <c r="G63" s="87"/>
      <c r="H63" s="87"/>
      <c r="I63" s="87"/>
      <c r="J63" s="65"/>
      <c r="K63" s="60"/>
      <c r="L63" s="59"/>
      <c r="M63" s="59"/>
      <c r="N63" s="19"/>
      <c r="O63" s="19"/>
      <c r="P63" s="19">
        <v>11</v>
      </c>
      <c r="Q63" s="19" t="s">
        <v>222</v>
      </c>
      <c r="R63" s="59"/>
      <c r="S63" s="19" t="s">
        <v>341</v>
      </c>
      <c r="T63" s="19"/>
      <c r="U63" s="19">
        <f>175/25</f>
        <v>7</v>
      </c>
      <c r="V63" s="59"/>
      <c r="W63" s="19" t="s">
        <v>342</v>
      </c>
      <c r="X63" s="19"/>
      <c r="Y63" s="59"/>
      <c r="Z63" s="19" t="s">
        <v>343</v>
      </c>
      <c r="AA63" s="59"/>
      <c r="AB63" s="59"/>
    </row>
    <row r="64" spans="1:28" x14ac:dyDescent="0.35">
      <c r="A64" s="83">
        <v>13</v>
      </c>
      <c r="B64" s="64" t="s">
        <v>345</v>
      </c>
      <c r="C64" s="57">
        <v>2009</v>
      </c>
      <c r="D64" s="57" t="s">
        <v>26</v>
      </c>
      <c r="E64" s="50" t="s">
        <v>346</v>
      </c>
      <c r="F64" s="57" t="s">
        <v>571</v>
      </c>
      <c r="G64" s="57" t="s">
        <v>604</v>
      </c>
      <c r="H64" s="57" t="s">
        <v>599</v>
      </c>
      <c r="I64" s="57" t="s">
        <v>553</v>
      </c>
      <c r="J64" s="50" t="s">
        <v>347</v>
      </c>
      <c r="K64" s="50" t="s">
        <v>348</v>
      </c>
      <c r="L64" s="50" t="s">
        <v>349</v>
      </c>
      <c r="M64" s="50" t="s">
        <v>350</v>
      </c>
      <c r="N64" s="17">
        <v>2</v>
      </c>
      <c r="O64" s="17">
        <v>27</v>
      </c>
      <c r="P64" s="17">
        <v>29</v>
      </c>
      <c r="Q64" s="11" t="s">
        <v>31</v>
      </c>
      <c r="R64" s="50" t="s">
        <v>605</v>
      </c>
      <c r="S64" s="17"/>
      <c r="T64" s="17"/>
      <c r="U64" s="17" t="s">
        <v>351</v>
      </c>
      <c r="V64" s="50" t="s">
        <v>606</v>
      </c>
      <c r="W64" s="17"/>
      <c r="X64" s="17" t="s">
        <v>352</v>
      </c>
      <c r="Y64" s="113" t="s">
        <v>35</v>
      </c>
      <c r="Z64" s="17" t="s">
        <v>353</v>
      </c>
      <c r="AA64" s="113" t="s">
        <v>37</v>
      </c>
      <c r="AB64" s="17" t="s">
        <v>354</v>
      </c>
    </row>
    <row r="65" spans="1:28" x14ac:dyDescent="0.35">
      <c r="A65" s="83"/>
      <c r="B65" s="64"/>
      <c r="C65" s="57"/>
      <c r="D65" s="57"/>
      <c r="E65" s="55"/>
      <c r="F65" s="57"/>
      <c r="G65" s="57"/>
      <c r="H65" s="57"/>
      <c r="I65" s="57"/>
      <c r="J65" s="55"/>
      <c r="K65" s="55"/>
      <c r="L65" s="55"/>
      <c r="M65" s="55"/>
      <c r="N65" s="17"/>
      <c r="O65" s="17"/>
      <c r="P65" s="17">
        <v>28</v>
      </c>
      <c r="Q65" s="11" t="s">
        <v>39</v>
      </c>
      <c r="R65" s="50"/>
      <c r="S65" s="17"/>
      <c r="T65" s="17"/>
      <c r="U65" s="17" t="s">
        <v>355</v>
      </c>
      <c r="V65" s="50"/>
      <c r="W65" s="17"/>
      <c r="X65" s="17" t="s">
        <v>356</v>
      </c>
      <c r="Y65" s="113"/>
      <c r="Z65" s="17" t="s">
        <v>357</v>
      </c>
      <c r="AA65" s="113"/>
      <c r="AB65" s="17" t="s">
        <v>358</v>
      </c>
    </row>
    <row r="66" spans="1:28" x14ac:dyDescent="0.35">
      <c r="A66" s="83"/>
      <c r="B66" s="64"/>
      <c r="C66" s="57"/>
      <c r="D66" s="57" t="s">
        <v>44</v>
      </c>
      <c r="E66" s="50" t="s">
        <v>68</v>
      </c>
      <c r="F66" s="57" t="s">
        <v>30</v>
      </c>
      <c r="G66" s="57" t="s">
        <v>30</v>
      </c>
      <c r="H66" s="57" t="s">
        <v>30</v>
      </c>
      <c r="I66" s="57" t="s">
        <v>30</v>
      </c>
      <c r="J66" s="50" t="s">
        <v>359</v>
      </c>
      <c r="K66" s="50" t="s">
        <v>360</v>
      </c>
      <c r="L66" s="50" t="s">
        <v>361</v>
      </c>
      <c r="M66" s="50" t="s">
        <v>362</v>
      </c>
      <c r="N66" s="17">
        <v>1</v>
      </c>
      <c r="O66" s="17">
        <v>14</v>
      </c>
      <c r="P66" s="17">
        <v>15</v>
      </c>
      <c r="Q66" s="11" t="s">
        <v>31</v>
      </c>
      <c r="R66" s="50"/>
      <c r="S66" s="17"/>
      <c r="T66" s="17"/>
      <c r="U66" s="17" t="s">
        <v>363</v>
      </c>
      <c r="V66" s="50"/>
      <c r="W66" s="17"/>
      <c r="X66" s="17" t="s">
        <v>364</v>
      </c>
      <c r="Y66" s="113"/>
      <c r="Z66" s="17" t="s">
        <v>365</v>
      </c>
      <c r="AA66" s="113"/>
      <c r="AB66" s="17" t="s">
        <v>366</v>
      </c>
    </row>
    <row r="67" spans="1:28" x14ac:dyDescent="0.35">
      <c r="A67" s="83"/>
      <c r="B67" s="64"/>
      <c r="C67" s="57"/>
      <c r="D67" s="57"/>
      <c r="E67" s="55"/>
      <c r="F67" s="57"/>
      <c r="G67" s="57"/>
      <c r="H67" s="57"/>
      <c r="I67" s="57"/>
      <c r="J67" s="55"/>
      <c r="K67" s="55"/>
      <c r="L67" s="55"/>
      <c r="M67" s="55"/>
      <c r="N67" s="17"/>
      <c r="O67" s="17"/>
      <c r="P67" s="17">
        <v>13</v>
      </c>
      <c r="Q67" s="11" t="s">
        <v>39</v>
      </c>
      <c r="R67" s="50"/>
      <c r="S67" s="17"/>
      <c r="T67" s="17"/>
      <c r="U67" s="17" t="s">
        <v>367</v>
      </c>
      <c r="V67" s="50"/>
      <c r="W67" s="17"/>
      <c r="X67" s="17" t="s">
        <v>368</v>
      </c>
      <c r="Y67" s="113"/>
      <c r="Z67" s="17" t="s">
        <v>369</v>
      </c>
      <c r="AA67" s="113"/>
      <c r="AB67" s="17" t="s">
        <v>370</v>
      </c>
    </row>
    <row r="68" spans="1:28" x14ac:dyDescent="0.35">
      <c r="A68" s="83">
        <v>14</v>
      </c>
      <c r="B68" s="58" t="s">
        <v>395</v>
      </c>
      <c r="C68" s="59">
        <v>2009</v>
      </c>
      <c r="D68" s="59" t="s">
        <v>26</v>
      </c>
      <c r="E68" s="59" t="s">
        <v>396</v>
      </c>
      <c r="F68" s="86" t="s">
        <v>88</v>
      </c>
      <c r="G68" s="86" t="s">
        <v>607</v>
      </c>
      <c r="H68" s="86" t="s">
        <v>88</v>
      </c>
      <c r="I68" s="86" t="s">
        <v>553</v>
      </c>
      <c r="J68" s="86" t="s">
        <v>397</v>
      </c>
      <c r="K68" s="86"/>
      <c r="L68" s="51" t="s">
        <v>398</v>
      </c>
      <c r="M68" s="51" t="s">
        <v>399</v>
      </c>
      <c r="N68" s="19">
        <v>11</v>
      </c>
      <c r="O68" s="19">
        <v>25</v>
      </c>
      <c r="P68" s="19">
        <v>36</v>
      </c>
      <c r="Q68" s="19" t="s">
        <v>31</v>
      </c>
      <c r="R68" s="51" t="s">
        <v>59</v>
      </c>
      <c r="S68" s="19"/>
      <c r="T68" s="19"/>
      <c r="U68" s="19" t="s">
        <v>400</v>
      </c>
      <c r="V68" s="52" t="s">
        <v>61</v>
      </c>
      <c r="W68" s="19"/>
      <c r="X68" s="19" t="s">
        <v>401</v>
      </c>
      <c r="Y68" s="59" t="s">
        <v>402</v>
      </c>
      <c r="Z68" s="19" t="s">
        <v>403</v>
      </c>
      <c r="AA68" s="52" t="s">
        <v>30</v>
      </c>
      <c r="AB68" s="59" t="s">
        <v>30</v>
      </c>
    </row>
    <row r="69" spans="1:28" x14ac:dyDescent="0.35">
      <c r="A69" s="83"/>
      <c r="B69" s="58"/>
      <c r="C69" s="59"/>
      <c r="D69" s="59"/>
      <c r="E69" s="59"/>
      <c r="F69" s="87"/>
      <c r="G69" s="87"/>
      <c r="H69" s="87"/>
      <c r="I69" s="87"/>
      <c r="J69" s="87"/>
      <c r="K69" s="87"/>
      <c r="L69" s="52"/>
      <c r="M69" s="52"/>
      <c r="N69" s="19"/>
      <c r="O69" s="19"/>
      <c r="P69" s="19"/>
      <c r="Q69" s="19" t="s">
        <v>39</v>
      </c>
      <c r="R69" s="53"/>
      <c r="S69" s="19"/>
      <c r="T69" s="19"/>
      <c r="U69" s="19" t="s">
        <v>404</v>
      </c>
      <c r="V69" s="59"/>
      <c r="W69" s="19"/>
      <c r="X69" s="19" t="s">
        <v>405</v>
      </c>
      <c r="Y69" s="59"/>
      <c r="Z69" s="19" t="s">
        <v>406</v>
      </c>
      <c r="AA69" s="59"/>
      <c r="AB69" s="59"/>
    </row>
    <row r="70" spans="1:28" x14ac:dyDescent="0.35">
      <c r="A70" s="83"/>
      <c r="B70" s="58"/>
      <c r="C70" s="59"/>
      <c r="D70" s="59" t="s">
        <v>26</v>
      </c>
      <c r="E70" s="59" t="s">
        <v>407</v>
      </c>
      <c r="F70" s="86" t="s">
        <v>563</v>
      </c>
      <c r="G70" s="86" t="s">
        <v>607</v>
      </c>
      <c r="H70" s="86" t="s">
        <v>88</v>
      </c>
      <c r="I70" s="86" t="s">
        <v>553</v>
      </c>
      <c r="J70" s="86" t="s">
        <v>408</v>
      </c>
      <c r="K70" s="86"/>
      <c r="L70" s="51" t="s">
        <v>409</v>
      </c>
      <c r="M70" s="51" t="s">
        <v>410</v>
      </c>
      <c r="N70" s="19">
        <v>12</v>
      </c>
      <c r="O70" s="19">
        <v>24</v>
      </c>
      <c r="P70" s="19">
        <v>36</v>
      </c>
      <c r="Q70" s="19" t="s">
        <v>31</v>
      </c>
      <c r="R70" s="53"/>
      <c r="S70" s="19"/>
      <c r="T70" s="19"/>
      <c r="U70" s="19" t="s">
        <v>411</v>
      </c>
      <c r="V70" s="59"/>
      <c r="W70" s="19"/>
      <c r="X70" s="19" t="s">
        <v>412</v>
      </c>
      <c r="Y70" s="59"/>
      <c r="Z70" s="19" t="s">
        <v>413</v>
      </c>
      <c r="AA70" s="59"/>
      <c r="AB70" s="59"/>
    </row>
    <row r="71" spans="1:28" x14ac:dyDescent="0.35">
      <c r="A71" s="83"/>
      <c r="B71" s="58"/>
      <c r="C71" s="59"/>
      <c r="D71" s="59"/>
      <c r="E71" s="59"/>
      <c r="F71" s="87"/>
      <c r="G71" s="87"/>
      <c r="H71" s="87"/>
      <c r="I71" s="87"/>
      <c r="J71" s="87"/>
      <c r="K71" s="87"/>
      <c r="L71" s="52"/>
      <c r="M71" s="52"/>
      <c r="N71" s="19"/>
      <c r="O71" s="19"/>
      <c r="P71" s="19"/>
      <c r="Q71" s="19" t="s">
        <v>39</v>
      </c>
      <c r="R71" s="53"/>
      <c r="S71" s="19"/>
      <c r="T71" s="19"/>
      <c r="U71" s="19" t="s">
        <v>414</v>
      </c>
      <c r="V71" s="59"/>
      <c r="W71" s="19"/>
      <c r="X71" s="19" t="s">
        <v>415</v>
      </c>
      <c r="Y71" s="59"/>
      <c r="Z71" s="19" t="s">
        <v>416</v>
      </c>
      <c r="AA71" s="59"/>
      <c r="AB71" s="59"/>
    </row>
    <row r="72" spans="1:28" x14ac:dyDescent="0.35">
      <c r="A72" s="83"/>
      <c r="B72" s="58"/>
      <c r="C72" s="59"/>
      <c r="D72" s="59" t="s">
        <v>44</v>
      </c>
      <c r="E72" s="59" t="s">
        <v>68</v>
      </c>
      <c r="F72" s="86" t="s">
        <v>30</v>
      </c>
      <c r="G72" s="86" t="s">
        <v>30</v>
      </c>
      <c r="H72" s="86" t="s">
        <v>30</v>
      </c>
      <c r="I72" s="86" t="s">
        <v>30</v>
      </c>
      <c r="J72" s="54" t="s">
        <v>417</v>
      </c>
      <c r="K72" s="86"/>
      <c r="L72" s="51" t="s">
        <v>418</v>
      </c>
      <c r="M72" s="51" t="s">
        <v>419</v>
      </c>
      <c r="N72" s="19">
        <v>10</v>
      </c>
      <c r="O72" s="19">
        <v>26</v>
      </c>
      <c r="P72" s="19">
        <v>36</v>
      </c>
      <c r="Q72" s="19" t="s">
        <v>31</v>
      </c>
      <c r="R72" s="53"/>
      <c r="S72" s="19"/>
      <c r="T72" s="19"/>
      <c r="U72" s="19" t="s">
        <v>420</v>
      </c>
      <c r="V72" s="59"/>
      <c r="W72" s="19"/>
      <c r="X72" s="19" t="s">
        <v>421</v>
      </c>
      <c r="Y72" s="59"/>
      <c r="Z72" s="19" t="s">
        <v>422</v>
      </c>
      <c r="AA72" s="59"/>
      <c r="AB72" s="59"/>
    </row>
    <row r="73" spans="1:28" x14ac:dyDescent="0.35">
      <c r="A73" s="83"/>
      <c r="B73" s="58"/>
      <c r="C73" s="51"/>
      <c r="D73" s="59"/>
      <c r="E73" s="59"/>
      <c r="F73" s="88"/>
      <c r="G73" s="88"/>
      <c r="H73" s="88"/>
      <c r="I73" s="88"/>
      <c r="J73" s="111"/>
      <c r="K73" s="87"/>
      <c r="L73" s="52"/>
      <c r="M73" s="52"/>
      <c r="N73" s="19"/>
      <c r="O73" s="19"/>
      <c r="P73" s="19"/>
      <c r="Q73" s="19" t="s">
        <v>39</v>
      </c>
      <c r="R73" s="53"/>
      <c r="S73" s="14"/>
      <c r="T73" s="14"/>
      <c r="U73" s="14" t="s">
        <v>423</v>
      </c>
      <c r="V73" s="51"/>
      <c r="W73" s="14"/>
      <c r="X73" s="14" t="s">
        <v>424</v>
      </c>
      <c r="Y73" s="59"/>
      <c r="Z73" s="19" t="s">
        <v>425</v>
      </c>
      <c r="AA73" s="59"/>
      <c r="AB73" s="59"/>
    </row>
    <row r="74" spans="1:28" x14ac:dyDescent="0.35">
      <c r="A74" s="83">
        <v>15</v>
      </c>
      <c r="B74" s="89" t="s">
        <v>426</v>
      </c>
      <c r="C74" s="50">
        <v>2008</v>
      </c>
      <c r="D74" s="64" t="s">
        <v>26</v>
      </c>
      <c r="E74" s="78" t="s">
        <v>427</v>
      </c>
      <c r="F74" s="78" t="s">
        <v>608</v>
      </c>
      <c r="G74" s="78" t="s">
        <v>609</v>
      </c>
      <c r="H74" s="50" t="s">
        <v>610</v>
      </c>
      <c r="I74" s="91" t="s">
        <v>569</v>
      </c>
      <c r="J74" s="91" t="s">
        <v>428</v>
      </c>
      <c r="K74" s="50" t="s">
        <v>429</v>
      </c>
      <c r="L74" s="17"/>
      <c r="M74" s="17"/>
      <c r="N74" s="17">
        <v>0</v>
      </c>
      <c r="O74" s="17">
        <v>17</v>
      </c>
      <c r="P74" s="17">
        <v>17</v>
      </c>
      <c r="Q74" s="26" t="s">
        <v>31</v>
      </c>
      <c r="R74" s="50" t="s">
        <v>611</v>
      </c>
      <c r="S74" s="17"/>
      <c r="T74" s="17"/>
      <c r="U74" s="17"/>
      <c r="V74" s="50" t="s">
        <v>430</v>
      </c>
      <c r="W74" s="17"/>
      <c r="X74" s="21"/>
      <c r="Y74" s="50" t="s">
        <v>612</v>
      </c>
      <c r="Z74" s="17" t="s">
        <v>613</v>
      </c>
      <c r="AA74" s="50"/>
      <c r="AB74" s="17"/>
    </row>
    <row r="75" spans="1:28" x14ac:dyDescent="0.35">
      <c r="A75" s="83"/>
      <c r="B75" s="89"/>
      <c r="C75" s="56"/>
      <c r="D75" s="64"/>
      <c r="E75" s="80"/>
      <c r="F75" s="79"/>
      <c r="G75" s="79"/>
      <c r="H75" s="56"/>
      <c r="I75" s="92"/>
      <c r="J75" s="92"/>
      <c r="K75" s="55"/>
      <c r="L75" s="17"/>
      <c r="M75" s="17"/>
      <c r="N75" s="17">
        <v>0</v>
      </c>
      <c r="O75" s="17">
        <v>16</v>
      </c>
      <c r="P75" s="17">
        <v>16</v>
      </c>
      <c r="Q75" s="26" t="s">
        <v>344</v>
      </c>
      <c r="R75" s="56"/>
      <c r="S75" s="17"/>
      <c r="T75" s="17"/>
      <c r="U75" s="17" t="s">
        <v>614</v>
      </c>
      <c r="V75" s="56"/>
      <c r="W75" s="17"/>
      <c r="X75" s="21" t="s">
        <v>431</v>
      </c>
      <c r="Y75" s="56"/>
      <c r="Z75" s="17" t="s">
        <v>615</v>
      </c>
      <c r="AA75" s="56"/>
      <c r="AB75" s="17"/>
    </row>
    <row r="76" spans="1:28" x14ac:dyDescent="0.35">
      <c r="A76" s="83"/>
      <c r="B76" s="89"/>
      <c r="C76" s="56">
        <v>2009</v>
      </c>
      <c r="D76" s="64" t="s">
        <v>44</v>
      </c>
      <c r="E76" s="90" t="s">
        <v>68</v>
      </c>
      <c r="F76" s="78" t="s">
        <v>30</v>
      </c>
      <c r="G76" s="78" t="s">
        <v>30</v>
      </c>
      <c r="H76" s="50" t="s">
        <v>30</v>
      </c>
      <c r="I76" s="110" t="s">
        <v>30</v>
      </c>
      <c r="J76" s="50" t="s">
        <v>432</v>
      </c>
      <c r="K76" s="50" t="s">
        <v>433</v>
      </c>
      <c r="L76" s="17"/>
      <c r="M76" s="17"/>
      <c r="N76" s="17">
        <v>0</v>
      </c>
      <c r="O76" s="17">
        <v>14</v>
      </c>
      <c r="P76" s="17">
        <v>14</v>
      </c>
      <c r="Q76" s="26" t="s">
        <v>31</v>
      </c>
      <c r="R76" s="56"/>
      <c r="S76" s="17"/>
      <c r="T76" s="17"/>
      <c r="U76" s="17"/>
      <c r="V76" s="56" t="s">
        <v>166</v>
      </c>
      <c r="W76" s="17"/>
      <c r="X76" s="21"/>
      <c r="Y76" s="56" t="s">
        <v>166</v>
      </c>
      <c r="Z76" s="17" t="s">
        <v>616</v>
      </c>
      <c r="AA76" s="56"/>
      <c r="AB76" s="17"/>
    </row>
    <row r="77" spans="1:28" x14ac:dyDescent="0.35">
      <c r="A77" s="83"/>
      <c r="B77" s="89"/>
      <c r="C77" s="55"/>
      <c r="D77" s="64"/>
      <c r="E77" s="90"/>
      <c r="F77" s="80"/>
      <c r="G77" s="80"/>
      <c r="H77" s="55"/>
      <c r="I77" s="92"/>
      <c r="J77" s="55"/>
      <c r="K77" s="55"/>
      <c r="L77" s="17"/>
      <c r="M77" s="17"/>
      <c r="N77" s="17">
        <v>0</v>
      </c>
      <c r="O77" s="17">
        <v>9</v>
      </c>
      <c r="P77" s="17">
        <v>9</v>
      </c>
      <c r="Q77" s="26" t="s">
        <v>344</v>
      </c>
      <c r="R77" s="55"/>
      <c r="S77" s="17"/>
      <c r="T77" s="17"/>
      <c r="U77" s="17" t="s">
        <v>617</v>
      </c>
      <c r="V77" s="55"/>
      <c r="W77" s="17"/>
      <c r="X77" s="21" t="s">
        <v>434</v>
      </c>
      <c r="Y77" s="55"/>
      <c r="Z77" s="17" t="s">
        <v>618</v>
      </c>
      <c r="AA77" s="55"/>
      <c r="AB77" s="17"/>
    </row>
    <row r="78" spans="1:28" x14ac:dyDescent="0.35">
      <c r="A78" s="83">
        <v>16</v>
      </c>
      <c r="B78" s="58" t="s">
        <v>435</v>
      </c>
      <c r="C78" s="52">
        <v>2008</v>
      </c>
      <c r="D78" s="59" t="s">
        <v>26</v>
      </c>
      <c r="E78" s="59" t="s">
        <v>436</v>
      </c>
      <c r="F78" s="88" t="s">
        <v>563</v>
      </c>
      <c r="G78" s="88" t="s">
        <v>619</v>
      </c>
      <c r="H78" s="88" t="s">
        <v>88</v>
      </c>
      <c r="I78" s="86" t="s">
        <v>620</v>
      </c>
      <c r="J78" s="51" t="s">
        <v>437</v>
      </c>
      <c r="K78" s="51" t="s">
        <v>438</v>
      </c>
      <c r="L78" s="51" t="s">
        <v>439</v>
      </c>
      <c r="M78" s="51" t="s">
        <v>440</v>
      </c>
      <c r="N78" s="19">
        <v>13</v>
      </c>
      <c r="O78" s="19">
        <v>13</v>
      </c>
      <c r="P78" s="19">
        <v>26</v>
      </c>
      <c r="Q78" s="20" t="s">
        <v>31</v>
      </c>
      <c r="R78" s="53" t="s">
        <v>198</v>
      </c>
      <c r="S78" s="15"/>
      <c r="T78" s="15" t="s">
        <v>441</v>
      </c>
      <c r="U78" s="15">
        <f>33.1/5</f>
        <v>6.62</v>
      </c>
      <c r="V78" s="114" t="s">
        <v>198</v>
      </c>
      <c r="W78" s="15"/>
      <c r="X78" s="15" t="s">
        <v>442</v>
      </c>
      <c r="Y78" s="51" t="s">
        <v>443</v>
      </c>
      <c r="Z78" s="19" t="s">
        <v>444</v>
      </c>
      <c r="AA78" s="59" t="s">
        <v>30</v>
      </c>
      <c r="AB78" s="59" t="s">
        <v>30</v>
      </c>
    </row>
    <row r="79" spans="1:28" x14ac:dyDescent="0.35">
      <c r="A79" s="83"/>
      <c r="B79" s="58"/>
      <c r="C79" s="59"/>
      <c r="D79" s="59"/>
      <c r="E79" s="59"/>
      <c r="F79" s="87"/>
      <c r="G79" s="87"/>
      <c r="H79" s="87"/>
      <c r="I79" s="87"/>
      <c r="J79" s="52"/>
      <c r="K79" s="52"/>
      <c r="L79" s="52"/>
      <c r="M79" s="52"/>
      <c r="N79" s="19"/>
      <c r="O79" s="19"/>
      <c r="P79" s="19">
        <v>25</v>
      </c>
      <c r="Q79" s="20" t="s">
        <v>344</v>
      </c>
      <c r="R79" s="53"/>
      <c r="S79" s="19"/>
      <c r="T79" s="19" t="s">
        <v>445</v>
      </c>
      <c r="U79" s="19">
        <f>28.5/5</f>
        <v>5.7</v>
      </c>
      <c r="V79" s="115"/>
      <c r="W79" s="19"/>
      <c r="X79" s="19" t="s">
        <v>446</v>
      </c>
      <c r="Y79" s="53"/>
      <c r="Z79" s="19" t="s">
        <v>447</v>
      </c>
      <c r="AA79" s="59"/>
      <c r="AB79" s="59"/>
    </row>
    <row r="80" spans="1:28" x14ac:dyDescent="0.35">
      <c r="A80" s="83"/>
      <c r="B80" s="58"/>
      <c r="C80" s="59"/>
      <c r="D80" s="59" t="s">
        <v>26</v>
      </c>
      <c r="E80" s="59" t="s">
        <v>448</v>
      </c>
      <c r="F80" s="86" t="s">
        <v>563</v>
      </c>
      <c r="G80" s="86" t="s">
        <v>619</v>
      </c>
      <c r="H80" s="86" t="s">
        <v>88</v>
      </c>
      <c r="I80" s="86" t="s">
        <v>620</v>
      </c>
      <c r="J80" s="51" t="s">
        <v>449</v>
      </c>
      <c r="K80" s="51" t="s">
        <v>450</v>
      </c>
      <c r="L80" s="51" t="s">
        <v>451</v>
      </c>
      <c r="M80" s="51" t="s">
        <v>452</v>
      </c>
      <c r="N80" s="19">
        <v>10</v>
      </c>
      <c r="O80" s="19">
        <v>17</v>
      </c>
      <c r="P80" s="19">
        <v>27</v>
      </c>
      <c r="Q80" s="20" t="s">
        <v>31</v>
      </c>
      <c r="R80" s="53"/>
      <c r="S80" s="19"/>
      <c r="T80" s="19" t="s">
        <v>453</v>
      </c>
      <c r="U80" s="19">
        <f>35.7/5</f>
        <v>7.1400000000000006</v>
      </c>
      <c r="V80" s="115"/>
      <c r="W80" s="19"/>
      <c r="X80" s="19" t="s">
        <v>441</v>
      </c>
      <c r="Y80" s="53"/>
      <c r="Z80" s="19" t="s">
        <v>454</v>
      </c>
      <c r="AA80" s="59"/>
      <c r="AB80" s="59"/>
    </row>
    <row r="81" spans="1:28" x14ac:dyDescent="0.35">
      <c r="A81" s="83"/>
      <c r="B81" s="58"/>
      <c r="C81" s="59"/>
      <c r="D81" s="59"/>
      <c r="E81" s="59"/>
      <c r="F81" s="87"/>
      <c r="G81" s="87"/>
      <c r="H81" s="87"/>
      <c r="I81" s="87"/>
      <c r="J81" s="52"/>
      <c r="K81" s="52"/>
      <c r="L81" s="52"/>
      <c r="M81" s="52"/>
      <c r="N81" s="19"/>
      <c r="O81" s="19"/>
      <c r="P81" s="19">
        <v>24</v>
      </c>
      <c r="Q81" s="20" t="s">
        <v>344</v>
      </c>
      <c r="R81" s="53"/>
      <c r="S81" s="19"/>
      <c r="T81" s="19" t="s">
        <v>455</v>
      </c>
      <c r="U81" s="19">
        <f>22.8/5</f>
        <v>4.5600000000000005</v>
      </c>
      <c r="V81" s="115"/>
      <c r="W81" s="19"/>
      <c r="X81" s="19" t="s">
        <v>456</v>
      </c>
      <c r="Y81" s="53"/>
      <c r="Z81" s="19" t="s">
        <v>457</v>
      </c>
      <c r="AA81" s="59"/>
      <c r="AB81" s="59"/>
    </row>
    <row r="82" spans="1:28" x14ac:dyDescent="0.35">
      <c r="A82" s="83"/>
      <c r="B82" s="58"/>
      <c r="C82" s="59"/>
      <c r="D82" s="51" t="s">
        <v>44</v>
      </c>
      <c r="E82" s="59" t="s">
        <v>458</v>
      </c>
      <c r="F82" s="86" t="s">
        <v>30</v>
      </c>
      <c r="G82" s="86" t="s">
        <v>30</v>
      </c>
      <c r="H82" s="86" t="s">
        <v>30</v>
      </c>
      <c r="I82" s="86" t="s">
        <v>30</v>
      </c>
      <c r="J82" s="51" t="s">
        <v>459</v>
      </c>
      <c r="K82" s="51" t="s">
        <v>460</v>
      </c>
      <c r="L82" s="51" t="s">
        <v>461</v>
      </c>
      <c r="M82" s="51" t="s">
        <v>462</v>
      </c>
      <c r="N82" s="19">
        <v>14</v>
      </c>
      <c r="O82" s="19">
        <v>12</v>
      </c>
      <c r="P82" s="19">
        <v>26</v>
      </c>
      <c r="Q82" s="20" t="s">
        <v>31</v>
      </c>
      <c r="R82" s="53"/>
      <c r="S82" s="19"/>
      <c r="T82" s="19" t="s">
        <v>463</v>
      </c>
      <c r="U82" s="19">
        <f>39.2/5</f>
        <v>7.8400000000000007</v>
      </c>
      <c r="V82" s="115"/>
      <c r="W82" s="19"/>
      <c r="X82" s="19" t="s">
        <v>464</v>
      </c>
      <c r="Y82" s="53"/>
      <c r="Z82" s="19" t="s">
        <v>465</v>
      </c>
      <c r="AA82" s="59"/>
      <c r="AB82" s="59"/>
    </row>
    <row r="83" spans="1:28" x14ac:dyDescent="0.35">
      <c r="A83" s="83"/>
      <c r="B83" s="58"/>
      <c r="C83" s="59"/>
      <c r="D83" s="52"/>
      <c r="E83" s="59"/>
      <c r="F83" s="87"/>
      <c r="G83" s="87"/>
      <c r="H83" s="87"/>
      <c r="I83" s="87"/>
      <c r="J83" s="52"/>
      <c r="K83" s="52"/>
      <c r="L83" s="52"/>
      <c r="M83" s="52"/>
      <c r="N83" s="19"/>
      <c r="O83" s="19"/>
      <c r="P83" s="19">
        <v>25</v>
      </c>
      <c r="Q83" s="20" t="s">
        <v>344</v>
      </c>
      <c r="R83" s="53"/>
      <c r="S83" s="19"/>
      <c r="T83" s="19" t="s">
        <v>466</v>
      </c>
      <c r="U83" s="19">
        <f>36.2/5</f>
        <v>7.24</v>
      </c>
      <c r="V83" s="115"/>
      <c r="W83" s="19"/>
      <c r="X83" s="19" t="s">
        <v>467</v>
      </c>
      <c r="Y83" s="53"/>
      <c r="Z83" s="19" t="s">
        <v>468</v>
      </c>
      <c r="AA83" s="59"/>
      <c r="AB83" s="59"/>
    </row>
    <row r="84" spans="1:28" x14ac:dyDescent="0.35">
      <c r="A84" s="83"/>
      <c r="B84" s="58"/>
      <c r="C84" s="59"/>
      <c r="D84" s="51" t="s">
        <v>44</v>
      </c>
      <c r="E84" s="59" t="s">
        <v>469</v>
      </c>
      <c r="F84" s="86" t="s">
        <v>30</v>
      </c>
      <c r="G84" s="86" t="s">
        <v>30</v>
      </c>
      <c r="H84" s="86" t="s">
        <v>30</v>
      </c>
      <c r="I84" s="86" t="s">
        <v>30</v>
      </c>
      <c r="J84" s="51" t="s">
        <v>470</v>
      </c>
      <c r="K84" s="51" t="s">
        <v>471</v>
      </c>
      <c r="L84" s="51" t="s">
        <v>472</v>
      </c>
      <c r="M84" s="51" t="s">
        <v>473</v>
      </c>
      <c r="N84" s="19">
        <v>11</v>
      </c>
      <c r="O84" s="19">
        <v>17</v>
      </c>
      <c r="P84" s="19">
        <v>28</v>
      </c>
      <c r="Q84" s="20" t="s">
        <v>31</v>
      </c>
      <c r="R84" s="53"/>
      <c r="S84" s="19"/>
      <c r="T84" s="19" t="s">
        <v>474</v>
      </c>
      <c r="U84" s="19">
        <f>34.6/5</f>
        <v>6.92</v>
      </c>
      <c r="V84" s="115"/>
      <c r="W84" s="19"/>
      <c r="X84" s="19" t="s">
        <v>475</v>
      </c>
      <c r="Y84" s="53"/>
      <c r="Z84" s="19" t="s">
        <v>476</v>
      </c>
      <c r="AA84" s="59"/>
      <c r="AB84" s="59"/>
    </row>
    <row r="85" spans="1:28" x14ac:dyDescent="0.35">
      <c r="A85" s="83"/>
      <c r="B85" s="58"/>
      <c r="C85" s="59"/>
      <c r="D85" s="52"/>
      <c r="E85" s="59"/>
      <c r="F85" s="87"/>
      <c r="G85" s="87"/>
      <c r="H85" s="87"/>
      <c r="I85" s="87"/>
      <c r="J85" s="52"/>
      <c r="K85" s="52"/>
      <c r="L85" s="52"/>
      <c r="M85" s="52"/>
      <c r="N85" s="19"/>
      <c r="O85" s="19"/>
      <c r="P85" s="19">
        <v>23</v>
      </c>
      <c r="Q85" s="20" t="s">
        <v>344</v>
      </c>
      <c r="R85" s="52"/>
      <c r="S85" s="19"/>
      <c r="T85" s="19" t="s">
        <v>477</v>
      </c>
      <c r="U85" s="19">
        <f>33.6/5</f>
        <v>6.7200000000000006</v>
      </c>
      <c r="V85" s="115"/>
      <c r="W85" s="19"/>
      <c r="X85" s="19" t="s">
        <v>478</v>
      </c>
      <c r="Y85" s="52"/>
      <c r="Z85" s="19" t="s">
        <v>479</v>
      </c>
      <c r="AA85" s="59"/>
      <c r="AB85" s="59"/>
    </row>
    <row r="86" spans="1:28" x14ac:dyDescent="0.35">
      <c r="A86" s="83">
        <v>17</v>
      </c>
      <c r="B86" s="64" t="s">
        <v>345</v>
      </c>
      <c r="C86" s="57">
        <v>2008</v>
      </c>
      <c r="D86" s="57" t="s">
        <v>26</v>
      </c>
      <c r="E86" s="50" t="s">
        <v>621</v>
      </c>
      <c r="F86" s="57" t="s">
        <v>571</v>
      </c>
      <c r="G86" s="57" t="s">
        <v>622</v>
      </c>
      <c r="H86" s="57" t="s">
        <v>599</v>
      </c>
      <c r="I86" s="57" t="s">
        <v>553</v>
      </c>
      <c r="J86" s="50" t="s">
        <v>623</v>
      </c>
      <c r="K86" s="50"/>
      <c r="L86" s="50"/>
      <c r="M86" s="50"/>
      <c r="N86" s="50">
        <v>1</v>
      </c>
      <c r="O86" s="50">
        <v>21</v>
      </c>
      <c r="P86" s="50">
        <v>22</v>
      </c>
      <c r="Q86" s="11" t="s">
        <v>31</v>
      </c>
      <c r="R86" s="50" t="s">
        <v>59</v>
      </c>
      <c r="S86" s="17"/>
      <c r="T86" s="17"/>
      <c r="U86" s="17" t="s">
        <v>624</v>
      </c>
      <c r="V86" s="50" t="s">
        <v>61</v>
      </c>
      <c r="W86" s="17"/>
      <c r="X86" s="17" t="s">
        <v>625</v>
      </c>
      <c r="Y86" s="113" t="s">
        <v>35</v>
      </c>
      <c r="Z86" s="17" t="s">
        <v>353</v>
      </c>
      <c r="AA86" s="113" t="s">
        <v>37</v>
      </c>
      <c r="AB86" s="17" t="s">
        <v>354</v>
      </c>
    </row>
    <row r="87" spans="1:28" x14ac:dyDescent="0.35">
      <c r="A87" s="83"/>
      <c r="B87" s="64"/>
      <c r="C87" s="57"/>
      <c r="D87" s="57"/>
      <c r="E87" s="55"/>
      <c r="F87" s="57"/>
      <c r="G87" s="57"/>
      <c r="H87" s="57"/>
      <c r="I87" s="57"/>
      <c r="J87" s="55"/>
      <c r="K87" s="55"/>
      <c r="L87" s="55"/>
      <c r="M87" s="55"/>
      <c r="N87" s="55"/>
      <c r="O87" s="55"/>
      <c r="P87" s="55"/>
      <c r="Q87" s="11" t="s">
        <v>344</v>
      </c>
      <c r="R87" s="55"/>
      <c r="S87" s="17"/>
      <c r="T87" s="17"/>
      <c r="U87" s="17" t="s">
        <v>626</v>
      </c>
      <c r="V87" s="55"/>
      <c r="W87" s="17"/>
      <c r="X87" s="17" t="s">
        <v>627</v>
      </c>
      <c r="Y87" s="113"/>
      <c r="Z87" s="17" t="s">
        <v>357</v>
      </c>
      <c r="AA87" s="113"/>
      <c r="AB87" s="17" t="s">
        <v>358</v>
      </c>
    </row>
    <row r="88" spans="1:28" x14ac:dyDescent="0.35">
      <c r="A88" s="83"/>
      <c r="B88" s="64"/>
      <c r="C88" s="57"/>
      <c r="D88" s="57" t="s">
        <v>44</v>
      </c>
      <c r="E88" s="50" t="s">
        <v>68</v>
      </c>
      <c r="F88" s="57" t="s">
        <v>30</v>
      </c>
      <c r="G88" s="57" t="s">
        <v>30</v>
      </c>
      <c r="H88" s="57" t="s">
        <v>30</v>
      </c>
      <c r="I88" s="57" t="s">
        <v>30</v>
      </c>
      <c r="J88" s="50" t="s">
        <v>628</v>
      </c>
      <c r="K88" s="50"/>
      <c r="L88" s="50"/>
      <c r="M88" s="50"/>
      <c r="N88" s="50">
        <v>9</v>
      </c>
      <c r="O88" s="50">
        <v>15</v>
      </c>
      <c r="P88" s="50">
        <v>24</v>
      </c>
      <c r="Q88" s="11" t="s">
        <v>31</v>
      </c>
      <c r="R88" s="50" t="s">
        <v>166</v>
      </c>
      <c r="S88" s="17"/>
      <c r="T88" s="17"/>
      <c r="U88" s="17" t="s">
        <v>629</v>
      </c>
      <c r="V88" s="50" t="s">
        <v>166</v>
      </c>
      <c r="W88" s="17"/>
      <c r="X88" s="17" t="s">
        <v>630</v>
      </c>
      <c r="Y88" s="113"/>
      <c r="Z88" s="17" t="s">
        <v>365</v>
      </c>
      <c r="AA88" s="113"/>
      <c r="AB88" s="17" t="s">
        <v>366</v>
      </c>
    </row>
    <row r="89" spans="1:28" x14ac:dyDescent="0.35">
      <c r="A89" s="83"/>
      <c r="B89" s="64"/>
      <c r="C89" s="57"/>
      <c r="D89" s="57"/>
      <c r="E89" s="55"/>
      <c r="F89" s="57"/>
      <c r="G89" s="57"/>
      <c r="H89" s="57"/>
      <c r="I89" s="57"/>
      <c r="J89" s="55"/>
      <c r="K89" s="55"/>
      <c r="L89" s="55"/>
      <c r="M89" s="55"/>
      <c r="N89" s="55"/>
      <c r="O89" s="55"/>
      <c r="P89" s="55"/>
      <c r="Q89" s="11" t="s">
        <v>344</v>
      </c>
      <c r="R89" s="55"/>
      <c r="S89" s="17"/>
      <c r="T89" s="17"/>
      <c r="U89" s="17" t="s">
        <v>631</v>
      </c>
      <c r="V89" s="55"/>
      <c r="W89" s="17"/>
      <c r="X89" s="17" t="s">
        <v>632</v>
      </c>
      <c r="Y89" s="113"/>
      <c r="Z89" s="17" t="s">
        <v>369</v>
      </c>
      <c r="AA89" s="113"/>
      <c r="AB89" s="17" t="s">
        <v>370</v>
      </c>
    </row>
    <row r="90" spans="1:28" x14ac:dyDescent="0.35">
      <c r="A90" s="83">
        <v>18</v>
      </c>
      <c r="B90" s="61" t="s">
        <v>481</v>
      </c>
      <c r="C90" s="51">
        <v>2016</v>
      </c>
      <c r="D90" s="51" t="s">
        <v>26</v>
      </c>
      <c r="E90" s="51" t="s">
        <v>482</v>
      </c>
      <c r="F90" s="86" t="s">
        <v>608</v>
      </c>
      <c r="G90" s="27" t="s">
        <v>633</v>
      </c>
      <c r="H90" s="86" t="s">
        <v>634</v>
      </c>
      <c r="I90" s="86" t="s">
        <v>566</v>
      </c>
      <c r="J90" s="51" t="s">
        <v>483</v>
      </c>
      <c r="K90" s="51" t="s">
        <v>484</v>
      </c>
      <c r="L90" s="51"/>
      <c r="M90" s="51"/>
      <c r="N90" s="15">
        <v>14</v>
      </c>
      <c r="O90" s="15">
        <v>49</v>
      </c>
      <c r="P90" s="15">
        <v>63</v>
      </c>
      <c r="Q90" s="15" t="s">
        <v>31</v>
      </c>
      <c r="R90" s="51" t="s">
        <v>59</v>
      </c>
      <c r="S90" s="19"/>
      <c r="T90" s="19"/>
      <c r="U90" s="19" t="s">
        <v>635</v>
      </c>
      <c r="V90" s="51" t="s">
        <v>61</v>
      </c>
      <c r="W90" s="19"/>
      <c r="X90" s="15" t="s">
        <v>485</v>
      </c>
      <c r="Y90" s="51" t="s">
        <v>35</v>
      </c>
      <c r="Z90" s="15" t="s">
        <v>486</v>
      </c>
      <c r="AA90" s="51" t="s">
        <v>30</v>
      </c>
      <c r="AB90" s="51" t="s">
        <v>30</v>
      </c>
    </row>
    <row r="91" spans="1:28" x14ac:dyDescent="0.35">
      <c r="A91" s="83"/>
      <c r="B91" s="62"/>
      <c r="C91" s="53"/>
      <c r="D91" s="53"/>
      <c r="E91" s="53"/>
      <c r="F91" s="88"/>
      <c r="G91" s="29" t="s">
        <v>636</v>
      </c>
      <c r="H91" s="88"/>
      <c r="I91" s="88"/>
      <c r="J91" s="53"/>
      <c r="K91" s="53"/>
      <c r="L91" s="53"/>
      <c r="M91" s="53"/>
      <c r="N91" s="15"/>
      <c r="O91" s="15"/>
      <c r="P91" s="15"/>
      <c r="Q91" s="15" t="s">
        <v>263</v>
      </c>
      <c r="R91" s="53"/>
      <c r="S91" s="19"/>
      <c r="T91" s="19"/>
      <c r="U91" s="10" t="s">
        <v>637</v>
      </c>
      <c r="V91" s="53"/>
      <c r="W91" s="19"/>
      <c r="X91" s="19" t="s">
        <v>487</v>
      </c>
      <c r="Y91" s="53"/>
      <c r="Z91" s="15" t="s">
        <v>488</v>
      </c>
      <c r="AA91" s="53"/>
      <c r="AB91" s="53"/>
    </row>
    <row r="92" spans="1:28" x14ac:dyDescent="0.35">
      <c r="A92" s="83"/>
      <c r="B92" s="62"/>
      <c r="C92" s="53"/>
      <c r="D92" s="52"/>
      <c r="E92" s="52"/>
      <c r="F92" s="87"/>
      <c r="G92" s="28" t="s">
        <v>638</v>
      </c>
      <c r="H92" s="87"/>
      <c r="I92" s="87"/>
      <c r="J92" s="52"/>
      <c r="K92" s="52"/>
      <c r="L92" s="52"/>
      <c r="M92" s="52"/>
      <c r="N92" s="19"/>
      <c r="O92" s="19"/>
      <c r="P92" s="19"/>
      <c r="Q92" s="19" t="s">
        <v>639</v>
      </c>
      <c r="R92" s="53"/>
      <c r="S92" s="19"/>
      <c r="T92" s="19"/>
      <c r="U92" s="19" t="s">
        <v>640</v>
      </c>
      <c r="V92" s="53"/>
      <c r="W92" s="19"/>
      <c r="X92" s="19" t="s">
        <v>641</v>
      </c>
      <c r="Y92" s="53"/>
      <c r="Z92" s="15" t="s">
        <v>642</v>
      </c>
      <c r="AA92" s="53"/>
      <c r="AB92" s="53"/>
    </row>
    <row r="93" spans="1:28" x14ac:dyDescent="0.35">
      <c r="A93" s="83"/>
      <c r="B93" s="62"/>
      <c r="C93" s="53"/>
      <c r="D93" s="51" t="s">
        <v>44</v>
      </c>
      <c r="E93" s="51" t="s">
        <v>68</v>
      </c>
      <c r="F93" s="86" t="s">
        <v>30</v>
      </c>
      <c r="G93" s="86" t="s">
        <v>30</v>
      </c>
      <c r="H93" s="86" t="s">
        <v>30</v>
      </c>
      <c r="I93" s="86" t="s">
        <v>30</v>
      </c>
      <c r="J93" s="51" t="s">
        <v>489</v>
      </c>
      <c r="K93" s="51" t="s">
        <v>490</v>
      </c>
      <c r="L93" s="51"/>
      <c r="M93" s="51"/>
      <c r="N93" s="19">
        <v>17</v>
      </c>
      <c r="O93" s="19">
        <v>46</v>
      </c>
      <c r="P93" s="19">
        <v>63</v>
      </c>
      <c r="Q93" s="19" t="s">
        <v>31</v>
      </c>
      <c r="R93" s="53"/>
      <c r="S93" s="19"/>
      <c r="T93" s="19"/>
      <c r="U93" s="19" t="s">
        <v>643</v>
      </c>
      <c r="V93" s="53"/>
      <c r="W93" s="19"/>
      <c r="X93" s="19" t="s">
        <v>491</v>
      </c>
      <c r="Y93" s="53"/>
      <c r="Z93" s="19" t="s">
        <v>492</v>
      </c>
      <c r="AA93" s="53"/>
      <c r="AB93" s="53"/>
    </row>
    <row r="94" spans="1:28" x14ac:dyDescent="0.35">
      <c r="A94" s="83"/>
      <c r="B94" s="62"/>
      <c r="C94" s="53"/>
      <c r="D94" s="53"/>
      <c r="E94" s="53"/>
      <c r="F94" s="88"/>
      <c r="G94" s="88"/>
      <c r="H94" s="88"/>
      <c r="I94" s="88"/>
      <c r="J94" s="53"/>
      <c r="K94" s="53"/>
      <c r="L94" s="53"/>
      <c r="M94" s="53"/>
      <c r="N94" s="19"/>
      <c r="O94" s="19"/>
      <c r="P94" s="19"/>
      <c r="Q94" s="19" t="s">
        <v>263</v>
      </c>
      <c r="R94" s="53"/>
      <c r="S94" s="19"/>
      <c r="T94" s="19"/>
      <c r="U94" s="19" t="s">
        <v>644</v>
      </c>
      <c r="V94" s="53"/>
      <c r="W94" s="19"/>
      <c r="X94" s="19" t="s">
        <v>493</v>
      </c>
      <c r="Y94" s="53"/>
      <c r="Z94" s="19" t="s">
        <v>494</v>
      </c>
      <c r="AA94" s="53"/>
      <c r="AB94" s="53"/>
    </row>
    <row r="95" spans="1:28" x14ac:dyDescent="0.35">
      <c r="A95" s="83"/>
      <c r="B95" s="63"/>
      <c r="C95" s="52"/>
      <c r="D95" s="52"/>
      <c r="E95" s="52"/>
      <c r="F95" s="87"/>
      <c r="G95" s="87"/>
      <c r="H95" s="87"/>
      <c r="I95" s="87"/>
      <c r="J95" s="52"/>
      <c r="K95" s="52"/>
      <c r="L95" s="52"/>
      <c r="M95" s="52"/>
      <c r="N95" s="19"/>
      <c r="O95" s="19"/>
      <c r="P95" s="19"/>
      <c r="Q95" s="19" t="s">
        <v>639</v>
      </c>
      <c r="R95" s="52"/>
      <c r="S95" s="19"/>
      <c r="T95" s="19"/>
      <c r="U95" s="19" t="s">
        <v>645</v>
      </c>
      <c r="V95" s="52"/>
      <c r="W95" s="19"/>
      <c r="X95" s="19" t="s">
        <v>646</v>
      </c>
      <c r="Y95" s="52"/>
      <c r="Z95" s="15" t="s">
        <v>647</v>
      </c>
      <c r="AA95" s="52"/>
      <c r="AB95" s="52"/>
    </row>
    <row r="96" spans="1:28" x14ac:dyDescent="0.35">
      <c r="A96" s="83">
        <v>19</v>
      </c>
      <c r="B96" s="64" t="s">
        <v>495</v>
      </c>
      <c r="C96" s="57">
        <v>2008</v>
      </c>
      <c r="D96" s="57" t="s">
        <v>26</v>
      </c>
      <c r="E96" s="57" t="s">
        <v>498</v>
      </c>
      <c r="F96" s="46" t="s">
        <v>563</v>
      </c>
      <c r="G96" s="46" t="s">
        <v>648</v>
      </c>
      <c r="H96" s="46" t="s">
        <v>649</v>
      </c>
      <c r="I96" s="46" t="s">
        <v>650</v>
      </c>
      <c r="J96" s="45" t="s">
        <v>499</v>
      </c>
      <c r="K96" s="45"/>
      <c r="L96" s="57" t="s">
        <v>500</v>
      </c>
      <c r="M96" s="57" t="s">
        <v>501</v>
      </c>
      <c r="N96" s="17">
        <v>7</v>
      </c>
      <c r="O96" s="17">
        <v>27</v>
      </c>
      <c r="P96" s="17">
        <v>34</v>
      </c>
      <c r="Q96" s="17" t="s">
        <v>31</v>
      </c>
      <c r="R96" s="80" t="s">
        <v>59</v>
      </c>
      <c r="S96" s="17"/>
      <c r="T96" s="17"/>
      <c r="U96" s="17" t="s">
        <v>502</v>
      </c>
      <c r="V96" s="55" t="s">
        <v>496</v>
      </c>
      <c r="W96" s="17"/>
      <c r="X96" s="17" t="s">
        <v>503</v>
      </c>
      <c r="Y96" s="57" t="s">
        <v>497</v>
      </c>
      <c r="Z96" s="17" t="s">
        <v>504</v>
      </c>
      <c r="AA96" s="55" t="s">
        <v>30</v>
      </c>
      <c r="AB96" s="50" t="s">
        <v>30</v>
      </c>
    </row>
    <row r="97" spans="1:28" x14ac:dyDescent="0.35">
      <c r="A97" s="83"/>
      <c r="B97" s="64"/>
      <c r="C97" s="57"/>
      <c r="D97" s="57"/>
      <c r="E97" s="57"/>
      <c r="F97" s="48"/>
      <c r="G97" s="48"/>
      <c r="H97" s="48"/>
      <c r="I97" s="48"/>
      <c r="J97" s="45"/>
      <c r="K97" s="45"/>
      <c r="L97" s="57"/>
      <c r="M97" s="57"/>
      <c r="N97" s="17"/>
      <c r="O97" s="17"/>
      <c r="P97" s="17"/>
      <c r="Q97" s="17" t="s">
        <v>39</v>
      </c>
      <c r="R97" s="90"/>
      <c r="S97" s="17"/>
      <c r="T97" s="17"/>
      <c r="U97" s="17" t="s">
        <v>505</v>
      </c>
      <c r="V97" s="57"/>
      <c r="W97" s="17"/>
      <c r="X97" s="17" t="s">
        <v>506</v>
      </c>
      <c r="Y97" s="57"/>
      <c r="Z97" s="17" t="s">
        <v>507</v>
      </c>
      <c r="AA97" s="57"/>
      <c r="AB97" s="56"/>
    </row>
    <row r="98" spans="1:28" x14ac:dyDescent="0.35">
      <c r="A98" s="83"/>
      <c r="B98" s="64"/>
      <c r="C98" s="57"/>
      <c r="D98" s="57" t="s">
        <v>26</v>
      </c>
      <c r="E98" s="57" t="s">
        <v>508</v>
      </c>
      <c r="F98" s="46" t="s">
        <v>563</v>
      </c>
      <c r="G98" s="46" t="s">
        <v>648</v>
      </c>
      <c r="H98" s="46" t="s">
        <v>579</v>
      </c>
      <c r="I98" s="46" t="s">
        <v>650</v>
      </c>
      <c r="J98" s="45" t="s">
        <v>509</v>
      </c>
      <c r="K98" s="45"/>
      <c r="L98" s="57" t="s">
        <v>510</v>
      </c>
      <c r="M98" s="57" t="s">
        <v>511</v>
      </c>
      <c r="N98" s="17">
        <v>7</v>
      </c>
      <c r="O98" s="17">
        <v>27</v>
      </c>
      <c r="P98" s="17">
        <v>34</v>
      </c>
      <c r="Q98" s="17" t="s">
        <v>31</v>
      </c>
      <c r="R98" s="90"/>
      <c r="S98" s="17"/>
      <c r="T98" s="17"/>
      <c r="U98" s="17" t="s">
        <v>512</v>
      </c>
      <c r="V98" s="57"/>
      <c r="W98" s="17"/>
      <c r="X98" s="17" t="s">
        <v>513</v>
      </c>
      <c r="Y98" s="57"/>
      <c r="Z98" s="17" t="s">
        <v>514</v>
      </c>
      <c r="AA98" s="57"/>
      <c r="AB98" s="56"/>
    </row>
    <row r="99" spans="1:28" x14ac:dyDescent="0.35">
      <c r="A99" s="83"/>
      <c r="B99" s="64"/>
      <c r="C99" s="57"/>
      <c r="D99" s="57"/>
      <c r="E99" s="57"/>
      <c r="F99" s="48"/>
      <c r="G99" s="48"/>
      <c r="H99" s="48"/>
      <c r="I99" s="48"/>
      <c r="J99" s="45"/>
      <c r="K99" s="45"/>
      <c r="L99" s="57"/>
      <c r="M99" s="57"/>
      <c r="N99" s="17"/>
      <c r="O99" s="17"/>
      <c r="P99" s="17"/>
      <c r="Q99" s="17" t="s">
        <v>39</v>
      </c>
      <c r="R99" s="90"/>
      <c r="S99" s="17"/>
      <c r="T99" s="17"/>
      <c r="U99" s="17" t="s">
        <v>515</v>
      </c>
      <c r="V99" s="57"/>
      <c r="W99" s="17"/>
      <c r="X99" s="17" t="s">
        <v>516</v>
      </c>
      <c r="Y99" s="57"/>
      <c r="Z99" s="17" t="s">
        <v>517</v>
      </c>
      <c r="AA99" s="57"/>
      <c r="AB99" s="56"/>
    </row>
    <row r="100" spans="1:28" x14ac:dyDescent="0.35">
      <c r="A100" s="83"/>
      <c r="B100" s="64"/>
      <c r="C100" s="57"/>
      <c r="D100" s="57" t="s">
        <v>44</v>
      </c>
      <c r="E100" s="57" t="s">
        <v>68</v>
      </c>
      <c r="F100" s="46" t="s">
        <v>30</v>
      </c>
      <c r="G100" s="46" t="s">
        <v>30</v>
      </c>
      <c r="H100" s="46" t="s">
        <v>30</v>
      </c>
      <c r="I100" s="46" t="s">
        <v>30</v>
      </c>
      <c r="J100" s="112" t="s">
        <v>518</v>
      </c>
      <c r="K100" s="45"/>
      <c r="L100" s="57" t="s">
        <v>519</v>
      </c>
      <c r="M100" s="57" t="s">
        <v>520</v>
      </c>
      <c r="N100" s="17">
        <v>5</v>
      </c>
      <c r="O100" s="17">
        <v>25</v>
      </c>
      <c r="P100" s="17">
        <v>30</v>
      </c>
      <c r="Q100" s="17" t="s">
        <v>31</v>
      </c>
      <c r="R100" s="90"/>
      <c r="S100" s="17"/>
      <c r="T100" s="17"/>
      <c r="U100" s="17" t="s">
        <v>521</v>
      </c>
      <c r="V100" s="57"/>
      <c r="W100" s="17"/>
      <c r="X100" s="17" t="s">
        <v>522</v>
      </c>
      <c r="Y100" s="57"/>
      <c r="Z100" s="17" t="s">
        <v>523</v>
      </c>
      <c r="AA100" s="57"/>
      <c r="AB100" s="56"/>
    </row>
    <row r="101" spans="1:28" x14ac:dyDescent="0.35">
      <c r="A101" s="83"/>
      <c r="B101" s="64"/>
      <c r="C101" s="57"/>
      <c r="D101" s="57"/>
      <c r="E101" s="57"/>
      <c r="F101" s="48"/>
      <c r="G101" s="48"/>
      <c r="H101" s="48"/>
      <c r="I101" s="48"/>
      <c r="J101" s="112"/>
      <c r="K101" s="45"/>
      <c r="L101" s="57"/>
      <c r="M101" s="57"/>
      <c r="N101" s="17"/>
      <c r="O101" s="17"/>
      <c r="P101" s="17"/>
      <c r="Q101" s="17" t="s">
        <v>39</v>
      </c>
      <c r="R101" s="90"/>
      <c r="S101" s="17"/>
      <c r="T101" s="17"/>
      <c r="U101" s="17" t="s">
        <v>524</v>
      </c>
      <c r="V101" s="57"/>
      <c r="W101" s="17"/>
      <c r="X101" s="17" t="s">
        <v>525</v>
      </c>
      <c r="Y101" s="57"/>
      <c r="Z101" s="17" t="s">
        <v>526</v>
      </c>
      <c r="AA101" s="57"/>
      <c r="AB101" s="55"/>
    </row>
    <row r="102" spans="1:28" x14ac:dyDescent="0.35">
      <c r="A102" s="83">
        <v>20</v>
      </c>
      <c r="B102" s="58" t="s">
        <v>527</v>
      </c>
      <c r="C102" s="59">
        <v>2002</v>
      </c>
      <c r="D102" s="59" t="s">
        <v>26</v>
      </c>
      <c r="E102" s="59" t="s">
        <v>528</v>
      </c>
      <c r="F102" s="86" t="s">
        <v>563</v>
      </c>
      <c r="G102" s="86" t="s">
        <v>651</v>
      </c>
      <c r="H102" s="86" t="s">
        <v>652</v>
      </c>
      <c r="I102" s="86" t="s">
        <v>553</v>
      </c>
      <c r="J102" s="60" t="s">
        <v>529</v>
      </c>
      <c r="K102" s="60"/>
      <c r="L102" s="59"/>
      <c r="M102" s="59"/>
      <c r="N102" s="19">
        <v>9</v>
      </c>
      <c r="O102" s="19">
        <v>18</v>
      </c>
      <c r="P102" s="19">
        <v>27</v>
      </c>
      <c r="Q102" s="19" t="s">
        <v>31</v>
      </c>
      <c r="R102" s="116" t="s">
        <v>653</v>
      </c>
      <c r="S102" s="19"/>
      <c r="T102" s="19"/>
      <c r="U102" s="19" t="s">
        <v>654</v>
      </c>
      <c r="V102" s="59" t="s">
        <v>61</v>
      </c>
      <c r="W102" s="18"/>
      <c r="X102" s="18" t="s">
        <v>530</v>
      </c>
      <c r="Y102" s="59" t="s">
        <v>30</v>
      </c>
      <c r="Z102" s="51" t="s">
        <v>30</v>
      </c>
      <c r="AA102" s="52" t="s">
        <v>531</v>
      </c>
      <c r="AB102" s="19" t="s">
        <v>308</v>
      </c>
    </row>
    <row r="103" spans="1:28" x14ac:dyDescent="0.35">
      <c r="A103" s="83"/>
      <c r="B103" s="58"/>
      <c r="C103" s="59"/>
      <c r="D103" s="59"/>
      <c r="E103" s="59"/>
      <c r="F103" s="87"/>
      <c r="G103" s="87"/>
      <c r="H103" s="87"/>
      <c r="I103" s="87"/>
      <c r="J103" s="60"/>
      <c r="K103" s="60"/>
      <c r="L103" s="59"/>
      <c r="M103" s="59"/>
      <c r="N103" s="19"/>
      <c r="O103" s="19"/>
      <c r="P103" s="19"/>
      <c r="Q103" s="19" t="s">
        <v>532</v>
      </c>
      <c r="R103" s="117"/>
      <c r="S103" s="19"/>
      <c r="T103" s="19"/>
      <c r="U103" s="19" t="s">
        <v>655</v>
      </c>
      <c r="V103" s="59"/>
      <c r="W103" s="18"/>
      <c r="X103" s="18" t="s">
        <v>533</v>
      </c>
      <c r="Y103" s="59"/>
      <c r="Z103" s="53"/>
      <c r="AA103" s="59"/>
      <c r="AB103" s="19" t="s">
        <v>534</v>
      </c>
    </row>
    <row r="104" spans="1:28" x14ac:dyDescent="0.35">
      <c r="A104" s="83"/>
      <c r="B104" s="58"/>
      <c r="C104" s="59"/>
      <c r="D104" s="59" t="s">
        <v>26</v>
      </c>
      <c r="E104" s="59" t="s">
        <v>535</v>
      </c>
      <c r="F104" s="86" t="s">
        <v>590</v>
      </c>
      <c r="G104" s="86" t="s">
        <v>656</v>
      </c>
      <c r="H104" s="86" t="s">
        <v>657</v>
      </c>
      <c r="I104" s="86" t="s">
        <v>600</v>
      </c>
      <c r="J104" s="60" t="s">
        <v>536</v>
      </c>
      <c r="K104" s="60"/>
      <c r="L104" s="59"/>
      <c r="M104" s="59"/>
      <c r="N104" s="19">
        <v>11</v>
      </c>
      <c r="O104" s="19">
        <v>17</v>
      </c>
      <c r="P104" s="19">
        <v>28</v>
      </c>
      <c r="Q104" s="19" t="s">
        <v>31</v>
      </c>
      <c r="R104" s="117"/>
      <c r="S104" s="19"/>
      <c r="T104" s="19"/>
      <c r="U104" s="19" t="s">
        <v>658</v>
      </c>
      <c r="V104" s="59"/>
      <c r="W104" s="18"/>
      <c r="X104" s="18" t="s">
        <v>537</v>
      </c>
      <c r="Y104" s="59"/>
      <c r="Z104" s="53"/>
      <c r="AA104" s="59"/>
      <c r="AB104" s="19" t="s">
        <v>538</v>
      </c>
    </row>
    <row r="105" spans="1:28" x14ac:dyDescent="0.35">
      <c r="A105" s="83"/>
      <c r="B105" s="58"/>
      <c r="C105" s="59"/>
      <c r="D105" s="59"/>
      <c r="E105" s="59"/>
      <c r="F105" s="87"/>
      <c r="G105" s="87"/>
      <c r="H105" s="87"/>
      <c r="I105" s="87"/>
      <c r="J105" s="60"/>
      <c r="K105" s="60"/>
      <c r="L105" s="59"/>
      <c r="M105" s="59"/>
      <c r="N105" s="19"/>
      <c r="O105" s="19"/>
      <c r="P105" s="19"/>
      <c r="Q105" s="19" t="s">
        <v>532</v>
      </c>
      <c r="R105" s="117"/>
      <c r="S105" s="19"/>
      <c r="T105" s="19"/>
      <c r="U105" s="19" t="s">
        <v>659</v>
      </c>
      <c r="V105" s="59"/>
      <c r="W105" s="18"/>
      <c r="X105" s="18" t="s">
        <v>539</v>
      </c>
      <c r="Y105" s="59"/>
      <c r="Z105" s="53"/>
      <c r="AA105" s="59"/>
      <c r="AB105" s="19" t="s">
        <v>540</v>
      </c>
    </row>
    <row r="106" spans="1:28" x14ac:dyDescent="0.35">
      <c r="A106" s="83"/>
      <c r="B106" s="58"/>
      <c r="C106" s="59"/>
      <c r="D106" s="59" t="s">
        <v>44</v>
      </c>
      <c r="E106" s="59" t="s">
        <v>68</v>
      </c>
      <c r="F106" s="86" t="s">
        <v>30</v>
      </c>
      <c r="G106" s="86" t="s">
        <v>30</v>
      </c>
      <c r="H106" s="86" t="s">
        <v>30</v>
      </c>
      <c r="I106" s="86" t="s">
        <v>30</v>
      </c>
      <c r="J106" s="65" t="s">
        <v>541</v>
      </c>
      <c r="K106" s="60"/>
      <c r="L106" s="59"/>
      <c r="M106" s="59"/>
      <c r="N106" s="19">
        <v>8</v>
      </c>
      <c r="O106" s="19">
        <v>18</v>
      </c>
      <c r="P106" s="19">
        <v>26</v>
      </c>
      <c r="Q106" s="19" t="s">
        <v>31</v>
      </c>
      <c r="R106" s="117"/>
      <c r="S106" s="19"/>
      <c r="T106" s="19"/>
      <c r="U106" s="19" t="s">
        <v>660</v>
      </c>
      <c r="V106" s="59"/>
      <c r="W106" s="18"/>
      <c r="X106" s="18" t="s">
        <v>542</v>
      </c>
      <c r="Y106" s="59"/>
      <c r="Z106" s="53"/>
      <c r="AA106" s="59"/>
      <c r="AB106" s="19" t="s">
        <v>543</v>
      </c>
    </row>
    <row r="107" spans="1:28" x14ac:dyDescent="0.35">
      <c r="A107" s="83"/>
      <c r="B107" s="58"/>
      <c r="C107" s="59"/>
      <c r="D107" s="59"/>
      <c r="E107" s="59"/>
      <c r="F107" s="87"/>
      <c r="G107" s="87"/>
      <c r="H107" s="87"/>
      <c r="I107" s="87"/>
      <c r="J107" s="65"/>
      <c r="K107" s="60"/>
      <c r="L107" s="59"/>
      <c r="M107" s="59"/>
      <c r="N107" s="19"/>
      <c r="O107" s="19"/>
      <c r="P107" s="19"/>
      <c r="Q107" s="19" t="s">
        <v>532</v>
      </c>
      <c r="R107" s="117"/>
      <c r="S107" s="19"/>
      <c r="T107" s="19"/>
      <c r="U107" s="19" t="s">
        <v>661</v>
      </c>
      <c r="V107" s="59"/>
      <c r="W107" s="18"/>
      <c r="X107" s="18" t="s">
        <v>544</v>
      </c>
      <c r="Y107" s="59"/>
      <c r="Z107" s="52"/>
      <c r="AA107" s="59"/>
      <c r="AB107" s="19" t="s">
        <v>545</v>
      </c>
    </row>
    <row r="108" spans="1:28" x14ac:dyDescent="0.35">
      <c r="A108" s="83">
        <v>21</v>
      </c>
      <c r="B108" s="64" t="s">
        <v>662</v>
      </c>
      <c r="C108" s="57">
        <v>2011</v>
      </c>
      <c r="D108" s="57" t="s">
        <v>26</v>
      </c>
      <c r="E108" s="57" t="s">
        <v>663</v>
      </c>
      <c r="F108" s="46" t="s">
        <v>608</v>
      </c>
      <c r="G108" s="46" t="s">
        <v>607</v>
      </c>
      <c r="H108" s="46" t="s">
        <v>599</v>
      </c>
      <c r="I108" s="46" t="s">
        <v>664</v>
      </c>
      <c r="J108" s="81" t="s">
        <v>665</v>
      </c>
      <c r="K108" s="57" t="s">
        <v>666</v>
      </c>
      <c r="L108" s="57"/>
      <c r="M108" s="57"/>
      <c r="N108" s="17">
        <v>0</v>
      </c>
      <c r="O108" s="17">
        <v>8</v>
      </c>
      <c r="P108" s="17">
        <v>8</v>
      </c>
      <c r="Q108" s="17" t="s">
        <v>31</v>
      </c>
      <c r="R108" s="57" t="s">
        <v>33</v>
      </c>
      <c r="S108" s="11"/>
      <c r="T108" s="11"/>
      <c r="U108" s="17" t="s">
        <v>667</v>
      </c>
      <c r="V108" s="57" t="s">
        <v>33</v>
      </c>
      <c r="W108" s="11"/>
      <c r="X108" s="21" t="s">
        <v>668</v>
      </c>
      <c r="Y108" s="57" t="s">
        <v>35</v>
      </c>
      <c r="Z108" s="16" t="s">
        <v>669</v>
      </c>
      <c r="AA108" s="57" t="s">
        <v>30</v>
      </c>
      <c r="AB108" s="17"/>
    </row>
    <row r="109" spans="1:28" x14ac:dyDescent="0.35">
      <c r="A109" s="83"/>
      <c r="B109" s="64"/>
      <c r="C109" s="57"/>
      <c r="D109" s="57"/>
      <c r="E109" s="57"/>
      <c r="F109" s="48"/>
      <c r="G109" s="48"/>
      <c r="H109" s="48"/>
      <c r="I109" s="48"/>
      <c r="J109" s="118"/>
      <c r="K109" s="57"/>
      <c r="L109" s="57"/>
      <c r="M109" s="57"/>
      <c r="N109" s="17"/>
      <c r="O109" s="17"/>
      <c r="P109" s="17">
        <v>8</v>
      </c>
      <c r="Q109" s="17" t="s">
        <v>39</v>
      </c>
      <c r="R109" s="57"/>
      <c r="S109" s="11"/>
      <c r="T109" s="11"/>
      <c r="U109" s="17" t="s">
        <v>670</v>
      </c>
      <c r="V109" s="57"/>
      <c r="W109" s="11"/>
      <c r="X109" s="21" t="s">
        <v>671</v>
      </c>
      <c r="Y109" s="57"/>
      <c r="Z109" s="17" t="s">
        <v>672</v>
      </c>
      <c r="AA109" s="57"/>
      <c r="AB109" s="17"/>
    </row>
    <row r="110" spans="1:28" x14ac:dyDescent="0.35">
      <c r="A110" s="83"/>
      <c r="B110" s="64"/>
      <c r="C110" s="57"/>
      <c r="D110" s="57" t="s">
        <v>44</v>
      </c>
      <c r="E110" s="57" t="s">
        <v>68</v>
      </c>
      <c r="F110" s="46" t="s">
        <v>30</v>
      </c>
      <c r="G110" s="46" t="s">
        <v>30</v>
      </c>
      <c r="H110" s="46" t="s">
        <v>30</v>
      </c>
      <c r="I110" s="46" t="s">
        <v>30</v>
      </c>
      <c r="J110" s="81" t="s">
        <v>673</v>
      </c>
      <c r="K110" s="57" t="s">
        <v>674</v>
      </c>
      <c r="L110" s="57"/>
      <c r="M110" s="57"/>
      <c r="N110" s="17">
        <v>0</v>
      </c>
      <c r="O110" s="17">
        <v>8</v>
      </c>
      <c r="P110" s="17">
        <v>8</v>
      </c>
      <c r="Q110" s="17" t="s">
        <v>31</v>
      </c>
      <c r="R110" s="57"/>
      <c r="S110" s="11"/>
      <c r="T110" s="11"/>
      <c r="U110" s="17" t="s">
        <v>675</v>
      </c>
      <c r="V110" s="57"/>
      <c r="W110" s="11"/>
      <c r="X110" s="21" t="s">
        <v>676</v>
      </c>
      <c r="Y110" s="57"/>
      <c r="Z110" s="17" t="s">
        <v>677</v>
      </c>
      <c r="AA110" s="57"/>
      <c r="AB110" s="17"/>
    </row>
    <row r="111" spans="1:28" x14ac:dyDescent="0.35">
      <c r="A111" s="83"/>
      <c r="B111" s="64"/>
      <c r="C111" s="57"/>
      <c r="D111" s="57"/>
      <c r="E111" s="57"/>
      <c r="F111" s="48"/>
      <c r="G111" s="48"/>
      <c r="H111" s="48"/>
      <c r="I111" s="48"/>
      <c r="J111" s="118"/>
      <c r="K111" s="57"/>
      <c r="L111" s="57"/>
      <c r="M111" s="57"/>
      <c r="N111" s="17"/>
      <c r="O111" s="17"/>
      <c r="P111" s="17">
        <v>8</v>
      </c>
      <c r="Q111" s="17" t="s">
        <v>39</v>
      </c>
      <c r="R111" s="57"/>
      <c r="S111" s="11"/>
      <c r="T111" s="11"/>
      <c r="U111" s="17" t="s">
        <v>678</v>
      </c>
      <c r="V111" s="57"/>
      <c r="W111" s="11"/>
      <c r="X111" s="21" t="s">
        <v>679</v>
      </c>
      <c r="Y111" s="57"/>
      <c r="Z111" s="16" t="s">
        <v>680</v>
      </c>
      <c r="AA111" s="57"/>
      <c r="AB111" s="17"/>
    </row>
  </sheetData>
  <mergeCells count="750">
    <mergeCell ref="AA108:AA111"/>
    <mergeCell ref="D110:D111"/>
    <mergeCell ref="E110:E111"/>
    <mergeCell ref="F110:F111"/>
    <mergeCell ref="G110:G111"/>
    <mergeCell ref="H110:H111"/>
    <mergeCell ref="I110:I111"/>
    <mergeCell ref="J110:J111"/>
    <mergeCell ref="K110:K111"/>
    <mergeCell ref="L110:L111"/>
    <mergeCell ref="M110:M111"/>
    <mergeCell ref="H108:H109"/>
    <mergeCell ref="Y96:Y101"/>
    <mergeCell ref="A108:A111"/>
    <mergeCell ref="B108:B111"/>
    <mergeCell ref="C108:C111"/>
    <mergeCell ref="D108:D109"/>
    <mergeCell ref="E108:E109"/>
    <mergeCell ref="F108:F109"/>
    <mergeCell ref="G108:G109"/>
    <mergeCell ref="I108:I109"/>
    <mergeCell ref="J108:J109"/>
    <mergeCell ref="K108:K109"/>
    <mergeCell ref="L108:L109"/>
    <mergeCell ref="M108:M109"/>
    <mergeCell ref="R108:R111"/>
    <mergeCell ref="V108:V111"/>
    <mergeCell ref="Y108:Y111"/>
    <mergeCell ref="R102:R107"/>
    <mergeCell ref="V102:V107"/>
    <mergeCell ref="Y102:Y107"/>
    <mergeCell ref="Z102:Z107"/>
    <mergeCell ref="AA102:AA107"/>
    <mergeCell ref="I102:I103"/>
    <mergeCell ref="I104:I105"/>
    <mergeCell ref="I106:I107"/>
    <mergeCell ref="J102:J103"/>
    <mergeCell ref="K102:K103"/>
    <mergeCell ref="L102:L103"/>
    <mergeCell ref="M102:M103"/>
    <mergeCell ref="J104:J105"/>
    <mergeCell ref="K104:K105"/>
    <mergeCell ref="L104:L105"/>
    <mergeCell ref="M104:M105"/>
    <mergeCell ref="J106:J107"/>
    <mergeCell ref="K106:K107"/>
    <mergeCell ref="L106:L107"/>
    <mergeCell ref="M106:M107"/>
    <mergeCell ref="F102:F103"/>
    <mergeCell ref="F104:F105"/>
    <mergeCell ref="F106:F107"/>
    <mergeCell ref="G102:G103"/>
    <mergeCell ref="G104:G105"/>
    <mergeCell ref="G106:G107"/>
    <mergeCell ref="H102:H103"/>
    <mergeCell ref="H104:H105"/>
    <mergeCell ref="H106:H107"/>
    <mergeCell ref="A102:A107"/>
    <mergeCell ref="B102:B107"/>
    <mergeCell ref="C102:C107"/>
    <mergeCell ref="D102:D103"/>
    <mergeCell ref="E102:E103"/>
    <mergeCell ref="D104:D105"/>
    <mergeCell ref="E104:E105"/>
    <mergeCell ref="D106:D107"/>
    <mergeCell ref="E106:E107"/>
    <mergeCell ref="AA96:AA101"/>
    <mergeCell ref="AB96:AB101"/>
    <mergeCell ref="V64:V67"/>
    <mergeCell ref="Y64:Y67"/>
    <mergeCell ref="AA64:AA67"/>
    <mergeCell ref="Y90:Y95"/>
    <mergeCell ref="V68:V73"/>
    <mergeCell ref="Y68:Y73"/>
    <mergeCell ref="AA68:AA73"/>
    <mergeCell ref="AB68:AB73"/>
    <mergeCell ref="Y78:Y85"/>
    <mergeCell ref="AA78:AA85"/>
    <mergeCell ref="AB78:AB85"/>
    <mergeCell ref="AA74:AA75"/>
    <mergeCell ref="AA76:AA77"/>
    <mergeCell ref="AA90:AA95"/>
    <mergeCell ref="AB90:AB95"/>
    <mergeCell ref="V78:V85"/>
    <mergeCell ref="V88:V89"/>
    <mergeCell ref="Y86:Y89"/>
    <mergeCell ref="AA86:AA89"/>
    <mergeCell ref="Y76:Y77"/>
    <mergeCell ref="Y74:Y75"/>
    <mergeCell ref="V96:V101"/>
    <mergeCell ref="M78:M79"/>
    <mergeCell ref="M72:M73"/>
    <mergeCell ref="H72:H73"/>
    <mergeCell ref="I72:I73"/>
    <mergeCell ref="I76:I77"/>
    <mergeCell ref="A96:A101"/>
    <mergeCell ref="B96:B101"/>
    <mergeCell ref="C96:C101"/>
    <mergeCell ref="D96:D97"/>
    <mergeCell ref="E96:E97"/>
    <mergeCell ref="D98:D99"/>
    <mergeCell ref="E98:E99"/>
    <mergeCell ref="D100:D101"/>
    <mergeCell ref="E100:E101"/>
    <mergeCell ref="H96:H97"/>
    <mergeCell ref="H98:H99"/>
    <mergeCell ref="H100:H101"/>
    <mergeCell ref="I96:I97"/>
    <mergeCell ref="I98:I99"/>
    <mergeCell ref="I100:I101"/>
    <mergeCell ref="J96:J97"/>
    <mergeCell ref="K96:K97"/>
    <mergeCell ref="L96:L97"/>
    <mergeCell ref="M96:M97"/>
    <mergeCell ref="J86:J87"/>
    <mergeCell ref="K86:K87"/>
    <mergeCell ref="L86:L87"/>
    <mergeCell ref="M86:M87"/>
    <mergeCell ref="J88:J89"/>
    <mergeCell ref="K88:K89"/>
    <mergeCell ref="L88:L89"/>
    <mergeCell ref="M88:M89"/>
    <mergeCell ref="L64:L65"/>
    <mergeCell ref="M64:M65"/>
    <mergeCell ref="K80:K81"/>
    <mergeCell ref="L80:L81"/>
    <mergeCell ref="M80:M81"/>
    <mergeCell ref="J82:J83"/>
    <mergeCell ref="K82:K83"/>
    <mergeCell ref="L82:L83"/>
    <mergeCell ref="M82:M83"/>
    <mergeCell ref="J84:J85"/>
    <mergeCell ref="K84:K85"/>
    <mergeCell ref="J68:J69"/>
    <mergeCell ref="K68:K69"/>
    <mergeCell ref="J78:J79"/>
    <mergeCell ref="K78:K79"/>
    <mergeCell ref="L78:L79"/>
    <mergeCell ref="R64:R67"/>
    <mergeCell ref="L66:L67"/>
    <mergeCell ref="M66:M67"/>
    <mergeCell ref="H90:H92"/>
    <mergeCell ref="I90:I92"/>
    <mergeCell ref="H93:H95"/>
    <mergeCell ref="I93:I95"/>
    <mergeCell ref="J90:J92"/>
    <mergeCell ref="K90:K92"/>
    <mergeCell ref="L90:L92"/>
    <mergeCell ref="L68:L69"/>
    <mergeCell ref="M68:M69"/>
    <mergeCell ref="R68:R73"/>
    <mergeCell ref="J70:J71"/>
    <mergeCell ref="K70:K71"/>
    <mergeCell ref="L70:L71"/>
    <mergeCell ref="M70:M71"/>
    <mergeCell ref="J72:J73"/>
    <mergeCell ref="K72:K73"/>
    <mergeCell ref="L72:L73"/>
    <mergeCell ref="M90:M92"/>
    <mergeCell ref="J93:J95"/>
    <mergeCell ref="R78:R85"/>
    <mergeCell ref="J80:J81"/>
    <mergeCell ref="A64:A67"/>
    <mergeCell ref="B64:B67"/>
    <mergeCell ref="C64:C67"/>
    <mergeCell ref="D64:D65"/>
    <mergeCell ref="E64:E65"/>
    <mergeCell ref="D66:D67"/>
    <mergeCell ref="E66:E67"/>
    <mergeCell ref="J64:J65"/>
    <mergeCell ref="K64:K65"/>
    <mergeCell ref="J66:J67"/>
    <mergeCell ref="K66:K67"/>
    <mergeCell ref="F64:F65"/>
    <mergeCell ref="F66:F67"/>
    <mergeCell ref="G64:G65"/>
    <mergeCell ref="G66:G67"/>
    <mergeCell ref="H64:H65"/>
    <mergeCell ref="H66:H67"/>
    <mergeCell ref="I64:I65"/>
    <mergeCell ref="I66:I67"/>
    <mergeCell ref="A90:A95"/>
    <mergeCell ref="B90:B95"/>
    <mergeCell ref="C90:C95"/>
    <mergeCell ref="D90:D92"/>
    <mergeCell ref="E90:E92"/>
    <mergeCell ref="D93:D95"/>
    <mergeCell ref="E93:E95"/>
    <mergeCell ref="F90:F92"/>
    <mergeCell ref="F93:F95"/>
    <mergeCell ref="A8:A11"/>
    <mergeCell ref="B8:B11"/>
    <mergeCell ref="C8:C11"/>
    <mergeCell ref="D8:D9"/>
    <mergeCell ref="E8:E9"/>
    <mergeCell ref="D10:D11"/>
    <mergeCell ref="E10:E11"/>
    <mergeCell ref="J8:J9"/>
    <mergeCell ref="K8:K9"/>
    <mergeCell ref="J10:J11"/>
    <mergeCell ref="K10:K11"/>
    <mergeCell ref="Y54:Y55"/>
    <mergeCell ref="AA54:AA55"/>
    <mergeCell ref="Y56:Y57"/>
    <mergeCell ref="AA56:AA57"/>
    <mergeCell ref="F54:F55"/>
    <mergeCell ref="F56:F57"/>
    <mergeCell ref="G54:G55"/>
    <mergeCell ref="G56:G57"/>
    <mergeCell ref="H54:H55"/>
    <mergeCell ref="H56:H57"/>
    <mergeCell ref="I54:I55"/>
    <mergeCell ref="I56:I57"/>
    <mergeCell ref="L54:L55"/>
    <mergeCell ref="M54:M55"/>
    <mergeCell ref="R54:R55"/>
    <mergeCell ref="J56:J57"/>
    <mergeCell ref="K56:K57"/>
    <mergeCell ref="L56:L57"/>
    <mergeCell ref="M56:M57"/>
    <mergeCell ref="R56:R57"/>
    <mergeCell ref="V54:V55"/>
    <mergeCell ref="V56:V57"/>
    <mergeCell ref="A54:A57"/>
    <mergeCell ref="B54:B57"/>
    <mergeCell ref="C54:C57"/>
    <mergeCell ref="D54:D55"/>
    <mergeCell ref="E54:E55"/>
    <mergeCell ref="D56:D57"/>
    <mergeCell ref="E56:E57"/>
    <mergeCell ref="J54:J55"/>
    <mergeCell ref="K54:K55"/>
    <mergeCell ref="J44:J45"/>
    <mergeCell ref="Y44:Y47"/>
    <mergeCell ref="AA44:AA47"/>
    <mergeCell ref="K44:K45"/>
    <mergeCell ref="L44:L45"/>
    <mergeCell ref="M44:M45"/>
    <mergeCell ref="R44:R47"/>
    <mergeCell ref="J46:J47"/>
    <mergeCell ref="K46:K47"/>
    <mergeCell ref="L46:L47"/>
    <mergeCell ref="M46:M47"/>
    <mergeCell ref="V44:V47"/>
    <mergeCell ref="M36:M37"/>
    <mergeCell ref="J38:J39"/>
    <mergeCell ref="K38:K39"/>
    <mergeCell ref="L38:L39"/>
    <mergeCell ref="M38:M39"/>
    <mergeCell ref="R34:R39"/>
    <mergeCell ref="A44:A47"/>
    <mergeCell ref="B44:B47"/>
    <mergeCell ref="D44:D45"/>
    <mergeCell ref="D46:D47"/>
    <mergeCell ref="C44:C47"/>
    <mergeCell ref="E44:E45"/>
    <mergeCell ref="E46:E47"/>
    <mergeCell ref="I34:I35"/>
    <mergeCell ref="I36:I37"/>
    <mergeCell ref="I38:I39"/>
    <mergeCell ref="F44:F45"/>
    <mergeCell ref="F46:F47"/>
    <mergeCell ref="G44:G45"/>
    <mergeCell ref="G46:G47"/>
    <mergeCell ref="H44:H45"/>
    <mergeCell ref="H46:H47"/>
    <mergeCell ref="I44:I45"/>
    <mergeCell ref="I46:I47"/>
    <mergeCell ref="G38:G39"/>
    <mergeCell ref="F38:F39"/>
    <mergeCell ref="F34:F35"/>
    <mergeCell ref="H34:H35"/>
    <mergeCell ref="H36:H37"/>
    <mergeCell ref="H38:H39"/>
    <mergeCell ref="J36:J37"/>
    <mergeCell ref="K36:K37"/>
    <mergeCell ref="L36:L37"/>
    <mergeCell ref="AA22:AA27"/>
    <mergeCell ref="K22:K24"/>
    <mergeCell ref="L22:L24"/>
    <mergeCell ref="M22:M24"/>
    <mergeCell ref="N22:N24"/>
    <mergeCell ref="O22:O24"/>
    <mergeCell ref="P22:P24"/>
    <mergeCell ref="R22:R27"/>
    <mergeCell ref="J34:J35"/>
    <mergeCell ref="K34:K35"/>
    <mergeCell ref="L34:L35"/>
    <mergeCell ref="M34:M35"/>
    <mergeCell ref="P25:P27"/>
    <mergeCell ref="J22:J24"/>
    <mergeCell ref="V34:V39"/>
    <mergeCell ref="Y34:Y39"/>
    <mergeCell ref="AA34:AA39"/>
    <mergeCell ref="R28:R33"/>
    <mergeCell ref="V28:V33"/>
    <mergeCell ref="Y28:Y33"/>
    <mergeCell ref="AA28:AA33"/>
    <mergeCell ref="J32:J33"/>
    <mergeCell ref="K32:K33"/>
    <mergeCell ref="L32:L33"/>
    <mergeCell ref="AA1:AB1"/>
    <mergeCell ref="N1:P1"/>
    <mergeCell ref="V1:W1"/>
    <mergeCell ref="Y1:Z1"/>
    <mergeCell ref="R1:U1"/>
    <mergeCell ref="N2:N3"/>
    <mergeCell ref="O2:O3"/>
    <mergeCell ref="AA4:AA7"/>
    <mergeCell ref="N4:N5"/>
    <mergeCell ref="R4:R7"/>
    <mergeCell ref="N6:N7"/>
    <mergeCell ref="Q2:Q3"/>
    <mergeCell ref="R2:R3"/>
    <mergeCell ref="A4:A7"/>
    <mergeCell ref="B4:B7"/>
    <mergeCell ref="C4:C7"/>
    <mergeCell ref="D4:D5"/>
    <mergeCell ref="E4:E5"/>
    <mergeCell ref="F4:F5"/>
    <mergeCell ref="G4:G5"/>
    <mergeCell ref="L1:L3"/>
    <mergeCell ref="M1:M3"/>
    <mergeCell ref="F1:F3"/>
    <mergeCell ref="G1:G3"/>
    <mergeCell ref="H1:H3"/>
    <mergeCell ref="I1:I3"/>
    <mergeCell ref="J1:J3"/>
    <mergeCell ref="K1:K3"/>
    <mergeCell ref="A1:A3"/>
    <mergeCell ref="D6:D7"/>
    <mergeCell ref="E6:E7"/>
    <mergeCell ref="J6:J7"/>
    <mergeCell ref="K6:K7"/>
    <mergeCell ref="J4:J5"/>
    <mergeCell ref="K4:K5"/>
    <mergeCell ref="L4:L5"/>
    <mergeCell ref="M4:M5"/>
    <mergeCell ref="W2:X2"/>
    <mergeCell ref="H4:H5"/>
    <mergeCell ref="I4:I5"/>
    <mergeCell ref="F6:F7"/>
    <mergeCell ref="G6:G7"/>
    <mergeCell ref="H6:H7"/>
    <mergeCell ref="I6:I7"/>
    <mergeCell ref="V4:V7"/>
    <mergeCell ref="Y4:Y7"/>
    <mergeCell ref="S2:U2"/>
    <mergeCell ref="P2:P3"/>
    <mergeCell ref="L6:L7"/>
    <mergeCell ref="M6:M7"/>
    <mergeCell ref="X12:X17"/>
    <mergeCell ref="B1:B3"/>
    <mergeCell ref="C1:C3"/>
    <mergeCell ref="D1:D3"/>
    <mergeCell ref="E1:E3"/>
    <mergeCell ref="H16:H17"/>
    <mergeCell ref="I16:I17"/>
    <mergeCell ref="I12:I15"/>
    <mergeCell ref="V2:V3"/>
    <mergeCell ref="J12:J13"/>
    <mergeCell ref="K12:K13"/>
    <mergeCell ref="L12:L13"/>
    <mergeCell ref="M12:M13"/>
    <mergeCell ref="N12:N13"/>
    <mergeCell ref="O12:O13"/>
    <mergeCell ref="L8:L9"/>
    <mergeCell ref="M8:M9"/>
    <mergeCell ref="N8:N9"/>
    <mergeCell ref="O8:O9"/>
    <mergeCell ref="P8:P9"/>
    <mergeCell ref="R8:R11"/>
    <mergeCell ref="L10:L11"/>
    <mergeCell ref="M10:M11"/>
    <mergeCell ref="P12:P13"/>
    <mergeCell ref="R12:R17"/>
    <mergeCell ref="V12:V17"/>
    <mergeCell ref="P14:P15"/>
    <mergeCell ref="P16:P17"/>
    <mergeCell ref="A12:A17"/>
    <mergeCell ref="B12:B17"/>
    <mergeCell ref="C12:C17"/>
    <mergeCell ref="D12:D13"/>
    <mergeCell ref="E12:E15"/>
    <mergeCell ref="D14:D15"/>
    <mergeCell ref="D16:D17"/>
    <mergeCell ref="E16:E17"/>
    <mergeCell ref="J25:J27"/>
    <mergeCell ref="K25:K27"/>
    <mergeCell ref="L25:L27"/>
    <mergeCell ref="M25:M27"/>
    <mergeCell ref="N25:N27"/>
    <mergeCell ref="O25:O27"/>
    <mergeCell ref="Y12:Y17"/>
    <mergeCell ref="F12:F15"/>
    <mergeCell ref="H12:H15"/>
    <mergeCell ref="G12:G15"/>
    <mergeCell ref="F16:F17"/>
    <mergeCell ref="G16:G17"/>
    <mergeCell ref="J16:J17"/>
    <mergeCell ref="K16:K17"/>
    <mergeCell ref="L16:L17"/>
    <mergeCell ref="M16:M17"/>
    <mergeCell ref="N16:N17"/>
    <mergeCell ref="O16:O17"/>
    <mergeCell ref="J14:J15"/>
    <mergeCell ref="K14:K15"/>
    <mergeCell ref="L14:L15"/>
    <mergeCell ref="M14:M15"/>
    <mergeCell ref="N14:N15"/>
    <mergeCell ref="O14:O15"/>
    <mergeCell ref="I22:I24"/>
    <mergeCell ref="A34:A39"/>
    <mergeCell ref="B34:B39"/>
    <mergeCell ref="C34:C39"/>
    <mergeCell ref="D34:D35"/>
    <mergeCell ref="E34:E35"/>
    <mergeCell ref="D36:D37"/>
    <mergeCell ref="E36:E37"/>
    <mergeCell ref="D38:D39"/>
    <mergeCell ref="E38:E39"/>
    <mergeCell ref="A22:A27"/>
    <mergeCell ref="B22:B27"/>
    <mergeCell ref="D22:D24"/>
    <mergeCell ref="D25:D27"/>
    <mergeCell ref="C22:C27"/>
    <mergeCell ref="E22:E24"/>
    <mergeCell ref="E25:E27"/>
    <mergeCell ref="F22:F24"/>
    <mergeCell ref="F25:F27"/>
    <mergeCell ref="G25:G27"/>
    <mergeCell ref="H25:H27"/>
    <mergeCell ref="I25:I27"/>
    <mergeCell ref="G34:G35"/>
    <mergeCell ref="G36:G37"/>
    <mergeCell ref="V8:V11"/>
    <mergeCell ref="Y8:Y11"/>
    <mergeCell ref="AA8:AA11"/>
    <mergeCell ref="AB8:AB11"/>
    <mergeCell ref="F8:F9"/>
    <mergeCell ref="F10:F11"/>
    <mergeCell ref="G8:G9"/>
    <mergeCell ref="G10:G11"/>
    <mergeCell ref="H8:H9"/>
    <mergeCell ref="H10:H11"/>
    <mergeCell ref="I8:I9"/>
    <mergeCell ref="I10:I11"/>
    <mergeCell ref="O10:O11"/>
    <mergeCell ref="P10:P11"/>
    <mergeCell ref="N10:N11"/>
    <mergeCell ref="G20:G21"/>
    <mergeCell ref="H20:H21"/>
    <mergeCell ref="I20:I21"/>
    <mergeCell ref="J18:J19"/>
    <mergeCell ref="K18:K19"/>
    <mergeCell ref="L18:L19"/>
    <mergeCell ref="A18:A21"/>
    <mergeCell ref="B18:B21"/>
    <mergeCell ref="C18:C21"/>
    <mergeCell ref="D18:D19"/>
    <mergeCell ref="E18:E19"/>
    <mergeCell ref="D20:D21"/>
    <mergeCell ref="E20:E21"/>
    <mergeCell ref="F18:F19"/>
    <mergeCell ref="G18:G19"/>
    <mergeCell ref="J20:J21"/>
    <mergeCell ref="K20:K21"/>
    <mergeCell ref="L20:L21"/>
    <mergeCell ref="AA18:AA21"/>
    <mergeCell ref="A28:A33"/>
    <mergeCell ref="B28:B33"/>
    <mergeCell ref="C28:C33"/>
    <mergeCell ref="D28:D29"/>
    <mergeCell ref="E28:E29"/>
    <mergeCell ref="D30:D31"/>
    <mergeCell ref="E30:E31"/>
    <mergeCell ref="D32:D33"/>
    <mergeCell ref="E32:E33"/>
    <mergeCell ref="F28:F29"/>
    <mergeCell ref="F30:F31"/>
    <mergeCell ref="F32:F33"/>
    <mergeCell ref="G28:G29"/>
    <mergeCell ref="G30:G31"/>
    <mergeCell ref="G32:G33"/>
    <mergeCell ref="H28:H29"/>
    <mergeCell ref="H30:H31"/>
    <mergeCell ref="H32:H33"/>
    <mergeCell ref="I28:I29"/>
    <mergeCell ref="M18:M19"/>
    <mergeCell ref="N18:N19"/>
    <mergeCell ref="I18:I19"/>
    <mergeCell ref="F20:F21"/>
    <mergeCell ref="M32:M33"/>
    <mergeCell ref="N32:N33"/>
    <mergeCell ref="O32:O33"/>
    <mergeCell ref="P32:P33"/>
    <mergeCell ref="V18:V21"/>
    <mergeCell ref="Y18:Y21"/>
    <mergeCell ref="O18:O19"/>
    <mergeCell ref="P18:P19"/>
    <mergeCell ref="R18:R21"/>
    <mergeCell ref="M20:M21"/>
    <mergeCell ref="N20:N21"/>
    <mergeCell ref="O20:O21"/>
    <mergeCell ref="P20:P21"/>
    <mergeCell ref="V22:V27"/>
    <mergeCell ref="Y22:Y27"/>
    <mergeCell ref="N28:N29"/>
    <mergeCell ref="O28:O29"/>
    <mergeCell ref="P28:P29"/>
    <mergeCell ref="J30:J31"/>
    <mergeCell ref="K30:K31"/>
    <mergeCell ref="L30:L31"/>
    <mergeCell ref="M30:M31"/>
    <mergeCell ref="N30:N31"/>
    <mergeCell ref="O30:O31"/>
    <mergeCell ref="P30:P31"/>
    <mergeCell ref="AB28:AB33"/>
    <mergeCell ref="A40:A43"/>
    <mergeCell ref="B40:B43"/>
    <mergeCell ref="C40:C43"/>
    <mergeCell ref="D40:D41"/>
    <mergeCell ref="E40:E41"/>
    <mergeCell ref="D42:D43"/>
    <mergeCell ref="E42:E43"/>
    <mergeCell ref="F40:F41"/>
    <mergeCell ref="F42:F43"/>
    <mergeCell ref="G42:G43"/>
    <mergeCell ref="H42:H43"/>
    <mergeCell ref="I42:I43"/>
    <mergeCell ref="G40:G41"/>
    <mergeCell ref="I40:I41"/>
    <mergeCell ref="J40:J41"/>
    <mergeCell ref="K40:K41"/>
    <mergeCell ref="L40:L41"/>
    <mergeCell ref="I30:I31"/>
    <mergeCell ref="I32:I33"/>
    <mergeCell ref="J28:J29"/>
    <mergeCell ref="K28:K29"/>
    <mergeCell ref="L28:L29"/>
    <mergeCell ref="M28:M29"/>
    <mergeCell ref="M40:M41"/>
    <mergeCell ref="R40:R43"/>
    <mergeCell ref="J42:J43"/>
    <mergeCell ref="K42:K43"/>
    <mergeCell ref="L42:L43"/>
    <mergeCell ref="M42:M43"/>
    <mergeCell ref="V40:V43"/>
    <mergeCell ref="Y40:Y43"/>
    <mergeCell ref="AA40:AA43"/>
    <mergeCell ref="A48:A53"/>
    <mergeCell ref="B48:B53"/>
    <mergeCell ref="C48:C53"/>
    <mergeCell ref="D48:D49"/>
    <mergeCell ref="E48:E49"/>
    <mergeCell ref="D50:D51"/>
    <mergeCell ref="E50:E51"/>
    <mergeCell ref="D52:D53"/>
    <mergeCell ref="E52:E53"/>
    <mergeCell ref="F48:F49"/>
    <mergeCell ref="G48:G49"/>
    <mergeCell ref="H48:H49"/>
    <mergeCell ref="I48:I49"/>
    <mergeCell ref="F50:F51"/>
    <mergeCell ref="G50:G51"/>
    <mergeCell ref="H50:H51"/>
    <mergeCell ref="I50:I51"/>
    <mergeCell ref="F52:F53"/>
    <mergeCell ref="G52:G53"/>
    <mergeCell ref="H52:H53"/>
    <mergeCell ref="I52:I53"/>
    <mergeCell ref="J48:J49"/>
    <mergeCell ref="K48:K49"/>
    <mergeCell ref="L48:L49"/>
    <mergeCell ref="M48:M49"/>
    <mergeCell ref="N48:N49"/>
    <mergeCell ref="O48:O49"/>
    <mergeCell ref="P48:P49"/>
    <mergeCell ref="R48:R53"/>
    <mergeCell ref="J50:J51"/>
    <mergeCell ref="K50:K51"/>
    <mergeCell ref="L50:L51"/>
    <mergeCell ref="M50:M51"/>
    <mergeCell ref="N50:N51"/>
    <mergeCell ref="O50:O51"/>
    <mergeCell ref="P50:P51"/>
    <mergeCell ref="J52:J53"/>
    <mergeCell ref="K52:K53"/>
    <mergeCell ref="L52:L53"/>
    <mergeCell ref="M52:M53"/>
    <mergeCell ref="N52:N53"/>
    <mergeCell ref="O52:O53"/>
    <mergeCell ref="P52:P53"/>
    <mergeCell ref="V48:V53"/>
    <mergeCell ref="Y48:Y53"/>
    <mergeCell ref="AA48:AA53"/>
    <mergeCell ref="AB48:AB53"/>
    <mergeCell ref="A58:A63"/>
    <mergeCell ref="B58:B63"/>
    <mergeCell ref="C58:C63"/>
    <mergeCell ref="D58:D59"/>
    <mergeCell ref="E58:E59"/>
    <mergeCell ref="D60:D61"/>
    <mergeCell ref="E60:E61"/>
    <mergeCell ref="D62:D63"/>
    <mergeCell ref="E62:E63"/>
    <mergeCell ref="F58:F59"/>
    <mergeCell ref="F60:F61"/>
    <mergeCell ref="F62:F63"/>
    <mergeCell ref="G62:G63"/>
    <mergeCell ref="H62:H63"/>
    <mergeCell ref="I62:I63"/>
    <mergeCell ref="G58:G59"/>
    <mergeCell ref="H58:H59"/>
    <mergeCell ref="I58:I59"/>
    <mergeCell ref="G60:G61"/>
    <mergeCell ref="H60:H61"/>
    <mergeCell ref="J58:J59"/>
    <mergeCell ref="K58:K59"/>
    <mergeCell ref="L58:L59"/>
    <mergeCell ref="M58:M59"/>
    <mergeCell ref="R58:R63"/>
    <mergeCell ref="J60:J61"/>
    <mergeCell ref="K60:K61"/>
    <mergeCell ref="L60:L61"/>
    <mergeCell ref="M60:M61"/>
    <mergeCell ref="J62:J63"/>
    <mergeCell ref="K62:K63"/>
    <mergeCell ref="L62:L63"/>
    <mergeCell ref="M62:M63"/>
    <mergeCell ref="V58:V63"/>
    <mergeCell ref="Y58:Y63"/>
    <mergeCell ref="AA58:AA63"/>
    <mergeCell ref="AB58:AB63"/>
    <mergeCell ref="A68:A73"/>
    <mergeCell ref="B68:B73"/>
    <mergeCell ref="C68:C73"/>
    <mergeCell ref="D68:D69"/>
    <mergeCell ref="E68:E69"/>
    <mergeCell ref="D70:D71"/>
    <mergeCell ref="E70:E71"/>
    <mergeCell ref="D72:D73"/>
    <mergeCell ref="E72:E73"/>
    <mergeCell ref="F68:F69"/>
    <mergeCell ref="G68:G69"/>
    <mergeCell ref="H68:H69"/>
    <mergeCell ref="I68:I69"/>
    <mergeCell ref="F70:F71"/>
    <mergeCell ref="G70:G71"/>
    <mergeCell ref="H70:H71"/>
    <mergeCell ref="I70:I71"/>
    <mergeCell ref="F72:F73"/>
    <mergeCell ref="G72:G73"/>
    <mergeCell ref="I60:I61"/>
    <mergeCell ref="A78:A85"/>
    <mergeCell ref="B78:B85"/>
    <mergeCell ref="D78:D79"/>
    <mergeCell ref="D80:D81"/>
    <mergeCell ref="D82:D83"/>
    <mergeCell ref="D84:D85"/>
    <mergeCell ref="C78:C85"/>
    <mergeCell ref="E78:E79"/>
    <mergeCell ref="E80:E81"/>
    <mergeCell ref="E82:E83"/>
    <mergeCell ref="E84:E85"/>
    <mergeCell ref="F82:F83"/>
    <mergeCell ref="G82:G83"/>
    <mergeCell ref="H82:H83"/>
    <mergeCell ref="I82:I83"/>
    <mergeCell ref="F84:F85"/>
    <mergeCell ref="G84:G85"/>
    <mergeCell ref="H84:H85"/>
    <mergeCell ref="I84:I85"/>
    <mergeCell ref="F78:F79"/>
    <mergeCell ref="G78:G79"/>
    <mergeCell ref="H78:H79"/>
    <mergeCell ref="I78:I79"/>
    <mergeCell ref="F80:F81"/>
    <mergeCell ref="G80:G81"/>
    <mergeCell ref="H80:H81"/>
    <mergeCell ref="I80:I81"/>
    <mergeCell ref="R74:R77"/>
    <mergeCell ref="V74:V75"/>
    <mergeCell ref="V76:V77"/>
    <mergeCell ref="L84:L85"/>
    <mergeCell ref="M84:M85"/>
    <mergeCell ref="A74:A77"/>
    <mergeCell ref="B74:B77"/>
    <mergeCell ref="C74:C75"/>
    <mergeCell ref="D74:D75"/>
    <mergeCell ref="C76:C77"/>
    <mergeCell ref="D76:D77"/>
    <mergeCell ref="E74:E75"/>
    <mergeCell ref="E76:E77"/>
    <mergeCell ref="J74:J75"/>
    <mergeCell ref="K74:K75"/>
    <mergeCell ref="J76:J77"/>
    <mergeCell ref="K76:K77"/>
    <mergeCell ref="F74:F75"/>
    <mergeCell ref="F76:F77"/>
    <mergeCell ref="G74:G75"/>
    <mergeCell ref="G76:G77"/>
    <mergeCell ref="H74:H75"/>
    <mergeCell ref="H76:H77"/>
    <mergeCell ref="I74:I75"/>
    <mergeCell ref="A86:A89"/>
    <mergeCell ref="B86:B89"/>
    <mergeCell ref="C86:C89"/>
    <mergeCell ref="D86:D87"/>
    <mergeCell ref="E86:E87"/>
    <mergeCell ref="F86:F87"/>
    <mergeCell ref="G86:G87"/>
    <mergeCell ref="H86:H87"/>
    <mergeCell ref="I86:I87"/>
    <mergeCell ref="D88:D89"/>
    <mergeCell ref="E88:E89"/>
    <mergeCell ref="F88:F89"/>
    <mergeCell ref="G88:G89"/>
    <mergeCell ref="H88:H89"/>
    <mergeCell ref="I88:I89"/>
    <mergeCell ref="R90:R95"/>
    <mergeCell ref="V90:V95"/>
    <mergeCell ref="K93:K95"/>
    <mergeCell ref="L93:L95"/>
    <mergeCell ref="M93:M95"/>
    <mergeCell ref="G93:G95"/>
    <mergeCell ref="F96:F97"/>
    <mergeCell ref="F98:F99"/>
    <mergeCell ref="F100:F101"/>
    <mergeCell ref="G96:G97"/>
    <mergeCell ref="G98:G99"/>
    <mergeCell ref="G100:G101"/>
    <mergeCell ref="R96:R101"/>
    <mergeCell ref="J98:J99"/>
    <mergeCell ref="K98:K99"/>
    <mergeCell ref="L98:L99"/>
    <mergeCell ref="M98:M99"/>
    <mergeCell ref="J100:J101"/>
    <mergeCell ref="K100:K101"/>
    <mergeCell ref="L100:L101"/>
    <mergeCell ref="M100:M101"/>
    <mergeCell ref="R88:R89"/>
    <mergeCell ref="R86:R87"/>
    <mergeCell ref="V86:V87"/>
    <mergeCell ref="P86:P87"/>
    <mergeCell ref="O86:O87"/>
    <mergeCell ref="N86:N87"/>
    <mergeCell ref="P88:P89"/>
    <mergeCell ref="O88:O89"/>
    <mergeCell ref="N88:N8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abSelected="1" workbookViewId="0">
      <selection activeCell="I9" sqref="I9"/>
    </sheetView>
  </sheetViews>
  <sheetFormatPr defaultRowHeight="14.5" x14ac:dyDescent="0.35"/>
  <cols>
    <col min="1" max="1" width="18.81640625" bestFit="1" customWidth="1"/>
    <col min="2" max="2" width="23.1796875" bestFit="1" customWidth="1"/>
    <col min="3" max="3" width="15.81640625" bestFit="1" customWidth="1"/>
    <col min="4" max="4" width="27.6328125" bestFit="1" customWidth="1"/>
    <col min="5" max="6" width="31" bestFit="1" customWidth="1"/>
    <col min="7" max="7" width="12.90625" bestFit="1" customWidth="1"/>
  </cols>
  <sheetData>
    <row r="1" spans="1:7" x14ac:dyDescent="0.35">
      <c r="A1" s="34" t="s">
        <v>685</v>
      </c>
      <c r="B1" s="34" t="s">
        <v>715</v>
      </c>
      <c r="C1" s="34" t="s">
        <v>681</v>
      </c>
      <c r="D1" s="34" t="s">
        <v>682</v>
      </c>
      <c r="E1" s="34" t="s">
        <v>683</v>
      </c>
      <c r="F1" s="34" t="s">
        <v>734</v>
      </c>
      <c r="G1" s="34" t="s">
        <v>684</v>
      </c>
    </row>
    <row r="2" spans="1:7" x14ac:dyDescent="0.35">
      <c r="A2" s="35" t="s">
        <v>686</v>
      </c>
      <c r="B2" s="35" t="s">
        <v>716</v>
      </c>
      <c r="C2" s="34">
        <v>400</v>
      </c>
      <c r="D2" s="36">
        <f>(6-2.844)-(4.672-5.54)</f>
        <v>4.0240000000000009</v>
      </c>
      <c r="E2" s="34">
        <f>(16.256-13.9)-(11.656-20.472)</f>
        <v>11.172000000000001</v>
      </c>
      <c r="F2" s="34">
        <v>40</v>
      </c>
      <c r="G2" s="34">
        <v>8</v>
      </c>
    </row>
    <row r="3" spans="1:7" x14ac:dyDescent="0.35">
      <c r="A3" s="35" t="s">
        <v>687</v>
      </c>
      <c r="B3" s="35" t="s">
        <v>717</v>
      </c>
      <c r="C3" s="34">
        <v>300</v>
      </c>
      <c r="D3" s="36">
        <f>(7.7-4.9)-(6.9-6.5)</f>
        <v>2.3999999999999995</v>
      </c>
      <c r="E3" s="34">
        <f>(24.8-16.2)-(23.7-21.9)</f>
        <v>6.8000000000000007</v>
      </c>
      <c r="F3" s="34">
        <v>7</v>
      </c>
      <c r="G3" s="34">
        <v>12</v>
      </c>
    </row>
    <row r="4" spans="1:7" x14ac:dyDescent="0.35">
      <c r="A4" s="35" t="s">
        <v>688</v>
      </c>
      <c r="B4" s="35" t="s">
        <v>718</v>
      </c>
      <c r="C4" s="36">
        <v>320</v>
      </c>
      <c r="D4" s="36">
        <f>4.666-(15.63-20.94)/5</f>
        <v>5.7280000000000006</v>
      </c>
      <c r="E4" s="36">
        <f>(25.78-6.96)*68/100-(14.43-13.88)*68/100</f>
        <v>12.4236</v>
      </c>
      <c r="F4" s="34">
        <v>16</v>
      </c>
      <c r="G4" s="34">
        <v>8</v>
      </c>
    </row>
    <row r="5" spans="1:7" x14ac:dyDescent="0.35">
      <c r="A5" s="35" t="s">
        <v>689</v>
      </c>
      <c r="B5" s="35" t="s">
        <v>719</v>
      </c>
      <c r="C5" s="36">
        <v>160</v>
      </c>
      <c r="D5" s="36">
        <f>(9.3-5.8)-(7.7-8.3)</f>
        <v>4.1000000000000014</v>
      </c>
      <c r="E5" s="36">
        <f>(35-22)-(27.1-26.2)</f>
        <v>12.099999999999998</v>
      </c>
      <c r="F5" s="34">
        <v>8</v>
      </c>
      <c r="G5" s="34">
        <v>8</v>
      </c>
    </row>
    <row r="6" spans="1:7" x14ac:dyDescent="0.35">
      <c r="A6" s="35" t="s">
        <v>690</v>
      </c>
      <c r="B6" s="35" t="s">
        <v>720</v>
      </c>
      <c r="C6" s="36">
        <v>480</v>
      </c>
      <c r="D6" s="36">
        <f>(9-4.9)-(9.3-9.5)</f>
        <v>4.2999999999999989</v>
      </c>
      <c r="E6" s="36">
        <f>(27.7-17.3)-(28.4-26.7)</f>
        <v>8.6999999999999993</v>
      </c>
      <c r="F6" s="34">
        <v>24</v>
      </c>
      <c r="G6" s="34">
        <v>12</v>
      </c>
    </row>
    <row r="7" spans="1:7" x14ac:dyDescent="0.35">
      <c r="A7" s="35" t="s">
        <v>691</v>
      </c>
      <c r="B7" s="35" t="s">
        <v>720</v>
      </c>
      <c r="C7" s="36">
        <v>240</v>
      </c>
      <c r="D7" s="36">
        <f>(9-6.2)-(9.3-9.6)</f>
        <v>3.0999999999999988</v>
      </c>
      <c r="E7" s="36">
        <f>(27.7-23)-(28.4-27)</f>
        <v>3.3000000000000007</v>
      </c>
      <c r="F7" s="38">
        <v>12</v>
      </c>
      <c r="G7" s="38">
        <v>6</v>
      </c>
    </row>
    <row r="8" spans="1:7" x14ac:dyDescent="0.35">
      <c r="A8" s="35" t="s">
        <v>692</v>
      </c>
      <c r="B8" s="35" t="s">
        <v>720</v>
      </c>
      <c r="C8" s="36">
        <v>240</v>
      </c>
      <c r="D8" s="36">
        <f>(11.75-10.38)-(10.75-10.77)</f>
        <v>1.3899999999999988</v>
      </c>
      <c r="E8" s="36">
        <f>(38.13-35.97)-(38.87-39.7)</f>
        <v>2.9900000000000091</v>
      </c>
      <c r="F8" s="37">
        <v>16</v>
      </c>
      <c r="G8" s="37">
        <v>16</v>
      </c>
    </row>
    <row r="9" spans="1:7" x14ac:dyDescent="0.35">
      <c r="A9" s="35" t="s">
        <v>693</v>
      </c>
      <c r="B9" s="35" t="s">
        <v>720</v>
      </c>
      <c r="C9" s="36">
        <v>240</v>
      </c>
      <c r="D9" s="36">
        <f>(12.4-10.71)-(10.75-10.77)</f>
        <v>1.7099999999999991</v>
      </c>
      <c r="E9" s="36">
        <f>(41.09-35.3)-(38.87-39.7)</f>
        <v>6.6200000000000117</v>
      </c>
      <c r="F9" s="37">
        <v>16</v>
      </c>
      <c r="G9" s="37">
        <v>16</v>
      </c>
    </row>
    <row r="10" spans="1:7" x14ac:dyDescent="0.35">
      <c r="A10" s="35" t="s">
        <v>694</v>
      </c>
      <c r="B10" s="35" t="s">
        <v>721</v>
      </c>
      <c r="C10" s="36">
        <v>350</v>
      </c>
      <c r="D10" s="36">
        <f>7.7/5-(-1.5/5)</f>
        <v>1.84</v>
      </c>
      <c r="E10" s="36">
        <f>6.6/5+0.1/5</f>
        <v>1.3399999999999999</v>
      </c>
      <c r="F10" s="37">
        <v>7</v>
      </c>
      <c r="G10" s="37">
        <v>8</v>
      </c>
    </row>
    <row r="11" spans="1:7" x14ac:dyDescent="0.35">
      <c r="A11" s="35" t="s">
        <v>695</v>
      </c>
      <c r="B11" s="35" t="s">
        <v>722</v>
      </c>
      <c r="C11" s="36">
        <v>320</v>
      </c>
      <c r="D11" s="36">
        <f>11.4/5-(-0.1/5)</f>
        <v>2.3000000000000003</v>
      </c>
      <c r="E11" s="36">
        <f>8.5/5+0.1/5</f>
        <v>1.72</v>
      </c>
      <c r="F11" s="37">
        <v>16</v>
      </c>
      <c r="G11" s="37">
        <v>8</v>
      </c>
    </row>
    <row r="12" spans="1:7" x14ac:dyDescent="0.35">
      <c r="A12" s="35" t="s">
        <v>723</v>
      </c>
      <c r="B12" s="35" t="s">
        <v>724</v>
      </c>
      <c r="C12" s="36">
        <v>170</v>
      </c>
      <c r="D12" s="36">
        <f>(11-11)-(8.8-9.7)</f>
        <v>0.89999999999999858</v>
      </c>
      <c r="E12" s="36">
        <f>(37-38)-0</f>
        <v>-1</v>
      </c>
      <c r="F12" s="37">
        <v>13</v>
      </c>
      <c r="G12" s="37">
        <v>12</v>
      </c>
    </row>
    <row r="13" spans="1:7" x14ac:dyDescent="0.35">
      <c r="A13" s="35" t="s">
        <v>696</v>
      </c>
      <c r="B13" s="35" t="s">
        <v>725</v>
      </c>
      <c r="C13" s="36">
        <v>440</v>
      </c>
      <c r="D13" s="36">
        <f>-(70.8-81.4)/5 - (65.7-70)/5</f>
        <v>2.9800000000000013</v>
      </c>
      <c r="E13" s="36">
        <f>-(72.3-84.2)/5-(70.3-71.1)/5</f>
        <v>2.5400000000000005</v>
      </c>
      <c r="F13" s="37">
        <v>24</v>
      </c>
      <c r="G13" s="37">
        <v>12</v>
      </c>
    </row>
    <row r="14" spans="1:7" x14ac:dyDescent="0.35">
      <c r="A14" s="35" t="s">
        <v>697</v>
      </c>
      <c r="B14" s="35" t="s">
        <v>720</v>
      </c>
      <c r="C14" s="36">
        <v>400</v>
      </c>
      <c r="D14" s="36">
        <f>(155-71)/25-(170-157)/25</f>
        <v>2.84</v>
      </c>
      <c r="E14" s="36">
        <f>(464-240)*(68/1700)-(547-475)*68/1700</f>
        <v>6.080000000000001</v>
      </c>
      <c r="F14" s="37">
        <v>20</v>
      </c>
      <c r="G14" s="37">
        <v>10</v>
      </c>
    </row>
    <row r="15" spans="1:7" x14ac:dyDescent="0.35">
      <c r="A15" s="35" t="s">
        <v>698</v>
      </c>
      <c r="B15" s="35" t="s">
        <v>726</v>
      </c>
      <c r="C15" s="36">
        <v>400</v>
      </c>
      <c r="D15" s="36">
        <f>(169-141)/25-(170-157)/25</f>
        <v>0.60000000000000009</v>
      </c>
      <c r="E15" s="36">
        <f>(694-552)*(68/1700)-(547-475)*68/1700</f>
        <v>2.8</v>
      </c>
      <c r="F15" s="37">
        <v>20</v>
      </c>
      <c r="G15" s="37">
        <v>10</v>
      </c>
    </row>
    <row r="16" spans="1:7" x14ac:dyDescent="0.35">
      <c r="A16" s="35" t="s">
        <v>699</v>
      </c>
      <c r="B16" s="35" t="s">
        <v>718</v>
      </c>
      <c r="C16" s="36">
        <v>150</v>
      </c>
      <c r="D16" s="36">
        <f>1.45-(-0.42)</f>
        <v>1.8699999999999999</v>
      </c>
      <c r="E16" s="36">
        <f>3.55+0.01</f>
        <v>3.5599999999999996</v>
      </c>
      <c r="F16" s="37">
        <v>0</v>
      </c>
      <c r="G16" s="37">
        <v>26</v>
      </c>
    </row>
    <row r="17" spans="1:7" x14ac:dyDescent="0.35">
      <c r="A17" s="35" t="s">
        <v>700</v>
      </c>
      <c r="B17" s="35" t="s">
        <v>310</v>
      </c>
      <c r="C17" s="36">
        <v>180</v>
      </c>
      <c r="D17" s="36">
        <f>(312.5-175)/25-0</f>
        <v>5.5</v>
      </c>
      <c r="E17" s="36">
        <f>(975-752)*(68/1700)-(625-650)*68/1700</f>
        <v>9.92</v>
      </c>
      <c r="F17" s="37">
        <v>36</v>
      </c>
      <c r="G17" s="37">
        <v>12</v>
      </c>
    </row>
    <row r="18" spans="1:7" x14ac:dyDescent="0.35">
      <c r="A18" s="35" t="s">
        <v>701</v>
      </c>
      <c r="B18" s="35" t="s">
        <v>323</v>
      </c>
      <c r="C18" s="36">
        <v>180</v>
      </c>
      <c r="D18" s="36">
        <f>(275-150)/25-0</f>
        <v>5</v>
      </c>
      <c r="E18" s="36">
        <f>(900-847.5)*(68/1700)-(625-650)*68/1700</f>
        <v>3.1</v>
      </c>
      <c r="F18" s="37">
        <v>36</v>
      </c>
      <c r="G18" s="37">
        <v>12</v>
      </c>
    </row>
    <row r="19" spans="1:7" x14ac:dyDescent="0.35">
      <c r="A19" s="35" t="s">
        <v>702</v>
      </c>
      <c r="B19" s="35" t="s">
        <v>727</v>
      </c>
      <c r="C19" s="36">
        <v>320</v>
      </c>
      <c r="D19" s="36">
        <f>(6.8-4.6)*20/35-((6.1-5.9)*20/35)</f>
        <v>1.1428571428571432</v>
      </c>
      <c r="E19" s="36">
        <f>(24.2-14.7)*68/85-(23.5-20.8)*68/85</f>
        <v>5.4399999999999995</v>
      </c>
      <c r="F19" s="37">
        <v>16</v>
      </c>
      <c r="G19" s="37">
        <v>8</v>
      </c>
    </row>
    <row r="20" spans="1:7" x14ac:dyDescent="0.35">
      <c r="A20" s="35" t="s">
        <v>703</v>
      </c>
      <c r="B20" s="35" t="s">
        <v>728</v>
      </c>
      <c r="C20" s="36">
        <v>480</v>
      </c>
      <c r="D20" s="36">
        <f>(8-4.3)-(8.5-7.3)</f>
        <v>2.5</v>
      </c>
      <c r="E20" s="36">
        <f>(23.1-14.6)-(24.8-24.9)</f>
        <v>8.6</v>
      </c>
      <c r="F20" s="37">
        <v>24</v>
      </c>
      <c r="G20" s="37">
        <v>8</v>
      </c>
    </row>
    <row r="21" spans="1:7" x14ac:dyDescent="0.35">
      <c r="A21" s="35" t="s">
        <v>704</v>
      </c>
      <c r="B21" s="35" t="s">
        <v>480</v>
      </c>
      <c r="C21" s="36">
        <v>240</v>
      </c>
      <c r="D21" s="36">
        <f>(8.8-4.2)-(8.5-7.3)</f>
        <v>3.4000000000000004</v>
      </c>
      <c r="E21" s="36">
        <f>(27.3-10.1)-(24.8-24.9)</f>
        <v>17.3</v>
      </c>
      <c r="F21" s="37">
        <v>24</v>
      </c>
      <c r="G21" s="37">
        <v>8</v>
      </c>
    </row>
    <row r="22" spans="1:7" x14ac:dyDescent="0.35">
      <c r="A22" s="35" t="s">
        <v>426</v>
      </c>
      <c r="B22" s="35" t="s">
        <v>718</v>
      </c>
      <c r="C22" s="36">
        <v>720</v>
      </c>
      <c r="D22" s="36">
        <f>5.7-6.7</f>
        <v>-1</v>
      </c>
      <c r="E22" s="36">
        <f>5.4-6.4</f>
        <v>-1</v>
      </c>
      <c r="F22" s="37">
        <v>36</v>
      </c>
      <c r="G22" s="37">
        <v>12</v>
      </c>
    </row>
    <row r="23" spans="1:7" x14ac:dyDescent="0.35">
      <c r="A23" s="35" t="s">
        <v>705</v>
      </c>
      <c r="B23" s="35" t="s">
        <v>729</v>
      </c>
      <c r="C23" s="36">
        <v>525</v>
      </c>
      <c r="D23" s="36">
        <f>(33.1-28.5)/5-(39.2-36.2)/5</f>
        <v>0.32000000000000028</v>
      </c>
      <c r="E23" s="36">
        <f>(31.4-29.3)-(38.5-36.5)</f>
        <v>9.9999999999997868E-2</v>
      </c>
      <c r="F23" s="37">
        <v>7</v>
      </c>
      <c r="G23" s="37">
        <v>12</v>
      </c>
    </row>
    <row r="24" spans="1:7" x14ac:dyDescent="0.35">
      <c r="A24" s="35" t="s">
        <v>706</v>
      </c>
      <c r="B24" s="35" t="s">
        <v>730</v>
      </c>
      <c r="C24" s="36">
        <v>525</v>
      </c>
      <c r="D24" s="36">
        <f>(35.7-22.8)/5-(34.6-33.6)/5</f>
        <v>2.3800000000000003</v>
      </c>
      <c r="E24" s="36">
        <f>(33.1-24)-(36.1-32.4)</f>
        <v>5.3999999999999986</v>
      </c>
      <c r="F24" s="37">
        <v>7</v>
      </c>
      <c r="G24" s="37">
        <v>12</v>
      </c>
    </row>
    <row r="25" spans="1:7" x14ac:dyDescent="0.35">
      <c r="A25" s="35" t="s">
        <v>707</v>
      </c>
      <c r="B25" s="35" t="s">
        <v>731</v>
      </c>
      <c r="C25" s="36">
        <v>480</v>
      </c>
      <c r="D25" s="36">
        <f>2.41+1.29</f>
        <v>3.7</v>
      </c>
      <c r="E25" s="36">
        <f>-0.09-4.71</f>
        <v>-4.8</v>
      </c>
      <c r="F25" s="37">
        <v>24</v>
      </c>
      <c r="G25" s="37">
        <v>12</v>
      </c>
    </row>
    <row r="26" spans="1:7" x14ac:dyDescent="0.35">
      <c r="A26" s="35" t="s">
        <v>708</v>
      </c>
      <c r="B26" s="35" t="s">
        <v>718</v>
      </c>
      <c r="C26" s="36">
        <v>300</v>
      </c>
      <c r="D26" s="36">
        <f>(10.1-8.4)-(9.4-9.1)</f>
        <v>1.3999999999999986</v>
      </c>
      <c r="E26" s="36">
        <f>(35.1-30.4)-(31-32.9)</f>
        <v>6.6000000000000014</v>
      </c>
      <c r="F26" s="37">
        <v>20</v>
      </c>
      <c r="G26" s="37">
        <v>10</v>
      </c>
    </row>
    <row r="27" spans="1:7" x14ac:dyDescent="0.35">
      <c r="A27" s="35" t="s">
        <v>709</v>
      </c>
      <c r="B27" s="35" t="s">
        <v>718</v>
      </c>
      <c r="C27" s="36">
        <v>600</v>
      </c>
      <c r="D27" s="36">
        <f>(10.1-6.9)-(9.4-8.8)</f>
        <v>2.5999999999999996</v>
      </c>
      <c r="E27" s="36">
        <f>(35.1-26.3)-(31-31.4)</f>
        <v>9.1999999999999993</v>
      </c>
      <c r="F27" s="38">
        <v>40</v>
      </c>
      <c r="G27" s="38">
        <v>20</v>
      </c>
    </row>
    <row r="28" spans="1:7" x14ac:dyDescent="0.35">
      <c r="A28" s="35" t="s">
        <v>710</v>
      </c>
      <c r="B28" s="35" t="s">
        <v>732</v>
      </c>
      <c r="C28" s="36">
        <v>1200</v>
      </c>
      <c r="D28" s="36">
        <f>(8.5-4.8)-(8.3-7.1)</f>
        <v>2.4999999999999991</v>
      </c>
      <c r="E28" s="36">
        <f>(26.4-14.7)-(25.4-22.5)</f>
        <v>8.8000000000000007</v>
      </c>
      <c r="F28" s="34">
        <v>24</v>
      </c>
      <c r="G28" s="34">
        <v>8</v>
      </c>
    </row>
    <row r="29" spans="1:7" x14ac:dyDescent="0.35">
      <c r="A29" s="35" t="s">
        <v>711</v>
      </c>
      <c r="B29" s="35" t="s">
        <v>733</v>
      </c>
      <c r="C29" s="34">
        <v>1800</v>
      </c>
      <c r="D29" s="36">
        <f>(7.8-4.8)-(8.3-7.1)</f>
        <v>1.7999999999999989</v>
      </c>
      <c r="E29" s="34">
        <f>(26.1-14.8)-(25.4-22.5)</f>
        <v>8.4000000000000021</v>
      </c>
      <c r="F29" s="34">
        <v>24</v>
      </c>
      <c r="G29" s="34">
        <v>8</v>
      </c>
    </row>
    <row r="30" spans="1:7" x14ac:dyDescent="0.35">
      <c r="A30" s="35" t="s">
        <v>712</v>
      </c>
      <c r="B30" s="35" t="s">
        <v>717</v>
      </c>
      <c r="C30" s="34">
        <v>120</v>
      </c>
      <c r="D30" s="36">
        <f>(6.6-3)-(6.6-6)</f>
        <v>3</v>
      </c>
      <c r="E30" s="34">
        <f>(25.4-10.8)-(25.2-20.7)</f>
        <v>10.099999999999998</v>
      </c>
      <c r="F30" s="34">
        <v>1</v>
      </c>
      <c r="G30" s="34">
        <v>24</v>
      </c>
    </row>
    <row r="31" spans="1:7" x14ac:dyDescent="0.35">
      <c r="A31" s="35" t="s">
        <v>713</v>
      </c>
      <c r="B31" s="35" t="s">
        <v>724</v>
      </c>
      <c r="C31" s="34">
        <v>120</v>
      </c>
      <c r="D31" s="36">
        <f>(6.9-3.4)-(6.6-6)</f>
        <v>2.9000000000000008</v>
      </c>
      <c r="E31" s="34">
        <f>(23.9-10.2)-(25.2-20.7)</f>
        <v>9.1999999999999993</v>
      </c>
      <c r="F31" s="34">
        <v>0</v>
      </c>
      <c r="G31" s="34">
        <v>24</v>
      </c>
    </row>
    <row r="32" spans="1:7" x14ac:dyDescent="0.35">
      <c r="A32" s="35" t="s">
        <v>714</v>
      </c>
      <c r="B32" s="35" t="s">
        <v>718</v>
      </c>
      <c r="C32" s="34">
        <v>480</v>
      </c>
      <c r="D32" s="36">
        <f>(5.38-3)-(5.63-8.38)</f>
        <v>5.1300000000000008</v>
      </c>
      <c r="E32" s="34">
        <f>(21.13-9.5)-(20.5-26.75)</f>
        <v>17.88</v>
      </c>
      <c r="F32" s="34">
        <v>24</v>
      </c>
      <c r="G32" s="34">
        <v>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SelectedPapers</vt:lpstr>
      <vt:lpstr>Data4code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Shavazipour, Babooshka</dc:creator>
  <cp:keywords/>
  <dc:description/>
  <cp:lastModifiedBy>Shavazipour, Babooshka</cp:lastModifiedBy>
  <cp:revision/>
  <dcterms:created xsi:type="dcterms:W3CDTF">2019-10-23T12:42:50Z</dcterms:created>
  <dcterms:modified xsi:type="dcterms:W3CDTF">2020-06-18T09:53:58Z</dcterms:modified>
  <cp:category/>
  <cp:contentStatus/>
</cp:coreProperties>
</file>