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79" firstSheet="5" activeTab="12"/>
  </bookViews>
  <sheets>
    <sheet name="乔木" sheetId="1" state="hidden" r:id="rId1"/>
    <sheet name="灌木" sheetId="2" state="hidden" r:id="rId2"/>
    <sheet name="草本" sheetId="3" state="hidden" r:id="rId3"/>
    <sheet name="蒸腾" sheetId="5" state="hidden" r:id="rId4"/>
    <sheet name="兴趣区 固碳差值" sheetId="4" r:id="rId5"/>
    <sheet name="不同日期舒适度计算" sheetId="13" r:id="rId6"/>
    <sheet name="不同日期" sheetId="14" state="hidden" r:id="rId7"/>
    <sheet name="论文用" sheetId="6" state="hidden" r:id="rId8"/>
    <sheet name="计算人体舒适度" sheetId="10" r:id="rId9"/>
    <sheet name="天气" sheetId="11" r:id="rId10"/>
    <sheet name="Sheet1" sheetId="7" state="hidden" r:id="rId11"/>
    <sheet name="Sheet2" sheetId="12" state="hidden" r:id="rId12"/>
    <sheet name="对比表" sheetId="16" r:id="rId13"/>
    <sheet name="最后总表" sheetId="17" r:id="rId14"/>
    <sheet name="图2" sheetId="19" r:id="rId15"/>
    <sheet name="前期固碳" sheetId="21" r:id="rId16"/>
    <sheet name="固碳释氧量" sheetId="18" r:id="rId17"/>
    <sheet name="Sheet3" sheetId="2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F80B938F968E4079B3F74600AFB23C8C" descr="upload_post_object_v2_031994959"/>
        <xdr:cNvPicPr/>
      </xdr:nvPicPr>
      <xdr:blipFill>
        <a:blip r:embed="rId1"/>
        <a:stretch>
          <a:fillRect/>
        </a:stretch>
      </xdr:blipFill>
      <xdr:spPr>
        <a:xfrm>
          <a:off x="0" y="0"/>
          <a:ext cx="8001000" cy="4503420"/>
        </a:xfrm>
        <a:prstGeom prst="rect">
          <a:avLst/>
        </a:prstGeom>
      </xdr:spPr>
    </xdr:pic>
  </etc:cellImage>
  <etc:cellImage>
    <xdr:pic>
      <xdr:nvPicPr>
        <xdr:cNvPr id="5" name="ID_155177BC988D4BEFB9874ED8D5547431" descr="upload_post_object_v2_981728161"/>
        <xdr:cNvPicPr/>
      </xdr:nvPicPr>
      <xdr:blipFill>
        <a:blip r:embed="rId2"/>
        <a:stretch>
          <a:fillRect/>
        </a:stretch>
      </xdr:blipFill>
      <xdr:spPr>
        <a:xfrm>
          <a:off x="0" y="0"/>
          <a:ext cx="5486400" cy="4114800"/>
        </a:xfrm>
        <a:prstGeom prst="rect">
          <a:avLst/>
        </a:prstGeom>
      </xdr:spPr>
    </xdr:pic>
  </etc:cellImage>
  <etc:cellImage>
    <xdr:pic>
      <xdr:nvPicPr>
        <xdr:cNvPr id="7" name="ID_54D4C18BAE414C5CA6D7FA60C26BA889" descr="upload_post_object_v2_219124078"/>
        <xdr:cNvPicPr/>
      </xdr:nvPicPr>
      <xdr:blipFill>
        <a:blip r:embed="rId3"/>
        <a:stretch>
          <a:fillRect/>
        </a:stretch>
      </xdr:blipFill>
      <xdr:spPr>
        <a:xfrm>
          <a:off x="0" y="0"/>
          <a:ext cx="4716780" cy="3215640"/>
        </a:xfrm>
        <a:prstGeom prst="rect">
          <a:avLst/>
        </a:prstGeom>
      </xdr:spPr>
    </xdr:pic>
  </etc:cellImage>
  <etc:cellImage>
    <xdr:pic>
      <xdr:nvPicPr>
        <xdr:cNvPr id="17" name="ID_461D33A837FA40619B8B4B6264510387" descr="upload_post_object_v2_035206723"/>
        <xdr:cNvPicPr/>
      </xdr:nvPicPr>
      <xdr:blipFill>
        <a:blip r:embed="rId4"/>
        <a:stretch>
          <a:fillRect/>
        </a:stretch>
      </xdr:blipFill>
      <xdr:spPr>
        <a:xfrm>
          <a:off x="0" y="0"/>
          <a:ext cx="2560320" cy="3810000"/>
        </a:xfrm>
        <a:prstGeom prst="rect">
          <a:avLst/>
        </a:prstGeom>
      </xdr:spPr>
    </xdr:pic>
  </etc:cellImage>
  <etc:cellImage>
    <xdr:pic>
      <xdr:nvPicPr>
        <xdr:cNvPr id="8" name="ID_E5C45F99519D416FBE53864F509A88A0" descr="upload_post_object_v2_234838153"/>
        <xdr:cNvPicPr/>
      </xdr:nvPicPr>
      <xdr:blipFill>
        <a:blip r:embed="rId5"/>
        <a:stretch>
          <a:fillRect/>
        </a:stretch>
      </xdr:blipFill>
      <xdr:spPr>
        <a:xfrm>
          <a:off x="0" y="0"/>
          <a:ext cx="2872740" cy="3025140"/>
        </a:xfrm>
        <a:prstGeom prst="rect">
          <a:avLst/>
        </a:prstGeom>
      </xdr:spPr>
    </xdr:pic>
  </etc:cellImage>
  <etc:cellImage>
    <xdr:pic>
      <xdr:nvPicPr>
        <xdr:cNvPr id="15" name="ID_3C2AB329E1FC4C439A59E7646DE69456" descr="upload_post_object_v2_105503887"/>
        <xdr:cNvPicPr/>
      </xdr:nvPicPr>
      <xdr:blipFill>
        <a:blip r:embed="rId6"/>
        <a:stretch>
          <a:fillRect/>
        </a:stretch>
      </xdr:blipFill>
      <xdr:spPr>
        <a:xfrm>
          <a:off x="0" y="0"/>
          <a:ext cx="4572000" cy="3048000"/>
        </a:xfrm>
        <a:prstGeom prst="rect">
          <a:avLst/>
        </a:prstGeom>
      </xdr:spPr>
    </xdr:pic>
  </etc:cellImage>
  <etc:cellImage>
    <xdr:pic>
      <xdr:nvPicPr>
        <xdr:cNvPr id="9" name="ID_0E1CBF81F8EF4785BEC8B9E7E30DA92B" descr="1d55a33f6c89314ab237f1c9d42eacc1_t01fecb50e0cee3a4a3_size=600x8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74620" y="27846655"/>
          <a:ext cx="3433445" cy="4597400"/>
        </a:xfrm>
        <a:prstGeom prst="rect">
          <a:avLst/>
        </a:prstGeom>
      </xdr:spPr>
    </xdr:pic>
  </etc:cellImage>
  <etc:cellImage>
    <xdr:pic>
      <xdr:nvPicPr>
        <xdr:cNvPr id="21" name="ID_9EF8612409464CD78B6745656C42BB28" descr="upload_post_object_v2_987374296"/>
        <xdr:cNvPicPr/>
      </xdr:nvPicPr>
      <xdr:blipFill>
        <a:blip r:embed="rId8"/>
        <a:stretch>
          <a:fillRect/>
        </a:stretch>
      </xdr:blipFill>
      <xdr:spPr>
        <a:xfrm>
          <a:off x="0" y="0"/>
          <a:ext cx="9144000" cy="6858000"/>
        </a:xfrm>
        <a:prstGeom prst="rect">
          <a:avLst/>
        </a:prstGeom>
      </xdr:spPr>
    </xdr:pic>
  </etc:cellImage>
  <etc:cellImage>
    <xdr:pic>
      <xdr:nvPicPr>
        <xdr:cNvPr id="2" name="ID_C32E4859EBE446D0AD011E1296DEAA66" descr="upload_post_object_v2_981349087"/>
        <xdr:cNvPicPr/>
      </xdr:nvPicPr>
      <xdr:blipFill>
        <a:blip r:embed="rId9"/>
        <a:stretch>
          <a:fillRect/>
        </a:stretch>
      </xdr:blipFill>
      <xdr:spPr>
        <a:xfrm>
          <a:off x="0" y="0"/>
          <a:ext cx="3810000" cy="2506980"/>
        </a:xfrm>
        <a:prstGeom prst="rect">
          <a:avLst/>
        </a:prstGeom>
      </xdr:spPr>
    </xdr:pic>
  </etc:cellImage>
  <etc:cellImage>
    <xdr:pic>
      <xdr:nvPicPr>
        <xdr:cNvPr id="35" name="ID_03BA4F5756954515BE213A193AE816D1" descr="6528cf6a35fa364ae06859ab9c91fa29_1240575192323_mthum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74620" y="26854785"/>
          <a:ext cx="9147175" cy="9001760"/>
        </a:xfrm>
        <a:prstGeom prst="rect">
          <a:avLst/>
        </a:prstGeom>
      </xdr:spPr>
    </xdr:pic>
  </etc:cellImage>
  <etc:cellImage>
    <xdr:pic>
      <xdr:nvPicPr>
        <xdr:cNvPr id="14" name="ID_4D8703B5FBBE472A93D872B4D89C9F9E" descr="807f251623adc16864b42bace3eb238b_1204327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74620" y="29322395"/>
          <a:ext cx="6991350" cy="5260975"/>
        </a:xfrm>
        <a:prstGeom prst="rect">
          <a:avLst/>
        </a:prstGeom>
      </xdr:spPr>
    </xdr:pic>
  </etc:cellImage>
  <etc:cellImage>
    <xdr:pic>
      <xdr:nvPicPr>
        <xdr:cNvPr id="22" name="ID_F4EC41F881034633AFBEEB697A5260C0" descr="upload_post_object_v2_674975902"/>
        <xdr:cNvPicPr/>
      </xdr:nvPicPr>
      <xdr:blipFill>
        <a:blip r:embed="rId12"/>
        <a:stretch>
          <a:fillRect/>
        </a:stretch>
      </xdr:blipFill>
      <xdr:spPr>
        <a:xfrm>
          <a:off x="0" y="0"/>
          <a:ext cx="6096000" cy="6096000"/>
        </a:xfrm>
        <a:prstGeom prst="rect">
          <a:avLst/>
        </a:prstGeom>
      </xdr:spPr>
    </xdr:pic>
  </etc:cellImage>
  <etc:cellImage>
    <xdr:pic>
      <xdr:nvPicPr>
        <xdr:cNvPr id="18" name="ID_C2A2C1DD40104F489678AEF513B42557" descr="e252ff987b59c72e7fc9108a9ff53c6d_t01bc3dbbd4207eb46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74620" y="28220035"/>
          <a:ext cx="5085715" cy="3828415"/>
        </a:xfrm>
        <a:prstGeom prst="rect">
          <a:avLst/>
        </a:prstGeom>
      </xdr:spPr>
    </xdr:pic>
  </etc:cellImage>
  <etc:cellImage>
    <xdr:pic>
      <xdr:nvPicPr>
        <xdr:cNvPr id="47" name="ID_655F95192CFC42378CB0B6587B3198C5" descr="upload_post_object_v2_488313353"/>
        <xdr:cNvPicPr/>
      </xdr:nvPicPr>
      <xdr:blipFill>
        <a:blip r:embed="rId14"/>
        <a:stretch>
          <a:fillRect/>
        </a:stretch>
      </xdr:blipFill>
      <xdr:spPr>
        <a:xfrm>
          <a:off x="0" y="0"/>
          <a:ext cx="9144000" cy="6094095"/>
        </a:xfrm>
        <a:prstGeom prst="rect">
          <a:avLst/>
        </a:prstGeom>
      </xdr:spPr>
    </xdr:pic>
  </etc:cellImage>
  <etc:cellImage>
    <xdr:pic>
      <xdr:nvPicPr>
        <xdr:cNvPr id="38" name="ID_E523F08B082741769FF4708A260F5DE6" descr="upload_post_object_v2_990547101"/>
        <xdr:cNvPicPr/>
      </xdr:nvPicPr>
      <xdr:blipFill>
        <a:blip r:embed="rId15"/>
        <a:stretch>
          <a:fillRect/>
        </a:stretch>
      </xdr:blipFill>
      <xdr:spPr>
        <a:xfrm>
          <a:off x="0" y="0"/>
          <a:ext cx="5181600" cy="78028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<sst xmlns="http://schemas.openxmlformats.org/spreadsheetml/2006/main" count="940" uniqueCount="348">
  <si>
    <t>植物类型</t>
  </si>
  <si>
    <t>种名</t>
  </si>
  <si>
    <t>植物图鉴</t>
  </si>
  <si>
    <r>
      <rPr>
        <sz val="11"/>
        <color theme="1"/>
        <rFont val="仿宋"/>
        <charset val="134"/>
      </rPr>
      <t>WCO2(g/(m</t>
    </r>
    <r>
      <rPr>
        <sz val="11"/>
        <color theme="1"/>
        <rFont val="宋体"/>
        <charset val="134"/>
      </rPr>
      <t>²·</t>
    </r>
    <r>
      <rPr>
        <sz val="11"/>
        <color theme="1"/>
        <rFont val="仿宋"/>
        <charset val="134"/>
      </rPr>
      <t>d))</t>
    </r>
  </si>
  <si>
    <r>
      <rPr>
        <sz val="11"/>
        <color theme="1"/>
        <rFont val="仿宋"/>
        <charset val="134"/>
      </rPr>
      <t>WO2(g/(m</t>
    </r>
    <r>
      <rPr>
        <sz val="11"/>
        <color theme="1"/>
        <rFont val="宋体"/>
        <charset val="134"/>
      </rPr>
      <t>²·</t>
    </r>
    <r>
      <rPr>
        <sz val="11"/>
        <color theme="1"/>
        <rFont val="仿宋"/>
        <charset val="134"/>
      </rPr>
      <t>d))</t>
    </r>
  </si>
  <si>
    <t>LAI</t>
  </si>
  <si>
    <r>
      <rPr>
        <sz val="11"/>
        <color theme="1"/>
        <rFont val="仿宋"/>
        <charset val="134"/>
      </rPr>
      <t>QCO2(g/(m</t>
    </r>
    <r>
      <rPr>
        <sz val="11"/>
        <color theme="1"/>
        <rFont val="宋体"/>
        <charset val="134"/>
      </rPr>
      <t>²·</t>
    </r>
    <r>
      <rPr>
        <sz val="11"/>
        <color theme="1"/>
        <rFont val="仿宋"/>
        <charset val="134"/>
      </rPr>
      <t>d))</t>
    </r>
  </si>
  <si>
    <r>
      <rPr>
        <sz val="11"/>
        <color theme="1"/>
        <rFont val="仿宋"/>
        <charset val="134"/>
      </rPr>
      <t>QO2(g/(m</t>
    </r>
    <r>
      <rPr>
        <sz val="11"/>
        <color theme="1"/>
        <rFont val="宋体"/>
        <charset val="134"/>
      </rPr>
      <t>²·</t>
    </r>
    <r>
      <rPr>
        <sz val="11"/>
        <color theme="1"/>
        <rFont val="仿宋"/>
        <charset val="134"/>
      </rPr>
      <t>d))</t>
    </r>
  </si>
  <si>
    <t>冠幅（m）</t>
  </si>
  <si>
    <r>
      <rPr>
        <sz val="11"/>
        <color theme="1"/>
        <rFont val="仿宋"/>
        <charset val="134"/>
      </rPr>
      <t>垂直投影面积（ΠD</t>
    </r>
    <r>
      <rPr>
        <sz val="11"/>
        <color theme="1"/>
        <rFont val="宋体"/>
        <charset val="134"/>
      </rPr>
      <t>²</t>
    </r>
    <r>
      <rPr>
        <sz val="11"/>
        <color theme="1"/>
        <rFont val="仿宋"/>
        <charset val="134"/>
      </rPr>
      <t>/4）</t>
    </r>
  </si>
  <si>
    <t>M固碳量</t>
  </si>
  <si>
    <t>M释氧量</t>
  </si>
  <si>
    <t>固碳释氧数据引用文献</t>
  </si>
  <si>
    <t>lai数据引用文献</t>
  </si>
  <si>
    <t>种植1区</t>
  </si>
  <si>
    <t>种植2区</t>
  </si>
  <si>
    <t>种植3区</t>
  </si>
  <si>
    <t>乔木</t>
  </si>
  <si>
    <t>合欢</t>
  </si>
  <si>
    <t>[1]赵萱,李海梅.11种地被植物固碳释氧与降温增湿效益研究[J].江西农业学报,2009,21(01):44-47.</t>
  </si>
  <si>
    <t>刺槐</t>
  </si>
  <si>
    <t>[2]冯晶红,刘德富,吴耕华,刘煜,秦东旭,王可健,刘瑛. 三峡库区消落带适生植物固碳释氧能力研究[J]. 水生态学杂志,2020,41(01):1-8</t>
  </si>
  <si>
    <t>梧桐</t>
  </si>
  <si>
    <r>
      <rPr>
        <sz val="11"/>
        <color rgb="FF000000"/>
        <rFont val="仿宋"/>
        <charset val="134"/>
      </rPr>
      <t>[4]史红文,秦泉,廖建雄,陈桂桥,丁昭全. 武汉市10种优势园林植物固碳释氧能力研究[J]. 中南林业科技大学学报,2011,31(09):87-90</t>
    </r>
    <r>
      <rPr>
        <sz val="11"/>
        <color rgb="FF000000"/>
        <rFont val="Arial"/>
        <charset val="134"/>
      </rPr>
      <t xml:space="preserve">											</t>
    </r>
  </si>
  <si>
    <t>樟树</t>
  </si>
  <si>
    <t>白玉兰</t>
  </si>
  <si>
    <t>栾树</t>
  </si>
  <si>
    <t>[7]于雅鑫. 12种木兰科乔木的固碳释氧和降温增湿能力及景观评价研究[D].中南林业科技大学,2013</t>
  </si>
  <si>
    <t>银杏</t>
  </si>
  <si>
    <t>23（7+7+9）</t>
  </si>
  <si>
    <t>WCO2(g/(m²·d))</t>
  </si>
  <si>
    <t>WO2(g/(m²·d))</t>
  </si>
  <si>
    <t>QCO2(g/(m²·d))</t>
  </si>
  <si>
    <t>QO2(g/(m²·d))</t>
  </si>
  <si>
    <t>垂直投影面积（ΠD²/4）</t>
  </si>
  <si>
    <t>数据引用文献</t>
  </si>
  <si>
    <t>灌木</t>
  </si>
  <si>
    <t>红花檵木</t>
  </si>
  <si>
    <t>紫薇</t>
  </si>
  <si>
    <t>海桐</t>
  </si>
  <si>
    <t>石楠</t>
  </si>
  <si>
    <t>锦带</t>
  </si>
  <si>
    <t>紫藤</t>
  </si>
  <si>
    <t>杜鹃</t>
  </si>
  <si>
    <t>鸢尾</t>
  </si>
  <si>
    <t>冬麦</t>
  </si>
  <si>
    <t>南阳市三种常见草坪地被植物生态效益研究/郭鹏</t>
  </si>
  <si>
    <t>狗尾草</t>
  </si>
  <si>
    <t>名称</t>
  </si>
  <si>
    <t>总蒸腾量mmol/（m2·d）</t>
  </si>
  <si>
    <t>文献</t>
  </si>
  <si>
    <t>陈自新,苏雪痕,刘少宗,古润泽,李延明.北京城市园林绿化生态效益的研究(2)【J】.中国园林,1998(02).</t>
  </si>
  <si>
    <t>[2]杨清. 煤矿复垦区绿化树种固碳释氧、降温增湿效应研究[D].安徽理工大学,2013.</t>
  </si>
  <si>
    <t>[4]康华靖,王艳英,王令俐,李红.基于单木模型对温州常见城市绿化树种固碳增湿能力的比较[J].中南林业科技大学学报,2017,37(07):78-84+98.</t>
  </si>
  <si>
    <t>[5]邵永昌,张金池,孙永涛,李娟娟,庄家尧,李二焕,薛雪.上海主要绿化树种夏季蒸腾特性与降温增湿功能比较[J].中国水土保持科学,2015,13(06):83-90.</t>
  </si>
  <si>
    <t>广玉兰</t>
  </si>
  <si>
    <t>[3]姚侠妹,偶春,夏璐,姚晓洁,陈媛媛,王宁馨.安徽沿淮地区小城镇主要景观树种固碳释氧和降温增湿效益评估[J].生态学杂志,2021,40(05):1293-1304.</t>
  </si>
  <si>
    <t>[6]邵永昌,张金池,孙永涛,李娟娟,庄家尧,李二焕,薛雪.上海主要绿化树种夏季蒸腾特性与降温增湿功能比较[J].中国水土保持科学,2015,13(06):83-90.</t>
  </si>
  <si>
    <t>[13]姚侠妹,偶春,夏璐,姚晓洁,陈媛媛,王宁馨.安徽沿淮地区小城镇主要景观树种固碳释氧和降温增湿效益评估[J].生态学杂志,2021,40(05):1293-1304.</t>
  </si>
  <si>
    <t>[8]康华靖,王艳英,王令俐,李红.基于单木模型对温州常见城市绿化树种固碳增湿能力的比较[J].中南林业科技大学学报,2017,37(07):78-84+98.</t>
  </si>
  <si>
    <t>垂丝海棠</t>
  </si>
  <si>
    <t>山茶</t>
  </si>
  <si>
    <t>桂花</t>
  </si>
  <si>
    <t>[12]杨清. 煤矿复垦区绿化树种固碳释氧、降温增湿效应研究[D].安徽理工大学,2013.</t>
  </si>
  <si>
    <t>[14]朱燕青. 常见灌木固碳释氧及降温增湿效应研究[D].中南林业科技大学,2013.</t>
  </si>
  <si>
    <t>[15]宋卓琴, et al."太原市主要园林植物春季固碳释氧和降温增湿效应." 山西农业科学 46.10(2018):1685-1690+1729.</t>
  </si>
  <si>
    <t>麦冬</t>
  </si>
  <si>
    <t>结缕草</t>
  </si>
  <si>
    <t>[1]李辉,赵卫智.北京5种草坪地被植物生态效益的研究[J].中国园林,1998(04):34-36.</t>
  </si>
  <si>
    <t>2.53mmol·m-2·s-1</t>
  </si>
  <si>
    <t>黄刚,赵学勇,崔建垣,苏延桂.水分胁迫对2种科尔沁沙地植物光合和水分利用特性的影响【Z】.西北植物学报,2008(11):2306-2313.</t>
  </si>
  <si>
    <t>兴趣区</t>
  </si>
  <si>
    <t>种类</t>
  </si>
  <si>
    <t>数量</t>
  </si>
  <si>
    <t>叶面积指数LAI</t>
  </si>
  <si>
    <t>lai文献</t>
  </si>
  <si>
    <t>冠幅</t>
  </si>
  <si>
    <t>垂直投影面积</t>
  </si>
  <si>
    <t>单位固碳量WCO2(g/(m²·d))</t>
  </si>
  <si>
    <t>单位释氧量WO2(g/(m²·d))</t>
  </si>
  <si>
    <t>总蒸腾量mol/（m2·d）</t>
  </si>
  <si>
    <t>固碳释氧文献</t>
  </si>
  <si>
    <t>固碳量Q</t>
  </si>
  <si>
    <t>释氧量Q</t>
  </si>
  <si>
    <t>固碳量M</t>
  </si>
  <si>
    <t>释氧量M</t>
  </si>
  <si>
    <t>总量固碳</t>
  </si>
  <si>
    <t>总量释氧</t>
  </si>
  <si>
    <t>日蒸腾质量WH2O</t>
  </si>
  <si>
    <t>吸热Q（J）</t>
  </si>
  <si>
    <t xml:space="preserve">温度下降ΔT </t>
  </si>
  <si>
    <t>新温度</t>
  </si>
  <si>
    <t>Δa</t>
  </si>
  <si>
    <t>Δe</t>
  </si>
  <si>
    <t>单位叶片面积增加相对湿度</t>
  </si>
  <si>
    <t>新湿度</t>
  </si>
  <si>
    <t>增加相对湿度</t>
  </si>
  <si>
    <t>WBGT</t>
  </si>
  <si>
    <t>[1]郭晖,周慧,张家洋.郑州市15种常见园林树种固碳释氧能力分析研究[J].西北林学院学报,2017,32(04):52-56.</t>
  </si>
  <si>
    <t>[5]陈自新,苏雪痕,刘少宗,古润泽,李延明.北京城市园林绿化生态效益的研究(2)【J】.中国园林,1998(02).[6]郭晖,周慧,张家洋.郑州市15种常见园林树种固碳释氧能力分析研究[J].西北林学院学报,2017,32(04):52-56.</t>
  </si>
  <si>
    <t>[1]徐玮玮. 扬州古运河生态环境林绿地树种配置及环境效应研究[D].扬州大学,2007.</t>
  </si>
  <si>
    <t>[1]杨清. 煤矿复垦区绿化树种固碳释氧、降温增湿效应研究[D].安徽理工大学,2013.
[2]徐玮玮. 扬州古运河生态环境林绿地树种配置及环境效应研究[D].扬州大学,2007.</t>
  </si>
  <si>
    <t>草本</t>
  </si>
  <si>
    <t>[1]熊向艳,韩永伟,高馨婷,尚洪磊,郑烨,王宝良.北京市城乡结合部17种常用绿化植物固碳释氧功能研究[J].环境工程技术学报,2014,4(03):248-255.</t>
  </si>
  <si>
    <t>[12]宋卓琴, et al."太原市主要园林植物春季固碳释氧和降温增湿效应." 山西农业科学 46.10(2018):1685-1690+1729.[13]熊向艳,韩永伟,高馨婷,尚洪磊,郑烨,王宝良.北京市城乡结合部17种常用绿化植物固碳释氧功能研究[J].环境工程技术学报,2014,4(03):247-255.</t>
  </si>
  <si>
    <t>[6]郭鹏,丁向阳,勇浩,张机伟.南阳市三种常见草坪地被植物生态效益研究[J].河南林业科技,2005(04):17-19.</t>
  </si>
  <si>
    <t>[12]宋卓琴, et al."太原市主要园林植物春季固碳释氧和降温增湿效应." 山西农业科学 46.10(2018):1685-1690+1729.[11]郭鹏,丁向阳,勇浩,张机伟.南阳市三种常见草坪地被植物生态效益研究[J].河南林业科技,2005(04):17-19.</t>
  </si>
  <si>
    <t>[10]李辉,赵卫智.北京5种草坪地被植物生态效益的研究[J].中国园林,1998(04):34-36.
[11]郭鹏,丁向阳,勇浩,张机伟.南阳市三种常见草坪地被植物生态效益研究[J].河南林业科技,2005(04):17-19.</t>
  </si>
  <si>
    <t>乔草</t>
  </si>
  <si>
    <t>[4]姚侠妹,偶春,夏璐,姚晓洁,陈媛媛,王宁馨.安徽沿淮地区小城镇主要景观树种固碳释氧和降温增湿效益评估[J].生态学杂志,2021,40(05):1293-1304.</t>
  </si>
  <si>
    <t>乔灌</t>
  </si>
  <si>
    <t>红花继木</t>
  </si>
  <si>
    <t>[12]王芳. 基于叶面积指数的群落固碳释氧和降温增湿功能研究[D].华中农业大学,2013.</t>
  </si>
  <si>
    <t>[8]康华靖,王艳英,王令俐,李红.基于单木模型对温州常见城市绿化树种固碳增湿能力的比较[J].中南林业科技大学学报,2017,37(07):78-84+98.[7]王芳. 基于叶面积指数的群落固碳释氧和降温增湿功能研究[D].华中农业大学,2013.</t>
  </si>
  <si>
    <t>[5]陈自新,苏雪痕,刘少宗,古润泽,李延明.北京城市园林绿化生态效益的研究(2)【J】.中国园林,1998(02).[7]王芳. 基于叶面积指数的群落固碳释氧和降温增湿功能研究[D].华中农业大学,2013.</t>
  </si>
  <si>
    <t>[7]王芳. 基于叶面积指数的群落固碳释氧和降温增湿功能研究[D].华中农业大学,2013.
[9]朱燕青. 常见灌木固碳释氧及降温增湿效应研究[D].中南林业科技大学,2013.</t>
  </si>
  <si>
    <t>乔灌草</t>
  </si>
  <si>
    <t>[1]李冰冰. 长沙市常见行道树固碳释氧滞尘效益研究[D].中南林业科技大学,2012.</t>
  </si>
  <si>
    <t>[2]杨清. 煤矿复垦区绿化树种固碳释氧、降温增湿效应研究[D].安徽理工大学,2013.
[3]李冰冰. 长沙市常见行道树固碳释氧滞尘效益研究[D].中南林业科技大学,2012.</t>
  </si>
  <si>
    <t>[2]杨清. 煤矿复垦区绿化树种固碳释氧、降温增湿效应研究[D].安徽理工大学,2013.
[7]王芳. 基于叶面积指数的群落固碳释氧和降温增湿功能研究[D].华中农业大学,2013.</t>
  </si>
  <si>
    <t>24.7.1(26.79)</t>
  </si>
  <si>
    <t>新T=30.44</t>
  </si>
  <si>
    <t>ex=43.53</t>
  </si>
  <si>
    <t>新湿度=0.44</t>
  </si>
  <si>
    <t>新风速</t>
  </si>
  <si>
    <t>23.7.7</t>
  </si>
  <si>
    <t>新T=31.75</t>
  </si>
  <si>
    <t>ex=46.88</t>
  </si>
  <si>
    <t>新湿度=0.62</t>
  </si>
  <si>
    <t>23 .7.14</t>
  </si>
  <si>
    <t>新T=29.65</t>
  </si>
  <si>
    <t>ex=41.63</t>
  </si>
  <si>
    <t>新温度=0.66</t>
  </si>
  <si>
    <t>23.7.22</t>
  </si>
  <si>
    <t>新T=28.74</t>
  </si>
  <si>
    <t>ex=39.49</t>
  </si>
  <si>
    <t>新湿度=0.58</t>
  </si>
  <si>
    <t>新T=30.31</t>
  </si>
  <si>
    <t>ex=43.21</t>
  </si>
  <si>
    <t>7.1QL=579.56</t>
  </si>
  <si>
    <t>T差</t>
  </si>
  <si>
    <t>新T</t>
  </si>
  <si>
    <t>Δf</t>
  </si>
  <si>
    <t>7.7QL=578.81</t>
  </si>
  <si>
    <t>7.14QL=580.01</t>
  </si>
  <si>
    <t>22QL=580.53</t>
  </si>
  <si>
    <t>AVRQL=579.71</t>
  </si>
  <si>
    <t>29QL=579.63</t>
  </si>
  <si>
    <t xml:space="preserve"> </t>
  </si>
  <si>
    <t>lnex</t>
  </si>
  <si>
    <t>ex</t>
  </si>
  <si>
    <t>湿度</t>
  </si>
  <si>
    <t>风速（m/s）</t>
  </si>
  <si>
    <t>wbgt</t>
  </si>
  <si>
    <t>7日</t>
  </si>
  <si>
    <t>14日</t>
  </si>
  <si>
    <t>21日</t>
  </si>
  <si>
    <t>30日</t>
  </si>
  <si>
    <t>WBGT=(0.8288Ta+0.0613Tmr+0.007377SR+13.8297RH-8.7284)V-0.0551</t>
  </si>
  <si>
    <t>参考文献</t>
  </si>
  <si>
    <t>日期</t>
  </si>
  <si>
    <t>温度</t>
  </si>
  <si>
    <t>WBGT种植后</t>
  </si>
  <si>
    <t>RH</t>
  </si>
  <si>
    <t>袁WBGT（sr=0.9）</t>
  </si>
  <si>
    <t>种后WBGT</t>
  </si>
  <si>
    <t>种植后温度</t>
  </si>
  <si>
    <t>种植后湿度</t>
  </si>
  <si>
    <t>风速</t>
  </si>
  <si>
    <t>2024.7.1</t>
  </si>
  <si>
    <t>2024.7.7</t>
  </si>
  <si>
    <t>2024.7.14</t>
  </si>
  <si>
    <t>2024.7.22</t>
  </si>
  <si>
    <t>2024.7.29</t>
  </si>
  <si>
    <t>平均</t>
  </si>
  <si>
    <t>[0.8288*(26.65-a)+0.0613*(26.65-a)+0.007377*238.02+13.8297*(0.54+b)-8.7284]*1.36-0.0551</t>
  </si>
  <si>
    <r>
      <rPr>
        <sz val="12"/>
        <color rgb="FF000000"/>
        <rFont val="Times New Roman"/>
        <charset val="134"/>
      </rPr>
      <t>WBGT=(0.8288</t>
    </r>
    <r>
      <rPr>
        <i/>
        <sz val="12"/>
        <color rgb="FF000000"/>
        <rFont val="Times New Roman"/>
        <charset val="134"/>
      </rPr>
      <t>Ta</t>
    </r>
    <r>
      <rPr>
        <sz val="12"/>
        <color rgb="FF000000"/>
        <rFont val="Times New Roman"/>
        <charset val="134"/>
      </rPr>
      <t>+0.0613</t>
    </r>
    <r>
      <rPr>
        <i/>
        <sz val="12"/>
        <color rgb="FF000000"/>
        <rFont val="Times New Roman"/>
        <charset val="134"/>
      </rPr>
      <t>T</t>
    </r>
    <r>
      <rPr>
        <sz val="12"/>
        <color rgb="FF000000"/>
        <rFont val="Times New Roman"/>
        <charset val="134"/>
      </rPr>
      <t>mr+0.007377</t>
    </r>
    <r>
      <rPr>
        <i/>
        <sz val="12"/>
        <color rgb="FF000000"/>
        <rFont val="Times New Roman"/>
        <charset val="134"/>
      </rPr>
      <t>SR</t>
    </r>
    <r>
      <rPr>
        <sz val="12"/>
        <color rgb="FF000000"/>
        <rFont val="Times New Roman"/>
        <charset val="134"/>
      </rPr>
      <t>+13.8297</t>
    </r>
    <r>
      <rPr>
        <i/>
        <sz val="12"/>
        <color rgb="FF000000"/>
        <rFont val="Times New Roman"/>
        <charset val="134"/>
      </rPr>
      <t>RH</t>
    </r>
    <r>
      <rPr>
        <sz val="12"/>
        <color rgb="FF000000"/>
        <rFont val="Times New Roman"/>
        <charset val="134"/>
      </rPr>
      <t>-8.7284)</t>
    </r>
    <r>
      <rPr>
        <i/>
        <sz val="12"/>
        <color rgb="FF000000"/>
        <rFont val="Times New Roman"/>
        <charset val="134"/>
      </rPr>
      <t>V</t>
    </r>
    <r>
      <rPr>
        <sz val="12"/>
        <color rgb="FF000000"/>
        <rFont val="Times New Roman"/>
        <charset val="134"/>
      </rPr>
      <t>-0.0551</t>
    </r>
  </si>
  <si>
    <t>防风系数 0.47</t>
  </si>
  <si>
    <t>[1]汪大林. 淮河河道防护林小气候及其防护效应的研究[D].安徽农业大学,2012.</t>
  </si>
  <si>
    <t>袁WBGT=0.735Ta+0.0374RH+0.00292(Ta*RH)+7.619SR−4.557SR*SR−0.0572v−4.064</t>
  </si>
  <si>
    <t>L = 597－0.57×t</t>
  </si>
  <si>
    <t xml:space="preserve">L = 597－0.57×t </t>
  </si>
  <si>
    <t>ex=34.643</t>
  </si>
  <si>
    <t>科名</t>
  </si>
  <si>
    <t>属名</t>
  </si>
  <si>
    <t>学名</t>
  </si>
  <si>
    <t>豆科</t>
  </si>
  <si>
    <t>合欢属</t>
  </si>
  <si>
    <t>Albizia julibrissin Durazz</t>
  </si>
  <si>
    <t>蝶形花科</t>
  </si>
  <si>
    <t>刺槐属</t>
  </si>
  <si>
    <t>Robinia pseudoacacia L</t>
  </si>
  <si>
    <t>蔷薇科</t>
  </si>
  <si>
    <t>枇杷属</t>
  </si>
  <si>
    <t>枇杷</t>
  </si>
  <si>
    <r>
      <rPr>
        <sz val="11"/>
        <color rgb="FF000000"/>
        <rFont val="宋体"/>
        <charset val="134"/>
      </rPr>
      <t>Eriobotrya japonica</t>
    </r>
    <r>
      <rPr>
        <i/>
        <sz val="9"/>
        <color rgb="FF333333"/>
        <rFont val="Helvetica"/>
        <charset val="134"/>
      </rPr>
      <t> </t>
    </r>
    <r>
      <rPr>
        <sz val="9"/>
        <color rgb="FF333333"/>
        <rFont val="Helvetica"/>
        <charset val="134"/>
      </rPr>
      <t>(Thunb.) Lindl.</t>
    </r>
  </si>
  <si>
    <t>五加科</t>
  </si>
  <si>
    <t>八角金盘属</t>
  </si>
  <si>
    <t>八角金盘</t>
  </si>
  <si>
    <t>Fatsia japonica (Thunb.) Decne. et Planch.</t>
  </si>
  <si>
    <t>梧桐科</t>
  </si>
  <si>
    <t>梧桐属</t>
  </si>
  <si>
    <r>
      <rPr>
        <sz val="11"/>
        <color rgb="FF000000"/>
        <rFont val="宋体"/>
        <charset val="134"/>
      </rPr>
      <t>Firmiana simplex</t>
    </r>
    <r>
      <rPr>
        <sz val="9"/>
        <color rgb="FF333333"/>
        <rFont val="Helvetica"/>
        <charset val="134"/>
      </rPr>
      <t> </t>
    </r>
    <r>
      <rPr>
        <sz val="9"/>
        <color rgb="FF333333"/>
        <rFont val="Helvetica"/>
        <charset val="134"/>
      </rPr>
      <t>(Linnaeus) W. Wight</t>
    </r>
  </si>
  <si>
    <t>芸香目楝科</t>
  </si>
  <si>
    <t>楝属</t>
  </si>
  <si>
    <t>苦楝</t>
  </si>
  <si>
    <t>Melia azedarach L.</t>
  </si>
  <si>
    <t>无患子科</t>
  </si>
  <si>
    <t>栾树属</t>
  </si>
  <si>
    <r>
      <rPr>
        <sz val="11"/>
        <color rgb="FF000000"/>
        <rFont val="宋体"/>
        <charset val="134"/>
      </rPr>
      <t>Koelreuteria paniculata</t>
    </r>
    <r>
      <rPr>
        <sz val="9"/>
        <color rgb="FF333333"/>
        <rFont val="Helvetica"/>
        <charset val="134"/>
      </rPr>
      <t> </t>
    </r>
    <r>
      <rPr>
        <sz val="9"/>
        <color rgb="FF333333"/>
        <rFont val="Helvetica"/>
        <charset val="134"/>
      </rPr>
      <t>Laxm.</t>
    </r>
  </si>
  <si>
    <t>苹果属</t>
  </si>
  <si>
    <t>Malus halliana Koehne</t>
  </si>
  <si>
    <t>杨柳科</t>
  </si>
  <si>
    <t>柳属</t>
  </si>
  <si>
    <t>竹柳</t>
  </si>
  <si>
    <t>Tamarix chinensis Lour.</t>
  </si>
  <si>
    <t>桑科</t>
  </si>
  <si>
    <t>榕属</t>
  </si>
  <si>
    <t>垂叶榕</t>
  </si>
  <si>
    <t>Ficus benjamina L.</t>
  </si>
  <si>
    <t>芸香科</t>
  </si>
  <si>
    <t>柑橘属</t>
  </si>
  <si>
    <t>柑橘</t>
  </si>
  <si>
    <t>Citrus reticulata Blanco</t>
  </si>
  <si>
    <t>李亚科</t>
  </si>
  <si>
    <t>桃属</t>
  </si>
  <si>
    <t>碧桃</t>
  </si>
  <si>
    <t>Amygdalus persica 'Duplex'</t>
  </si>
  <si>
    <t>槭树科</t>
  </si>
  <si>
    <t>槭属</t>
  </si>
  <si>
    <t>鸡爪槭</t>
  </si>
  <si>
    <t>Acer palmatum Thunb.</t>
  </si>
  <si>
    <t>无患子属</t>
  </si>
  <si>
    <t>无患子</t>
  </si>
  <si>
    <r>
      <rPr>
        <sz val="11"/>
        <color rgb="FF000000"/>
        <rFont val="宋体"/>
        <charset val="134"/>
      </rPr>
      <t>Sapindus saponaria</t>
    </r>
    <r>
      <rPr>
        <sz val="10.5"/>
        <color rgb="FF333333"/>
        <rFont val="Helvetica"/>
        <charset val="134"/>
      </rPr>
      <t> </t>
    </r>
    <r>
      <rPr>
        <sz val="10.5"/>
        <color rgb="FF333333"/>
        <rFont val="Helvetica"/>
        <charset val="134"/>
      </rPr>
      <t>Linnaeus</t>
    </r>
  </si>
  <si>
    <t>苦木科</t>
  </si>
  <si>
    <t>臭椿属</t>
  </si>
  <si>
    <t>臭椿</t>
  </si>
  <si>
    <t>Ailanthus altissima</t>
  </si>
  <si>
    <t>垂柳</t>
  </si>
  <si>
    <r>
      <rPr>
        <sz val="11"/>
        <color rgb="FF000000"/>
        <rFont val="宋体"/>
        <charset val="134"/>
      </rPr>
      <t>Salix babylonica</t>
    </r>
    <r>
      <rPr>
        <sz val="10.5"/>
        <color rgb="FF333333"/>
        <rFont val="Helvetica"/>
        <charset val="134"/>
      </rPr>
      <t> L.</t>
    </r>
  </si>
  <si>
    <t>杉科</t>
  </si>
  <si>
    <t>羽杉属</t>
  </si>
  <si>
    <t>中山杉</t>
  </si>
  <si>
    <t>Taxodium 'Zhongshanshan'</t>
  </si>
  <si>
    <t>樟科</t>
  </si>
  <si>
    <t>樟属</t>
  </si>
  <si>
    <t>Cinnamomum camphora (L.) presl</t>
  </si>
  <si>
    <t>木兰科</t>
  </si>
  <si>
    <t>木兰属</t>
  </si>
  <si>
    <t>Magnolia denudata</t>
  </si>
  <si>
    <t>Magnolia grandiflora</t>
  </si>
  <si>
    <t>银杏科</t>
  </si>
  <si>
    <t>银杏属</t>
  </si>
  <si>
    <t>Ginkgo biloba L.</t>
  </si>
  <si>
    <t>柿科</t>
  </si>
  <si>
    <t>柿属</t>
  </si>
  <si>
    <t>柿树</t>
  </si>
  <si>
    <t>Diospyros kaki Thunb.</t>
  </si>
  <si>
    <t>李属</t>
  </si>
  <si>
    <t>紫叶李</t>
  </si>
  <si>
    <t>Prunus cerasifera 'Atropurpurea'</t>
  </si>
  <si>
    <t>石楠属</t>
  </si>
  <si>
    <t>Photinia serratifolia (Desfontaines) Kalkman</t>
  </si>
  <si>
    <t>木犀科</t>
  </si>
  <si>
    <t>女贞属</t>
  </si>
  <si>
    <t>金叶女贞</t>
  </si>
  <si>
    <t>Ligustrum × vicaryi Rehder</t>
  </si>
  <si>
    <t>金缕梅科</t>
  </si>
  <si>
    <t>檵木属</t>
  </si>
  <si>
    <t>Loropetalum chinense var. rubrum</t>
  </si>
  <si>
    <t>夹竹桃科</t>
  </si>
  <si>
    <t>夹竹桃属</t>
  </si>
  <si>
    <t>夹竹桃</t>
  </si>
  <si>
    <t>Nerium oleander L.</t>
  </si>
  <si>
    <t>海桐花科</t>
  </si>
  <si>
    <t>海桐花属</t>
  </si>
  <si>
    <t>Pittosporum tobira</t>
  </si>
  <si>
    <t>千屈菜科</t>
  </si>
  <si>
    <t>紫薇属</t>
  </si>
  <si>
    <t>Lagerstroemia indica L.</t>
  </si>
  <si>
    <t>紫藤属</t>
  </si>
  <si>
    <t>Wisteria sinensis (Sims)Sweet</t>
  </si>
  <si>
    <t>杜鹃花科</t>
  </si>
  <si>
    <t>杜鹃属</t>
  </si>
  <si>
    <t>Rhododendron simsii Planch.</t>
  </si>
  <si>
    <t>地桃花</t>
  </si>
  <si>
    <t>Urena lobata L.</t>
  </si>
  <si>
    <t>桑属</t>
  </si>
  <si>
    <t>桑</t>
  </si>
  <si>
    <t>Morus alba L.</t>
  </si>
  <si>
    <t>马鞭草科</t>
  </si>
  <si>
    <t>牡荆属</t>
  </si>
  <si>
    <t>牡荆</t>
  </si>
  <si>
    <t>Vitex negundo L. var. cannabifolia (Sieb. et Zucc.) Hand.-Mazz.</t>
  </si>
  <si>
    <t>忍冬科</t>
  </si>
  <si>
    <t>锦带花属</t>
  </si>
  <si>
    <t>Weigela florida（Bunge）A. DC</t>
  </si>
  <si>
    <t>山茶科</t>
  </si>
  <si>
    <t>山茶属</t>
  </si>
  <si>
    <t xml:space="preserve">Camellia japonica L. </t>
  </si>
  <si>
    <t>木犀属</t>
  </si>
  <si>
    <t>Osmanthus sp.</t>
  </si>
  <si>
    <t>常春藤属</t>
  </si>
  <si>
    <t>常春藤</t>
  </si>
  <si>
    <t>Hedera nepalensis var. sinensis (Tobl.) Rehd</t>
  </si>
  <si>
    <t>菊科</t>
  </si>
  <si>
    <t>苍耳属</t>
  </si>
  <si>
    <t>苍耳</t>
  </si>
  <si>
    <t>Xanthium strumarium L.</t>
  </si>
  <si>
    <t>鬼针草属</t>
  </si>
  <si>
    <t>鬼针草</t>
  </si>
  <si>
    <t>Bidens pilosa L.</t>
  </si>
  <si>
    <t>蓼科</t>
  </si>
  <si>
    <t>蓼属</t>
  </si>
  <si>
    <t>辣蓼</t>
  </si>
  <si>
    <t>Polygonum flaccidum(Meissn.)Steward</t>
  </si>
  <si>
    <t>大狼杷草</t>
  </si>
  <si>
    <t>Herba Bidentis Frondosae</t>
  </si>
  <si>
    <t>禾本科</t>
  </si>
  <si>
    <t>芦苇属</t>
  </si>
  <si>
    <t>芦苇</t>
  </si>
  <si>
    <t>Phragmites australis (Cav.) Trin. ex Steud.</t>
  </si>
  <si>
    <t>芒属</t>
  </si>
  <si>
    <t>白芒</t>
  </si>
  <si>
    <t>Miscanthus sinensis Anderss.</t>
  </si>
  <si>
    <t>鸢尾科</t>
  </si>
  <si>
    <t>鸢尾属</t>
  </si>
  <si>
    <t xml:space="preserve">Iris tectorum Maxim. </t>
  </si>
  <si>
    <t>结缕草属</t>
  </si>
  <si>
    <t>Zoysia japonica Steud.</t>
  </si>
  <si>
    <t>百合科</t>
  </si>
  <si>
    <t>沿阶草属</t>
  </si>
  <si>
    <t>Ophiopogon japonicus (Linn. f.) Ker-Gawl.</t>
  </si>
  <si>
    <t>狗尾草属</t>
  </si>
  <si>
    <t>Setaria viridis (L.) Beauv.</t>
  </si>
  <si>
    <t>吸热Q（KJ）</t>
  </si>
  <si>
    <t>WBGT新</t>
  </si>
  <si>
    <t>HRV</t>
  </si>
  <si>
    <t>固碳量</t>
  </si>
  <si>
    <t>释氧量</t>
  </si>
  <si>
    <t>WBGT2</t>
  </si>
  <si>
    <t>碳</t>
  </si>
  <si>
    <t>T</t>
  </si>
  <si>
    <t>G</t>
  </si>
  <si>
    <t>T-G</t>
  </si>
  <si>
    <t>T-S</t>
  </si>
  <si>
    <t>T-S-G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</si>
</sst>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5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92D050"/>
      <name val="宋体"/>
      <charset val="134"/>
      <scheme val="minor"/>
    </font>
    <font>
      <b/>
      <sz val="11"/>
      <color rgb="FF92D05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7030A0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1"/>
      <color theme="5" tint="-0.25"/>
      <name val="宋体"/>
      <charset val="134"/>
      <scheme val="minor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rgb="FFFF0000"/>
      <name val="Microsoft YaHei"/>
      <charset val="134"/>
    </font>
    <font>
      <sz val="11"/>
      <color rgb="FF000000"/>
      <name val="宋体"/>
      <charset val="134"/>
    </font>
    <font>
      <sz val="9.75"/>
      <color rgb="FF333333"/>
      <name val="宋体"/>
      <charset val="134"/>
    </font>
    <font>
      <sz val="10"/>
      <color rgb="FF333333"/>
      <name val="宋体"/>
      <charset val="134"/>
    </font>
    <font>
      <sz val="12"/>
      <color rgb="FF000000"/>
      <name val="Times New Roman"/>
      <charset val="134"/>
    </font>
    <font>
      <sz val="9"/>
      <color rgb="FF666666"/>
      <name val="Microsoft yahei"/>
      <charset val="134"/>
    </font>
    <font>
      <b/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0.5"/>
      <color rgb="FF333333"/>
      <name val="Helvetica"/>
      <charset val="134"/>
    </font>
    <font>
      <i/>
      <sz val="12"/>
      <color rgb="FF000000"/>
      <name val="Times New Roman"/>
      <charset val="134"/>
    </font>
    <font>
      <sz val="9"/>
      <color rgb="FF333333"/>
      <name val="Helvetica"/>
      <charset val="134"/>
    </font>
    <font>
      <sz val="11"/>
      <color rgb="FF000000"/>
      <name val="Arial"/>
      <charset val="134"/>
    </font>
    <font>
      <i/>
      <sz val="9"/>
      <color rgb="FF333333"/>
      <name val="Helvetica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5" borderId="12" applyNumberFormat="0" applyAlignment="0" applyProtection="0">
      <alignment vertical="center"/>
    </xf>
    <xf numFmtId="0" fontId="35" fillId="16" borderId="13" applyNumberFormat="0" applyAlignment="0" applyProtection="0">
      <alignment vertical="center"/>
    </xf>
    <xf numFmtId="0" fontId="36" fillId="16" borderId="12" applyNumberFormat="0" applyAlignment="0" applyProtection="0">
      <alignment vertical="center"/>
    </xf>
    <xf numFmtId="0" fontId="37" fillId="17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0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0" fillId="4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0" borderId="1" xfId="0" applyBorder="1">
      <alignment vertical="center"/>
    </xf>
    <xf numFmtId="176" fontId="0" fillId="4" borderId="1" xfId="0" applyNumberFormat="1" applyFill="1" applyBorder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76" fontId="8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76" fontId="3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76" fontId="8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76" fontId="5" fillId="8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176" fontId="5" fillId="6" borderId="1" xfId="0" applyNumberFormat="1" applyFont="1" applyFill="1" applyBorder="1" applyAlignment="1">
      <alignment vertical="center"/>
    </xf>
    <xf numFmtId="176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176" fontId="8" fillId="7" borderId="1" xfId="0" applyNumberFormat="1" applyFont="1" applyFill="1" applyBorder="1" applyAlignment="1">
      <alignment vertical="center"/>
    </xf>
    <xf numFmtId="176" fontId="3" fillId="8" borderId="1" xfId="0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76" fontId="8" fillId="8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vertical="center"/>
    </xf>
    <xf numFmtId="176" fontId="0" fillId="9" borderId="0" xfId="0" applyNumberFormat="1" applyFill="1">
      <alignment vertical="center"/>
    </xf>
    <xf numFmtId="176" fontId="0" fillId="2" borderId="0" xfId="0" applyNumberFormat="1" applyFill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9" borderId="1" xfId="0" applyNumberFormat="1" applyFont="1" applyFill="1" applyBorder="1" applyAlignment="1">
      <alignment horizontal="center" vertical="center" wrapText="1"/>
    </xf>
    <xf numFmtId="176" fontId="4" fillId="9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9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0" fillId="9" borderId="1" xfId="0" applyNumberFormat="1" applyFill="1" applyBorder="1" applyAlignment="1">
      <alignment horizontal="center" vertical="center" wrapText="1"/>
    </xf>
    <xf numFmtId="176" fontId="6" fillId="9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9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3" fillId="9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77" fontId="0" fillId="10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77" fontId="0" fillId="11" borderId="1" xfId="0" applyNumberForma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0" fillId="10" borderId="1" xfId="0" applyNumberFormat="1" applyFill="1" applyBorder="1" applyAlignment="1">
      <alignment horizontal="center" vertical="center"/>
    </xf>
    <xf numFmtId="176" fontId="0" fillId="11" borderId="1" xfId="0" applyNumberForma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76" fontId="0" fillId="12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176" fontId="0" fillId="13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6" fontId="24" fillId="2" borderId="1" xfId="0" applyNumberFormat="1" applyFont="1" applyFill="1" applyBorder="1" applyAlignment="1">
      <alignment horizontal="center" vertical="center"/>
    </xf>
    <xf numFmtId="176" fontId="24" fillId="12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12" borderId="1" xfId="0" applyNumberFormat="1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76" fontId="24" fillId="13" borderId="1" xfId="0" applyNumberFormat="1" applyFont="1" applyFill="1" applyBorder="1" applyAlignment="1">
      <alignment horizontal="center" vertical="center"/>
    </xf>
    <xf numFmtId="176" fontId="24" fillId="0" borderId="6" xfId="0" applyNumberFormat="1" applyFont="1" applyFill="1" applyBorder="1" applyAlignment="1">
      <alignment horizontal="center" vertical="center"/>
    </xf>
    <xf numFmtId="176" fontId="24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176" fontId="0" fillId="13" borderId="1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753CB"/>
      <color rgb="00F15F69"/>
      <color rgb="00FFD75B"/>
      <color rgb="00FF5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jpeg"/><Relationship Id="rId8" Type="http://schemas.openxmlformats.org/officeDocument/2006/relationships/image" Target="media/image9.jpeg"/><Relationship Id="rId7" Type="http://schemas.openxmlformats.org/officeDocument/2006/relationships/image" Target="media/image8.jpeg"/><Relationship Id="rId6" Type="http://schemas.openxmlformats.org/officeDocument/2006/relationships/image" Target="media/image7.jpeg"/><Relationship Id="rId5" Type="http://schemas.openxmlformats.org/officeDocument/2006/relationships/image" Target="media/image6.jpeg"/><Relationship Id="rId4" Type="http://schemas.openxmlformats.org/officeDocument/2006/relationships/image" Target="media/image5.jpeg"/><Relationship Id="rId3" Type="http://schemas.openxmlformats.org/officeDocument/2006/relationships/image" Target="media/image4.jpeg"/><Relationship Id="rId2" Type="http://schemas.openxmlformats.org/officeDocument/2006/relationships/image" Target="media/image3.jpeg"/><Relationship Id="rId15" Type="http://schemas.openxmlformats.org/officeDocument/2006/relationships/image" Target="media/image16.jpeg"/><Relationship Id="rId14" Type="http://schemas.openxmlformats.org/officeDocument/2006/relationships/image" Target="media/image15.jpeg"/><Relationship Id="rId13" Type="http://schemas.openxmlformats.org/officeDocument/2006/relationships/image" Target="media/image14.jpeg"/><Relationship Id="rId12" Type="http://schemas.openxmlformats.org/officeDocument/2006/relationships/image" Target="media/image13.jpeg"/><Relationship Id="rId11" Type="http://schemas.openxmlformats.org/officeDocument/2006/relationships/image" Target="media/image12.jpeg"/><Relationship Id="rId10" Type="http://schemas.openxmlformats.org/officeDocument/2006/relationships/image" Target="media/image11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www.wps.cn/officeDocument/2020/cellImage" Target="cellimag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59845227858985"/>
          <c:y val="0.137757800105764"/>
          <c:w val="0.750988822012038"/>
          <c:h val="0.742993125330513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图2!$C$1</c:f>
              <c:strCache>
                <c:ptCount val="1"/>
                <c:pt idx="0">
                  <c:v>WBGT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85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explosion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图2!$A$2:$A$6</c:f>
              <c:strCache>
                <c:ptCount val="5"/>
                <c:pt idx="0">
                  <c:v>T</c:v>
                </c:pt>
                <c:pt idx="1">
                  <c:v>G</c:v>
                </c:pt>
                <c:pt idx="2">
                  <c:v>T-G</c:v>
                </c:pt>
                <c:pt idx="3">
                  <c:v>T-S</c:v>
                </c:pt>
                <c:pt idx="4">
                  <c:v>T-S-G</c:v>
                </c:pt>
              </c:strCache>
            </c:strRef>
          </c:cat>
          <c:val>
            <c:numRef>
              <c:f>图2!$C$2:$C$6</c:f>
              <c:numCache>
                <c:formatCode>0.00_ </c:formatCode>
                <c:ptCount val="5"/>
                <c:pt idx="0">
                  <c:v>25.1669807821097</c:v>
                </c:pt>
                <c:pt idx="1">
                  <c:v>24.8341142365398</c:v>
                </c:pt>
                <c:pt idx="2">
                  <c:v>25.0183094909431</c:v>
                </c:pt>
                <c:pt idx="3">
                  <c:v>25.3691368808673</c:v>
                </c:pt>
                <c:pt idx="4">
                  <c:v>25.1262146061132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100"/>
        <c:axId val="320412686"/>
        <c:axId val="166258083"/>
      </c:barChart>
      <c:barChart>
        <c:barDir val="bar"/>
        <c:grouping val="clustered"/>
        <c:varyColors val="0"/>
        <c:ser>
          <c:idx val="0"/>
          <c:order val="0"/>
          <c:tx>
            <c:strRef>
              <c:f>图2!$B$1</c:f>
              <c:strCache>
                <c:ptCount val="1"/>
                <c:pt idx="0">
                  <c:v>HRV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图2!$A$2:$A$6</c:f>
              <c:strCache>
                <c:ptCount val="5"/>
                <c:pt idx="0">
                  <c:v>T</c:v>
                </c:pt>
                <c:pt idx="1">
                  <c:v>G</c:v>
                </c:pt>
                <c:pt idx="2">
                  <c:v>T-G</c:v>
                </c:pt>
                <c:pt idx="3">
                  <c:v>T-S</c:v>
                </c:pt>
                <c:pt idx="4">
                  <c:v>T-S-G</c:v>
                </c:pt>
              </c:strCache>
            </c:strRef>
          </c:cat>
          <c:val>
            <c:numRef>
              <c:f>图2!$B$2:$B$6</c:f>
              <c:numCache>
                <c:formatCode>0.00_ </c:formatCode>
                <c:ptCount val="5"/>
                <c:pt idx="0">
                  <c:v>1.57</c:v>
                </c:pt>
                <c:pt idx="1">
                  <c:v>1.12</c:v>
                </c:pt>
                <c:pt idx="2">
                  <c:v>1.31</c:v>
                </c:pt>
                <c:pt idx="3">
                  <c:v>2.11</c:v>
                </c:pt>
                <c:pt idx="4">
                  <c:v>1.99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100"/>
        <c:axId val="507555751"/>
        <c:axId val="538779431"/>
      </c:barChart>
      <c:dateAx>
        <c:axId val="320412686"/>
        <c:scaling>
          <c:orientation val="minMax"/>
        </c:scaling>
        <c:delete val="0"/>
        <c:axPos val="l"/>
        <c:numFmt formatCode="yyyy&quot;年&quot;m&quot;月&quot;d&quot;日&quot;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t" anchorCtr="0" forceAA="0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166258083"/>
        <c:crosses val="autoZero"/>
        <c:auto val="1"/>
        <c:lblAlgn val="ctr"/>
        <c:lblOffset val="0"/>
        <c:baseTimeUnit val="days"/>
      </c:dateAx>
      <c:valAx>
        <c:axId val="166258083"/>
        <c:scaling>
          <c:orientation val="minMax"/>
          <c:max val="40"/>
          <c:min val="-5"/>
        </c:scaling>
        <c:delete val="0"/>
        <c:axPos val="b"/>
        <c:numFmt formatCode="0.00_ 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320412686"/>
        <c:crosses val="autoZero"/>
        <c:crossBetween val="between"/>
      </c:valAx>
      <c:valAx>
        <c:axId val="538779431"/>
        <c:scaling>
          <c:orientation val="maxMin"/>
          <c:max val="5"/>
          <c:min val="-40"/>
        </c:scaling>
        <c:delete val="0"/>
        <c:axPos val="t"/>
        <c:numFmt formatCode="0.00_ 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0" vertOverflow="ellipsis" vert="horz" wrap="square" anchor="t" anchorCtr="0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07555751"/>
        <c:crosses val="max"/>
        <c:crossBetween val="between"/>
      </c:valAx>
      <c:catAx>
        <c:axId val="507555751"/>
        <c:scaling>
          <c:orientation val="minMax"/>
        </c:scaling>
        <c:delete val="1"/>
        <c:axPos val="r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38779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ayout>
        <c:manualLayout>
          <c:xMode val="edge"/>
          <c:yMode val="edge"/>
          <c:x val="0.188119803666233"/>
          <c:y val="0.886651583710407"/>
          <c:w val="0.291796053290594"/>
          <c:h val="0.0839366515837104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bed8e64-d379-40de-994c-87aa9f01529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000">
          <a:latin typeface="Times New Roman" panose="02020603050405020304" charset="0"/>
          <a:ea typeface="Times New Roman" panose="02020603050405020304" charset="0"/>
          <a:cs typeface="Times New Roman" panose="02020603050405020304" charset="0"/>
          <a:sym typeface="Times New Roman" panose="0202060305040502030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418465</xdr:colOff>
      <xdr:row>5</xdr:row>
      <xdr:rowOff>93980</xdr:rowOff>
    </xdr:from>
    <xdr:to>
      <xdr:col>3</xdr:col>
      <xdr:colOff>333375</xdr:colOff>
      <xdr:row>5</xdr:row>
      <xdr:rowOff>1742440</xdr:rowOff>
    </xdr:to>
    <xdr:pic>
      <xdr:nvPicPr>
        <xdr:cNvPr id="3" name="图片 2" descr="白玉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120" y="9544050"/>
          <a:ext cx="3558540" cy="1648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807720</xdr:colOff>
      <xdr:row>10</xdr:row>
      <xdr:rowOff>107950</xdr:rowOff>
    </xdr:from>
    <xdr:to>
      <xdr:col>13</xdr:col>
      <xdr:colOff>200025</xdr:colOff>
      <xdr:row>26</xdr:row>
      <xdr:rowOff>44450</xdr:rowOff>
    </xdr:to>
    <xdr:graphicFrame>
      <xdr:nvGraphicFramePr>
        <xdr:cNvPr id="4" name="图表 3"/>
        <xdr:cNvGraphicFramePr/>
      </xdr:nvGraphicFramePr>
      <xdr:xfrm>
        <a:off x="3115310" y="1822450"/>
        <a:ext cx="6669405" cy="26797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zoomScale="80" zoomScaleNormal="80" workbookViewId="0">
      <selection activeCell="A2" sqref="A2:A25"/>
    </sheetView>
  </sheetViews>
  <sheetFormatPr defaultColWidth="9.90833333333333" defaultRowHeight="13.5" zeroHeight="1"/>
  <cols>
    <col min="1" max="1" width="10.4416666666667" style="198" customWidth="1"/>
    <col min="2" max="2" width="8.35833333333333" style="198" customWidth="1"/>
    <col min="3" max="3" width="39.4583333333333" style="199" customWidth="1"/>
    <col min="4" max="4" width="15.6416666666667" style="198" customWidth="1"/>
    <col min="5" max="5" width="14.7333333333333" style="198" customWidth="1"/>
    <col min="6" max="6" width="9.09166666666667" style="198" customWidth="1"/>
    <col min="7" max="7" width="16.8166666666667" style="198" customWidth="1"/>
    <col min="8" max="8" width="15.4416666666667" style="198" customWidth="1"/>
    <col min="9" max="9" width="9" style="198" customWidth="1"/>
    <col min="10" max="10" width="15.5583333333333" style="198" customWidth="1"/>
    <col min="11" max="11" width="11.4416666666667" style="198" customWidth="1"/>
    <col min="12" max="13" width="9.64166666666667" style="198" customWidth="1"/>
    <col min="14" max="16" width="13.6416666666667" style="198" customWidth="1"/>
    <col min="17" max="17" width="10.3583333333333" style="198" customWidth="1"/>
    <col min="18" max="16384" width="21.7333333333333" style="198" hidden="1" customWidth="1"/>
  </cols>
  <sheetData>
    <row r="1" s="197" customFormat="1" ht="40.5" spans="1:22">
      <c r="A1" s="200" t="s">
        <v>0</v>
      </c>
      <c r="B1" s="200" t="s">
        <v>1</v>
      </c>
      <c r="C1" s="200" t="s">
        <v>2</v>
      </c>
      <c r="D1" s="201" t="s">
        <v>3</v>
      </c>
      <c r="E1" s="201" t="s">
        <v>4</v>
      </c>
      <c r="F1" s="202" t="s">
        <v>5</v>
      </c>
      <c r="G1" s="197" t="s">
        <v>6</v>
      </c>
      <c r="H1" s="197" t="s">
        <v>7</v>
      </c>
      <c r="I1" s="210" t="s">
        <v>8</v>
      </c>
      <c r="J1" s="197" t="s">
        <v>9</v>
      </c>
      <c r="K1" s="197" t="s">
        <v>10</v>
      </c>
      <c r="L1" s="197" t="s">
        <v>11</v>
      </c>
      <c r="M1" s="211" t="s">
        <v>12</v>
      </c>
      <c r="N1" s="212" t="s">
        <v>13</v>
      </c>
      <c r="O1" s="213" t="s">
        <v>14</v>
      </c>
      <c r="P1" s="213" t="s">
        <v>15</v>
      </c>
      <c r="Q1" s="213" t="s">
        <v>16</v>
      </c>
      <c r="R1" s="213"/>
      <c r="S1" s="213"/>
      <c r="T1" s="213"/>
      <c r="U1" s="222"/>
      <c r="V1" s="223"/>
    </row>
    <row r="2" ht="129.6" spans="1:17">
      <c r="A2" s="198" t="s">
        <v>17</v>
      </c>
      <c r="B2" s="203" t="s">
        <v>18</v>
      </c>
      <c r="C2" s="204" t="str">
        <f>_xlfn.DISPIMG("ID_F80B938F968E4079B3F74600AFB23C8C",1)</f>
        <v>=DISPIMG("ID_F80B938F968E4079B3F74600AFB23C8C",1)</v>
      </c>
      <c r="D2" s="205">
        <v>167.18</v>
      </c>
      <c r="E2" s="205">
        <v>148.96</v>
      </c>
      <c r="F2" s="206">
        <v>4.12</v>
      </c>
      <c r="G2" s="207">
        <f t="shared" ref="G2:G8" si="0">D2*F2</f>
        <v>688.7816</v>
      </c>
      <c r="H2" s="207">
        <f t="shared" ref="H2:H8" si="1">E2*F2</f>
        <v>613.7152</v>
      </c>
      <c r="I2" s="214">
        <v>4</v>
      </c>
      <c r="J2" s="207">
        <f t="shared" ref="J2:J8" si="2">3.14159*I2*I2/4</f>
        <v>12.56636</v>
      </c>
      <c r="K2" s="207">
        <f t="shared" ref="K2:K8" si="3">G2*J2</f>
        <v>8655.477546976</v>
      </c>
      <c r="L2" s="207">
        <f t="shared" ref="L2:L8" si="4">H2*J2</f>
        <v>7712.166140672</v>
      </c>
      <c r="M2" s="215"/>
      <c r="N2" s="212" t="s">
        <v>19</v>
      </c>
      <c r="O2" s="213">
        <v>5</v>
      </c>
      <c r="P2" s="213"/>
      <c r="Q2" s="213">
        <v>69</v>
      </c>
    </row>
    <row r="3" ht="172.8" spans="2:17">
      <c r="B3" s="203" t="s">
        <v>20</v>
      </c>
      <c r="C3" s="204" t="str">
        <f>_xlfn.DISPIMG("ID_155177BC988D4BEFB9874ED8D5547431",1)</f>
        <v>=DISPIMG("ID_155177BC988D4BEFB9874ED8D5547431",1)</v>
      </c>
      <c r="D3" s="205">
        <v>102.09</v>
      </c>
      <c r="E3" s="205">
        <v>74.25</v>
      </c>
      <c r="F3" s="206">
        <v>4.56</v>
      </c>
      <c r="G3" s="207">
        <f t="shared" si="0"/>
        <v>465.5304</v>
      </c>
      <c r="H3" s="207">
        <f t="shared" si="1"/>
        <v>338.58</v>
      </c>
      <c r="I3" s="214">
        <v>3</v>
      </c>
      <c r="J3" s="207">
        <f t="shared" si="2"/>
        <v>7.0685775</v>
      </c>
      <c r="K3" s="207">
        <f t="shared" si="3"/>
        <v>3290.637711006</v>
      </c>
      <c r="L3" s="207">
        <f t="shared" si="4"/>
        <v>2393.27896995</v>
      </c>
      <c r="M3" s="216"/>
      <c r="N3" s="217" t="s">
        <v>21</v>
      </c>
      <c r="O3" s="217">
        <v>4</v>
      </c>
      <c r="P3" s="217"/>
      <c r="Q3" s="217"/>
    </row>
    <row r="4" ht="172.8" spans="2:17">
      <c r="B4" s="204" t="s">
        <v>22</v>
      </c>
      <c r="C4" s="204" t="str">
        <f>_xlfn.DISPIMG("ID_54D4C18BAE414C5CA6D7FA60C26BA889",1)</f>
        <v>=DISPIMG("ID_54D4C18BAE414C5CA6D7FA60C26BA889",1)</v>
      </c>
      <c r="D4" s="205">
        <v>22.4</v>
      </c>
      <c r="E4" s="205">
        <v>12.7</v>
      </c>
      <c r="F4" s="206">
        <v>5.54</v>
      </c>
      <c r="G4" s="207">
        <f t="shared" si="0"/>
        <v>124.096</v>
      </c>
      <c r="H4" s="207">
        <f t="shared" si="1"/>
        <v>70.358</v>
      </c>
      <c r="I4" s="214">
        <v>3</v>
      </c>
      <c r="J4" s="207">
        <f t="shared" si="2"/>
        <v>7.0685775</v>
      </c>
      <c r="K4" s="207">
        <f t="shared" si="3"/>
        <v>877.18219344</v>
      </c>
      <c r="L4" s="207">
        <f t="shared" si="4"/>
        <v>497.330975745</v>
      </c>
      <c r="M4" s="215"/>
      <c r="N4" s="212" t="s">
        <v>23</v>
      </c>
      <c r="O4" s="213"/>
      <c r="P4" s="213"/>
      <c r="Q4" s="213"/>
    </row>
    <row r="5" ht="228.4" spans="2:17">
      <c r="B5" s="203" t="s">
        <v>24</v>
      </c>
      <c r="C5" s="204" t="str">
        <f>_xlfn.DISPIMG("ID_E5C45F99519D416FBE53864F509A88A0",1)</f>
        <v>=DISPIMG("ID_E5C45F99519D416FBE53864F509A88A0",1)</v>
      </c>
      <c r="D5" s="205">
        <v>9.19</v>
      </c>
      <c r="E5" s="205">
        <v>6.68</v>
      </c>
      <c r="F5" s="206">
        <v>4.24</v>
      </c>
      <c r="G5" s="207">
        <f t="shared" si="0"/>
        <v>38.9656</v>
      </c>
      <c r="H5" s="207">
        <f t="shared" si="1"/>
        <v>28.3232</v>
      </c>
      <c r="I5" s="214">
        <v>3.5</v>
      </c>
      <c r="J5" s="207">
        <f t="shared" si="2"/>
        <v>9.621119375</v>
      </c>
      <c r="K5" s="207">
        <f t="shared" si="3"/>
        <v>374.8926891185</v>
      </c>
      <c r="L5" s="207">
        <f t="shared" si="4"/>
        <v>272.500888282</v>
      </c>
      <c r="M5" s="215"/>
      <c r="N5" s="218"/>
      <c r="O5" s="219"/>
      <c r="P5" s="219"/>
      <c r="Q5" s="219"/>
    </row>
    <row r="6" ht="141" customHeight="1" spans="2:15">
      <c r="B6" s="130" t="s">
        <v>25</v>
      </c>
      <c r="C6" s="129"/>
      <c r="D6" s="208">
        <v>9.05</v>
      </c>
      <c r="E6" s="208">
        <v>6.58</v>
      </c>
      <c r="F6" s="209">
        <v>2.13</v>
      </c>
      <c r="G6" s="131">
        <f t="shared" si="0"/>
        <v>19.2765</v>
      </c>
      <c r="H6" s="131">
        <f t="shared" si="1"/>
        <v>14.0154</v>
      </c>
      <c r="I6" s="220">
        <v>4.5</v>
      </c>
      <c r="J6" s="131">
        <f t="shared" si="2"/>
        <v>15.904299375</v>
      </c>
      <c r="K6" s="131">
        <f t="shared" si="3"/>
        <v>306.579226902188</v>
      </c>
      <c r="L6" s="131">
        <f t="shared" si="4"/>
        <v>222.905117460375</v>
      </c>
      <c r="M6" s="221"/>
      <c r="N6" s="218"/>
      <c r="O6" s="219"/>
    </row>
    <row r="7" ht="301.5" spans="2:17">
      <c r="B7" s="203" t="s">
        <v>26</v>
      </c>
      <c r="C7" s="204" t="str">
        <f>_xlfn.DISPIMG("ID_461D33A837FA40619B8B4B6264510387",1)</f>
        <v>=DISPIMG("ID_461D33A837FA40619B8B4B6264510387",1)</v>
      </c>
      <c r="D7" s="205">
        <v>15.86</v>
      </c>
      <c r="E7" s="205">
        <v>11.53</v>
      </c>
      <c r="F7" s="206">
        <v>4.534</v>
      </c>
      <c r="G7" s="207">
        <f t="shared" si="0"/>
        <v>71.90924</v>
      </c>
      <c r="H7" s="207">
        <f t="shared" si="1"/>
        <v>52.27702</v>
      </c>
      <c r="I7" s="214">
        <v>2</v>
      </c>
      <c r="J7" s="207">
        <f t="shared" si="2"/>
        <v>3.14159</v>
      </c>
      <c r="K7" s="207">
        <f t="shared" si="3"/>
        <v>225.9093492916</v>
      </c>
      <c r="L7" s="207">
        <f t="shared" si="4"/>
        <v>164.2329632618</v>
      </c>
      <c r="M7" s="215"/>
      <c r="N7" s="212" t="s">
        <v>27</v>
      </c>
      <c r="O7" s="213"/>
      <c r="P7" s="213"/>
      <c r="Q7" s="213"/>
    </row>
    <row r="8" ht="145.15" spans="2:17">
      <c r="B8" s="203" t="s">
        <v>28</v>
      </c>
      <c r="C8" s="204" t="str">
        <f>_xlfn.DISPIMG("ID_3C2AB329E1FC4C439A59E7646DE69456",1)</f>
        <v>=DISPIMG("ID_3C2AB329E1FC4C439A59E7646DE69456",1)</v>
      </c>
      <c r="D8" s="205">
        <v>6.38</v>
      </c>
      <c r="E8" s="205">
        <v>4.64</v>
      </c>
      <c r="F8" s="206">
        <v>2.491</v>
      </c>
      <c r="G8" s="207">
        <f t="shared" si="0"/>
        <v>15.89258</v>
      </c>
      <c r="H8" s="207">
        <f t="shared" si="1"/>
        <v>11.55824</v>
      </c>
      <c r="I8" s="214">
        <v>4</v>
      </c>
      <c r="J8" s="207">
        <f t="shared" si="2"/>
        <v>12.56636</v>
      </c>
      <c r="K8" s="207">
        <f t="shared" si="3"/>
        <v>199.7118816088</v>
      </c>
      <c r="L8" s="207">
        <f t="shared" si="4"/>
        <v>145.2450048064</v>
      </c>
      <c r="M8" s="215"/>
      <c r="N8" s="218"/>
      <c r="O8" s="219" t="s">
        <v>29</v>
      </c>
      <c r="P8" s="219"/>
      <c r="Q8" s="219"/>
    </row>
    <row r="9"/>
    <row r="10"/>
  </sheetData>
  <mergeCells count="1">
    <mergeCell ref="A2:A8"/>
  </mergeCells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B7" sqref="B7"/>
    </sheetView>
  </sheetViews>
  <sheetFormatPr defaultColWidth="9.90833333333333" defaultRowHeight="13.5" outlineLevelCol="6"/>
  <cols>
    <col min="1" max="1" width="10.6416666666667" style="1" customWidth="1"/>
    <col min="2" max="2" width="10.3583333333333" style="1" customWidth="1"/>
    <col min="3" max="3" width="9" style="1" customWidth="1"/>
    <col min="4" max="4" width="12.9083333333333" style="1" customWidth="1"/>
    <col min="5" max="5" width="18.5416666666667" style="1" customWidth="1"/>
    <col min="6" max="16384" width="8.73333333333333" style="1"/>
  </cols>
  <sheetData>
    <row r="1" spans="1:7">
      <c r="A1" s="1" t="s">
        <v>160</v>
      </c>
      <c r="B1" s="1" t="s">
        <v>161</v>
      </c>
      <c r="C1" s="1" t="s">
        <v>151</v>
      </c>
      <c r="D1" s="1" t="s">
        <v>152</v>
      </c>
      <c r="E1" s="1" t="s">
        <v>180</v>
      </c>
      <c r="F1" s="1" t="s">
        <v>93</v>
      </c>
      <c r="G1" s="1" t="s">
        <v>150</v>
      </c>
    </row>
    <row r="2" spans="1:5">
      <c r="A2" s="142" t="s">
        <v>169</v>
      </c>
      <c r="B2" s="34">
        <v>26.79</v>
      </c>
      <c r="C2" s="34">
        <v>0.91</v>
      </c>
      <c r="D2" s="34">
        <v>1.48</v>
      </c>
      <c r="E2" s="1">
        <f>597-0.57*B2</f>
        <v>581.7297</v>
      </c>
    </row>
    <row r="3" spans="1:5">
      <c r="A3" s="34" t="s">
        <v>170</v>
      </c>
      <c r="B3" s="34">
        <v>35.98</v>
      </c>
      <c r="C3" s="34">
        <v>0.54</v>
      </c>
      <c r="D3" s="34">
        <v>6.08</v>
      </c>
      <c r="E3" s="1">
        <f>597-0.57*B3</f>
        <v>576.4914</v>
      </c>
    </row>
    <row r="4" spans="1:5">
      <c r="A4" s="34" t="s">
        <v>171</v>
      </c>
      <c r="B4" s="34">
        <v>29.55</v>
      </c>
      <c r="C4" s="34">
        <v>0.89</v>
      </c>
      <c r="D4" s="34">
        <v>3.29</v>
      </c>
      <c r="E4" s="1">
        <f>597-0.57*B4</f>
        <v>580.1565</v>
      </c>
    </row>
    <row r="5" spans="1:5">
      <c r="A5" s="34" t="s">
        <v>172</v>
      </c>
      <c r="B5" s="34">
        <v>36.66</v>
      </c>
      <c r="C5" s="34">
        <v>0.51</v>
      </c>
      <c r="D5" s="34">
        <v>4.18</v>
      </c>
      <c r="E5" s="1">
        <f>597-0.57*B5</f>
        <v>576.1038</v>
      </c>
    </row>
    <row r="6" s="141" customFormat="1" spans="1:5">
      <c r="A6" s="143" t="s">
        <v>173</v>
      </c>
      <c r="B6" s="143">
        <v>33.9</v>
      </c>
      <c r="C6" s="143">
        <v>0.59</v>
      </c>
      <c r="D6" s="143">
        <v>4.36</v>
      </c>
      <c r="E6" s="1">
        <f>597-0.57*B6</f>
        <v>577.677</v>
      </c>
    </row>
    <row r="7" spans="2:4">
      <c r="B7" s="1">
        <f>SUM(B2:B6)/5</f>
        <v>32.576</v>
      </c>
      <c r="C7" s="1">
        <f>SUM(C2:C6)/5</f>
        <v>0.688</v>
      </c>
      <c r="D7" s="1">
        <f>SUM(D2:D6)/5</f>
        <v>3.878</v>
      </c>
    </row>
    <row r="9" spans="2:4">
      <c r="B9" s="34" t="s">
        <v>181</v>
      </c>
      <c r="C9" s="34"/>
      <c r="D9" s="1">
        <f>597-0.57*B7</f>
        <v>578.43168</v>
      </c>
    </row>
    <row r="11" spans="2:2">
      <c r="B11" s="1" t="s">
        <v>182</v>
      </c>
    </row>
  </sheetData>
  <mergeCells count="1">
    <mergeCell ref="B9:C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opLeftCell="A13" workbookViewId="0">
      <selection activeCell="A2" sqref="A2:A25"/>
    </sheetView>
  </sheetViews>
  <sheetFormatPr defaultColWidth="9.90833333333333" defaultRowHeight="13.5" zeroHeight="1"/>
  <cols>
    <col min="1" max="1" width="9.55833333333333" style="128" customWidth="1"/>
    <col min="2" max="2" width="10.7333333333333" style="128" customWidth="1"/>
    <col min="3" max="3" width="11.8166666666667" style="128" customWidth="1"/>
    <col min="4" max="4" width="9.55833333333333" style="128" customWidth="1"/>
    <col min="5" max="5" width="45.5583333333333" style="128" hidden="1" customWidth="1"/>
    <col min="6" max="6" width="6.55833333333333" style="129" customWidth="1"/>
    <col min="7" max="16384" width="8.73333333333333" hidden="1" customWidth="1"/>
  </cols>
  <sheetData>
    <row r="1" spans="1:9">
      <c r="A1" s="130" t="s">
        <v>0</v>
      </c>
      <c r="B1" s="130" t="s">
        <v>183</v>
      </c>
      <c r="C1" s="130" t="s">
        <v>184</v>
      </c>
      <c r="D1" s="130" t="s">
        <v>1</v>
      </c>
      <c r="E1" s="130" t="s">
        <v>185</v>
      </c>
      <c r="F1" s="129" t="s">
        <v>5</v>
      </c>
      <c r="G1" s="2"/>
      <c r="H1" s="2"/>
      <c r="I1" s="2"/>
    </row>
    <row r="2" spans="1:9">
      <c r="A2" s="129" t="s">
        <v>17</v>
      </c>
      <c r="B2" s="129" t="s">
        <v>186</v>
      </c>
      <c r="C2" s="129" t="s">
        <v>187</v>
      </c>
      <c r="D2" s="130" t="s">
        <v>18</v>
      </c>
      <c r="E2" s="130" t="s">
        <v>188</v>
      </c>
      <c r="F2" s="131">
        <v>1.46</v>
      </c>
      <c r="G2" s="132"/>
      <c r="H2" s="132"/>
      <c r="I2" s="132"/>
    </row>
    <row r="3" spans="1:9">
      <c r="A3" s="129"/>
      <c r="B3" s="129" t="s">
        <v>189</v>
      </c>
      <c r="C3" s="129" t="s">
        <v>190</v>
      </c>
      <c r="D3" s="130" t="s">
        <v>20</v>
      </c>
      <c r="E3" s="130" t="s">
        <v>191</v>
      </c>
      <c r="F3" s="131">
        <v>4.56</v>
      </c>
      <c r="G3" s="132"/>
      <c r="H3" s="132"/>
      <c r="I3" s="132"/>
    </row>
    <row r="4" spans="1:9">
      <c r="A4" s="129"/>
      <c r="B4" s="129" t="s">
        <v>192</v>
      </c>
      <c r="C4" s="129" t="s">
        <v>193</v>
      </c>
      <c r="D4" s="130" t="s">
        <v>194</v>
      </c>
      <c r="E4" s="130" t="s">
        <v>195</v>
      </c>
      <c r="F4" s="131">
        <v>3.25</v>
      </c>
      <c r="G4" s="133"/>
      <c r="H4" s="4"/>
      <c r="I4" s="4"/>
    </row>
    <row r="5" spans="1:9">
      <c r="A5" s="129"/>
      <c r="B5" s="128" t="s">
        <v>196</v>
      </c>
      <c r="C5" s="128" t="s">
        <v>197</v>
      </c>
      <c r="D5" s="128" t="s">
        <v>198</v>
      </c>
      <c r="E5" s="130" t="s">
        <v>199</v>
      </c>
      <c r="F5" s="131">
        <v>5.18</v>
      </c>
      <c r="G5" s="133"/>
      <c r="H5" s="132"/>
      <c r="I5" s="132"/>
    </row>
    <row r="6" spans="1:9">
      <c r="A6" s="129"/>
      <c r="B6" s="129" t="s">
        <v>200</v>
      </c>
      <c r="C6" s="129" t="s">
        <v>201</v>
      </c>
      <c r="D6" s="129" t="s">
        <v>22</v>
      </c>
      <c r="E6" s="130" t="s">
        <v>202</v>
      </c>
      <c r="F6" s="131">
        <v>9.26</v>
      </c>
      <c r="G6" s="133"/>
      <c r="H6" s="4"/>
      <c r="I6" s="22"/>
    </row>
    <row r="7" spans="1:9">
      <c r="A7" s="129"/>
      <c r="B7" s="134" t="s">
        <v>203</v>
      </c>
      <c r="C7" s="135" t="s">
        <v>204</v>
      </c>
      <c r="D7" s="129" t="s">
        <v>205</v>
      </c>
      <c r="E7" s="130" t="s">
        <v>206</v>
      </c>
      <c r="F7" s="131">
        <v>1.51</v>
      </c>
      <c r="G7" s="133"/>
      <c r="H7" s="132"/>
      <c r="I7" s="132"/>
    </row>
    <row r="8" spans="1:9">
      <c r="A8" s="129"/>
      <c r="B8" s="129" t="s">
        <v>207</v>
      </c>
      <c r="C8" s="129" t="s">
        <v>208</v>
      </c>
      <c r="D8" s="130" t="s">
        <v>26</v>
      </c>
      <c r="E8" s="130" t="s">
        <v>209</v>
      </c>
      <c r="F8" s="131">
        <v>4.534</v>
      </c>
      <c r="G8" s="136"/>
      <c r="H8" s="9"/>
      <c r="I8" s="9"/>
    </row>
    <row r="9" spans="1:9">
      <c r="A9" s="129"/>
      <c r="B9" s="129" t="s">
        <v>192</v>
      </c>
      <c r="C9" s="129" t="s">
        <v>210</v>
      </c>
      <c r="D9" s="130" t="s">
        <v>60</v>
      </c>
      <c r="E9" s="130" t="s">
        <v>211</v>
      </c>
      <c r="F9" s="131">
        <v>2.64</v>
      </c>
      <c r="G9" s="136"/>
      <c r="H9" s="9"/>
      <c r="I9" s="9"/>
    </row>
    <row r="10" spans="1:9">
      <c r="A10" s="129"/>
      <c r="B10" s="129" t="s">
        <v>212</v>
      </c>
      <c r="C10" s="129" t="s">
        <v>213</v>
      </c>
      <c r="D10" s="130" t="s">
        <v>214</v>
      </c>
      <c r="E10" s="130" t="s">
        <v>215</v>
      </c>
      <c r="F10" s="131">
        <v>4.52</v>
      </c>
      <c r="G10" s="136"/>
      <c r="H10" s="137"/>
      <c r="I10" s="137"/>
    </row>
    <row r="11" spans="1:9">
      <c r="A11" s="129"/>
      <c r="B11" s="129" t="s">
        <v>216</v>
      </c>
      <c r="C11" s="129" t="s">
        <v>217</v>
      </c>
      <c r="D11" s="129" t="s">
        <v>218</v>
      </c>
      <c r="E11" s="130" t="s">
        <v>219</v>
      </c>
      <c r="F11" s="131">
        <v>2.2</v>
      </c>
      <c r="G11" s="136"/>
      <c r="H11" s="9"/>
      <c r="I11" s="9"/>
    </row>
    <row r="12" spans="1:9">
      <c r="A12" s="129"/>
      <c r="B12" s="129" t="s">
        <v>220</v>
      </c>
      <c r="C12" s="129" t="s">
        <v>221</v>
      </c>
      <c r="D12" s="130" t="s">
        <v>222</v>
      </c>
      <c r="E12" s="130" t="s">
        <v>223</v>
      </c>
      <c r="F12" s="131">
        <v>4.37</v>
      </c>
      <c r="G12" s="136"/>
      <c r="H12" s="137"/>
      <c r="I12" s="137"/>
    </row>
    <row r="13" spans="1:9">
      <c r="A13" s="129"/>
      <c r="B13" s="129" t="s">
        <v>224</v>
      </c>
      <c r="C13" s="129" t="s">
        <v>225</v>
      </c>
      <c r="D13" s="130" t="s">
        <v>226</v>
      </c>
      <c r="E13" s="130" t="s">
        <v>227</v>
      </c>
      <c r="F13" s="131">
        <v>2.01</v>
      </c>
      <c r="G13" s="136"/>
      <c r="H13" s="137"/>
      <c r="I13" s="137"/>
    </row>
    <row r="14" spans="1:9">
      <c r="A14" s="129"/>
      <c r="B14" s="129" t="s">
        <v>228</v>
      </c>
      <c r="C14" s="129" t="s">
        <v>229</v>
      </c>
      <c r="D14" s="130" t="s">
        <v>230</v>
      </c>
      <c r="E14" s="130" t="s">
        <v>231</v>
      </c>
      <c r="F14" s="131">
        <v>2.4</v>
      </c>
      <c r="G14" s="136"/>
      <c r="H14" s="137"/>
      <c r="I14" s="137"/>
    </row>
    <row r="15" spans="1:9">
      <c r="A15" s="129"/>
      <c r="B15" s="129" t="s">
        <v>207</v>
      </c>
      <c r="C15" s="129" t="s">
        <v>232</v>
      </c>
      <c r="D15" s="129" t="s">
        <v>233</v>
      </c>
      <c r="E15" s="130" t="s">
        <v>234</v>
      </c>
      <c r="F15" s="131">
        <v>2.56</v>
      </c>
      <c r="G15" s="136"/>
      <c r="H15" s="137"/>
      <c r="I15" s="137"/>
    </row>
    <row r="16" spans="1:9">
      <c r="A16" s="129"/>
      <c r="B16" s="129" t="s">
        <v>235</v>
      </c>
      <c r="C16" s="129" t="s">
        <v>236</v>
      </c>
      <c r="D16" s="129" t="s">
        <v>237</v>
      </c>
      <c r="E16" s="130" t="s">
        <v>238</v>
      </c>
      <c r="F16" s="131">
        <v>1.64</v>
      </c>
      <c r="G16" s="138"/>
      <c r="H16" s="139"/>
      <c r="I16" s="139"/>
    </row>
    <row r="17" spans="1:9">
      <c r="A17" s="129"/>
      <c r="B17" s="129" t="s">
        <v>212</v>
      </c>
      <c r="C17" s="129" t="s">
        <v>213</v>
      </c>
      <c r="D17" s="130" t="s">
        <v>239</v>
      </c>
      <c r="E17" s="130" t="s">
        <v>240</v>
      </c>
      <c r="F17" s="131">
        <v>6.21</v>
      </c>
      <c r="G17" s="138"/>
      <c r="H17" s="139"/>
      <c r="I17" s="139"/>
    </row>
    <row r="18" spans="1:9">
      <c r="A18" s="129"/>
      <c r="B18" s="129" t="s">
        <v>241</v>
      </c>
      <c r="C18" s="129" t="s">
        <v>242</v>
      </c>
      <c r="D18" s="130" t="s">
        <v>243</v>
      </c>
      <c r="E18" s="130" t="s">
        <v>244</v>
      </c>
      <c r="F18" s="131">
        <v>2.8</v>
      </c>
      <c r="G18" s="138"/>
      <c r="H18" s="139"/>
      <c r="I18" s="139"/>
    </row>
    <row r="19" spans="1:6">
      <c r="A19" s="129"/>
      <c r="B19" s="129" t="s">
        <v>245</v>
      </c>
      <c r="C19" s="129" t="s">
        <v>246</v>
      </c>
      <c r="D19" s="130" t="s">
        <v>24</v>
      </c>
      <c r="E19" s="130" t="s">
        <v>247</v>
      </c>
      <c r="F19" s="131">
        <v>4.24</v>
      </c>
    </row>
    <row r="20" spans="1:6">
      <c r="A20" s="129"/>
      <c r="B20" s="129" t="s">
        <v>248</v>
      </c>
      <c r="C20" s="129" t="s">
        <v>249</v>
      </c>
      <c r="D20" s="130" t="s">
        <v>25</v>
      </c>
      <c r="E20" s="130" t="s">
        <v>250</v>
      </c>
      <c r="F20" s="131">
        <v>2.13</v>
      </c>
    </row>
    <row r="21" spans="1:6">
      <c r="A21" s="129"/>
      <c r="B21" s="129" t="s">
        <v>248</v>
      </c>
      <c r="C21" s="129" t="s">
        <v>249</v>
      </c>
      <c r="D21" s="130" t="s">
        <v>55</v>
      </c>
      <c r="E21" s="130" t="s">
        <v>251</v>
      </c>
      <c r="F21" s="131">
        <v>2.83</v>
      </c>
    </row>
    <row r="22" spans="1:6">
      <c r="A22" s="129"/>
      <c r="B22" s="129" t="s">
        <v>252</v>
      </c>
      <c r="C22" s="129" t="s">
        <v>253</v>
      </c>
      <c r="D22" s="130" t="s">
        <v>28</v>
      </c>
      <c r="E22" s="130" t="s">
        <v>254</v>
      </c>
      <c r="F22" s="131">
        <v>3.17</v>
      </c>
    </row>
    <row r="23" spans="1:6">
      <c r="A23" s="129"/>
      <c r="B23" s="129" t="s">
        <v>255</v>
      </c>
      <c r="C23" s="129" t="s">
        <v>256</v>
      </c>
      <c r="D23" s="130" t="s">
        <v>257</v>
      </c>
      <c r="E23" s="130" t="s">
        <v>258</v>
      </c>
      <c r="F23" s="131">
        <v>3.17</v>
      </c>
    </row>
    <row r="24" spans="1:6">
      <c r="A24" s="129"/>
      <c r="B24" s="128" t="s">
        <v>192</v>
      </c>
      <c r="C24" s="128" t="s">
        <v>259</v>
      </c>
      <c r="D24" s="128" t="s">
        <v>260</v>
      </c>
      <c r="E24" s="130" t="s">
        <v>261</v>
      </c>
      <c r="F24" s="131">
        <v>0.99</v>
      </c>
    </row>
    <row r="25" spans="1:6">
      <c r="A25" s="129"/>
      <c r="B25" s="129" t="s">
        <v>192</v>
      </c>
      <c r="C25" s="129" t="s">
        <v>262</v>
      </c>
      <c r="D25" s="129" t="s">
        <v>40</v>
      </c>
      <c r="E25" s="130" t="s">
        <v>263</v>
      </c>
      <c r="F25" s="131">
        <v>3.11</v>
      </c>
    </row>
    <row r="26" spans="1:6">
      <c r="A26" s="129" t="s">
        <v>36</v>
      </c>
      <c r="B26" s="129" t="s">
        <v>264</v>
      </c>
      <c r="C26" s="129" t="s">
        <v>265</v>
      </c>
      <c r="D26" s="130" t="s">
        <v>266</v>
      </c>
      <c r="E26" s="130" t="s">
        <v>267</v>
      </c>
      <c r="F26" s="131">
        <v>1.896</v>
      </c>
    </row>
    <row r="27" spans="1:6">
      <c r="A27" s="129"/>
      <c r="B27" s="129" t="s">
        <v>268</v>
      </c>
      <c r="C27" s="129" t="s">
        <v>269</v>
      </c>
      <c r="D27" s="129" t="s">
        <v>37</v>
      </c>
      <c r="E27" s="130" t="s">
        <v>270</v>
      </c>
      <c r="F27" s="131">
        <v>2.49</v>
      </c>
    </row>
    <row r="28" spans="1:6">
      <c r="A28" s="129"/>
      <c r="B28" s="129" t="s">
        <v>271</v>
      </c>
      <c r="C28" s="129" t="s">
        <v>272</v>
      </c>
      <c r="D28" s="129" t="s">
        <v>273</v>
      </c>
      <c r="E28" s="130" t="s">
        <v>274</v>
      </c>
      <c r="F28" s="131">
        <v>9.29</v>
      </c>
    </row>
    <row r="29" spans="1:6">
      <c r="A29" s="129"/>
      <c r="B29" s="129" t="s">
        <v>275</v>
      </c>
      <c r="C29" s="129" t="s">
        <v>276</v>
      </c>
      <c r="D29" s="129" t="s">
        <v>39</v>
      </c>
      <c r="E29" s="130" t="s">
        <v>277</v>
      </c>
      <c r="F29" s="131">
        <v>2.748</v>
      </c>
    </row>
    <row r="30" spans="1:6">
      <c r="A30" s="129"/>
      <c r="B30" s="129" t="s">
        <v>278</v>
      </c>
      <c r="C30" s="129" t="s">
        <v>279</v>
      </c>
      <c r="D30" s="129" t="s">
        <v>38</v>
      </c>
      <c r="E30" s="130" t="s">
        <v>280</v>
      </c>
      <c r="F30" s="131">
        <v>2.978</v>
      </c>
    </row>
    <row r="31" spans="1:6">
      <c r="A31" s="129"/>
      <c r="B31" s="129" t="s">
        <v>186</v>
      </c>
      <c r="C31" s="129" t="s">
        <v>281</v>
      </c>
      <c r="D31" s="129" t="s">
        <v>42</v>
      </c>
      <c r="E31" s="130" t="s">
        <v>282</v>
      </c>
      <c r="F31" s="131">
        <v>2.12</v>
      </c>
    </row>
    <row r="32" spans="1:6">
      <c r="A32" s="129"/>
      <c r="B32" s="129" t="s">
        <v>283</v>
      </c>
      <c r="C32" s="128" t="s">
        <v>284</v>
      </c>
      <c r="D32" s="129" t="s">
        <v>43</v>
      </c>
      <c r="E32" s="130" t="s">
        <v>285</v>
      </c>
      <c r="F32" s="131">
        <v>3.45</v>
      </c>
    </row>
    <row r="33" spans="1:6">
      <c r="A33" s="129"/>
      <c r="B33" s="129" t="s">
        <v>192</v>
      </c>
      <c r="C33" s="129" t="s">
        <v>259</v>
      </c>
      <c r="D33" s="130" t="s">
        <v>286</v>
      </c>
      <c r="E33" s="130" t="s">
        <v>287</v>
      </c>
      <c r="F33" s="131">
        <v>1.88</v>
      </c>
    </row>
    <row r="34" spans="1:6">
      <c r="A34" s="129"/>
      <c r="B34" s="129" t="s">
        <v>216</v>
      </c>
      <c r="C34" s="129" t="s">
        <v>288</v>
      </c>
      <c r="D34" s="130" t="s">
        <v>289</v>
      </c>
      <c r="E34" s="130" t="s">
        <v>290</v>
      </c>
      <c r="F34" s="131">
        <v>1.61</v>
      </c>
    </row>
    <row r="35" spans="1:6">
      <c r="A35" s="129"/>
      <c r="B35" s="129" t="s">
        <v>291</v>
      </c>
      <c r="C35" s="129" t="s">
        <v>292</v>
      </c>
      <c r="D35" s="130" t="s">
        <v>293</v>
      </c>
      <c r="E35" s="130" t="s">
        <v>294</v>
      </c>
      <c r="F35" s="131">
        <v>6.58</v>
      </c>
    </row>
    <row r="36" spans="1:6">
      <c r="A36" s="129"/>
      <c r="B36" s="129" t="s">
        <v>295</v>
      </c>
      <c r="C36" s="129" t="s">
        <v>296</v>
      </c>
      <c r="D36" s="130" t="s">
        <v>41</v>
      </c>
      <c r="E36" s="130" t="s">
        <v>297</v>
      </c>
      <c r="F36" s="131">
        <v>3.14</v>
      </c>
    </row>
    <row r="37" spans="1:6">
      <c r="A37" s="129"/>
      <c r="B37" s="129" t="s">
        <v>298</v>
      </c>
      <c r="C37" s="129" t="s">
        <v>299</v>
      </c>
      <c r="D37" s="129" t="s">
        <v>61</v>
      </c>
      <c r="E37" s="130" t="s">
        <v>300</v>
      </c>
      <c r="F37" s="131">
        <v>2.82</v>
      </c>
    </row>
    <row r="38" spans="1:6">
      <c r="A38" s="129"/>
      <c r="B38" s="129" t="s">
        <v>264</v>
      </c>
      <c r="C38" s="129" t="s">
        <v>301</v>
      </c>
      <c r="D38" s="130" t="s">
        <v>62</v>
      </c>
      <c r="E38" s="130" t="s">
        <v>302</v>
      </c>
      <c r="F38" s="131">
        <v>3.18</v>
      </c>
    </row>
    <row r="39" spans="1:6">
      <c r="A39" s="129"/>
      <c r="B39" s="129" t="s">
        <v>196</v>
      </c>
      <c r="C39" s="129" t="s">
        <v>303</v>
      </c>
      <c r="D39" s="129" t="s">
        <v>304</v>
      </c>
      <c r="E39" s="130" t="s">
        <v>305</v>
      </c>
      <c r="F39" s="131">
        <v>2.29</v>
      </c>
    </row>
    <row r="40" spans="1:6">
      <c r="A40" s="129" t="s">
        <v>102</v>
      </c>
      <c r="B40" s="129" t="s">
        <v>306</v>
      </c>
      <c r="C40" s="129" t="s">
        <v>307</v>
      </c>
      <c r="D40" s="129" t="s">
        <v>308</v>
      </c>
      <c r="E40" s="130" t="s">
        <v>309</v>
      </c>
      <c r="F40" s="131">
        <v>2.48</v>
      </c>
    </row>
    <row r="41" spans="1:6">
      <c r="A41" s="129"/>
      <c r="B41" s="129" t="s">
        <v>306</v>
      </c>
      <c r="C41" s="129" t="s">
        <v>310</v>
      </c>
      <c r="D41" s="140" t="s">
        <v>311</v>
      </c>
      <c r="E41" s="130" t="s">
        <v>312</v>
      </c>
      <c r="F41" s="131">
        <v>0.82</v>
      </c>
    </row>
    <row r="42" spans="1:6">
      <c r="A42" s="129"/>
      <c r="B42" s="129" t="s">
        <v>313</v>
      </c>
      <c r="C42" s="129" t="s">
        <v>314</v>
      </c>
      <c r="D42" s="140" t="s">
        <v>315</v>
      </c>
      <c r="E42" s="130" t="s">
        <v>316</v>
      </c>
      <c r="F42" s="131">
        <v>4.48</v>
      </c>
    </row>
    <row r="43" spans="1:6">
      <c r="A43" s="129"/>
      <c r="B43" s="129" t="s">
        <v>306</v>
      </c>
      <c r="C43" s="129" t="s">
        <v>310</v>
      </c>
      <c r="D43" s="130" t="s">
        <v>317</v>
      </c>
      <c r="E43" s="130" t="s">
        <v>318</v>
      </c>
      <c r="F43" s="131">
        <v>0.79</v>
      </c>
    </row>
    <row r="44" spans="1:6">
      <c r="A44" s="129"/>
      <c r="B44" s="129" t="s">
        <v>319</v>
      </c>
      <c r="C44" s="129" t="s">
        <v>320</v>
      </c>
      <c r="D44" s="140" t="s">
        <v>321</v>
      </c>
      <c r="E44" s="130" t="s">
        <v>322</v>
      </c>
      <c r="F44" s="131">
        <v>5.68</v>
      </c>
    </row>
    <row r="45" spans="1:6">
      <c r="A45" s="129"/>
      <c r="B45" s="129" t="s">
        <v>319</v>
      </c>
      <c r="C45" s="129" t="s">
        <v>323</v>
      </c>
      <c r="D45" s="140" t="s">
        <v>324</v>
      </c>
      <c r="E45" s="130" t="s">
        <v>325</v>
      </c>
      <c r="F45" s="131">
        <v>1.96</v>
      </c>
    </row>
    <row r="46" spans="1:6">
      <c r="A46" s="129"/>
      <c r="B46" s="129" t="s">
        <v>326</v>
      </c>
      <c r="C46" s="129" t="s">
        <v>327</v>
      </c>
      <c r="D46" s="130" t="s">
        <v>44</v>
      </c>
      <c r="E46" s="130" t="s">
        <v>328</v>
      </c>
      <c r="F46" s="131">
        <v>4.11</v>
      </c>
    </row>
    <row r="47" spans="1:6">
      <c r="A47" s="129"/>
      <c r="B47" s="128" t="s">
        <v>319</v>
      </c>
      <c r="C47" s="128" t="s">
        <v>329</v>
      </c>
      <c r="D47" s="129" t="s">
        <v>67</v>
      </c>
      <c r="E47" s="130" t="s">
        <v>330</v>
      </c>
      <c r="F47" s="131">
        <v>10.24</v>
      </c>
    </row>
    <row r="48" spans="1:6">
      <c r="A48" s="129"/>
      <c r="B48" s="128" t="s">
        <v>331</v>
      </c>
      <c r="C48" s="128" t="s">
        <v>332</v>
      </c>
      <c r="D48" s="129" t="s">
        <v>66</v>
      </c>
      <c r="E48" s="130" t="s">
        <v>333</v>
      </c>
      <c r="F48" s="131">
        <v>5.02</v>
      </c>
    </row>
    <row r="49" spans="1:6">
      <c r="A49" s="129"/>
      <c r="B49" s="128" t="s">
        <v>319</v>
      </c>
      <c r="C49" s="128" t="s">
        <v>334</v>
      </c>
      <c r="D49" s="129" t="s">
        <v>47</v>
      </c>
      <c r="E49" s="130" t="s">
        <v>335</v>
      </c>
      <c r="F49" s="131">
        <v>1.47</v>
      </c>
    </row>
    <row r="50" hidden="1" spans="5:5">
      <c r="E50" s="130"/>
    </row>
    <row r="51" hidden="1" spans="5:5">
      <c r="E51" s="130"/>
    </row>
    <row r="52" hidden="1" spans="5:5">
      <c r="E52" s="130"/>
    </row>
    <row r="53" hidden="1" spans="5:5">
      <c r="E53" s="130"/>
    </row>
    <row r="54" hidden="1" spans="5:5">
      <c r="E54" s="130"/>
    </row>
    <row r="55" hidden="1" spans="5:5">
      <c r="E55" s="130"/>
    </row>
    <row r="56" hidden="1" spans="5:5">
      <c r="E56" s="130"/>
    </row>
    <row r="57" hidden="1" spans="5:5">
      <c r="E57" s="130"/>
    </row>
    <row r="58" hidden="1" spans="5:5">
      <c r="E58" s="130"/>
    </row>
    <row r="59" hidden="1" spans="5:5">
      <c r="E59" s="130"/>
    </row>
    <row r="60" hidden="1" spans="5:5">
      <c r="E60" s="130"/>
    </row>
    <row r="61" hidden="1" spans="5:5">
      <c r="E61" s="130"/>
    </row>
    <row r="62" hidden="1" spans="5:5">
      <c r="E62" s="130"/>
    </row>
    <row r="63" hidden="1" spans="5:5">
      <c r="E63" s="130"/>
    </row>
    <row r="64" hidden="1" spans="5:5">
      <c r="E64" s="130"/>
    </row>
    <row r="65" hidden="1" spans="5:5">
      <c r="E65" s="130"/>
    </row>
    <row r="66" hidden="1" spans="5:5">
      <c r="E66" s="130"/>
    </row>
    <row r="67" hidden="1" spans="5:5">
      <c r="E67" s="130"/>
    </row>
    <row r="68" hidden="1" spans="5:5">
      <c r="E68" s="130"/>
    </row>
  </sheetData>
  <mergeCells count="21">
    <mergeCell ref="H1:I1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A2:A25"/>
    <mergeCell ref="A26:A39"/>
    <mergeCell ref="A40:A4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7" workbookViewId="0">
      <selection activeCell="A1" sqref="A1:J24"/>
    </sheetView>
  </sheetViews>
  <sheetFormatPr defaultColWidth="8.73333333333333" defaultRowHeight="13.5"/>
  <cols>
    <col min="1" max="1" width="11.0083333333333" style="20" customWidth="1"/>
    <col min="2" max="2" width="9.00833333333333" style="20" customWidth="1"/>
    <col min="3" max="3" width="12.275" style="7" customWidth="1"/>
    <col min="4" max="4" width="9.36666666666667" style="20" customWidth="1"/>
    <col min="5" max="6" width="13.0083333333333" style="1" customWidth="1"/>
    <col min="7" max="8" width="13.5583333333333" style="1" customWidth="1"/>
    <col min="9" max="10" width="14.1833333333333" style="1" customWidth="1"/>
  </cols>
  <sheetData>
    <row r="1" ht="22.5" customHeight="1" spans="1:10">
      <c r="A1" s="118" t="s">
        <v>71</v>
      </c>
      <c r="B1" s="118" t="s">
        <v>72</v>
      </c>
      <c r="C1" s="118" t="s">
        <v>48</v>
      </c>
      <c r="D1" s="118" t="s">
        <v>73</v>
      </c>
      <c r="E1" s="119" t="s">
        <v>84</v>
      </c>
      <c r="F1" s="119" t="s">
        <v>85</v>
      </c>
      <c r="G1" s="119" t="s">
        <v>86</v>
      </c>
      <c r="H1" s="119" t="s">
        <v>87</v>
      </c>
      <c r="I1" s="119" t="s">
        <v>336</v>
      </c>
      <c r="J1" s="119" t="s">
        <v>90</v>
      </c>
    </row>
    <row r="2" ht="22.5" customHeight="1" spans="1:10">
      <c r="A2" s="120" t="s">
        <v>17</v>
      </c>
      <c r="B2" s="120"/>
      <c r="C2" s="121" t="s">
        <v>18</v>
      </c>
      <c r="D2" s="120">
        <v>16</v>
      </c>
      <c r="E2" s="122">
        <v>67.33312587728</v>
      </c>
      <c r="F2" s="122">
        <v>59.99436556368</v>
      </c>
      <c r="G2" s="122">
        <v>1077.33001403648</v>
      </c>
      <c r="H2" s="122">
        <v>959.90984901888</v>
      </c>
      <c r="I2" s="122">
        <v>2384.62412343408</v>
      </c>
      <c r="J2" s="122">
        <v>0.158215507128057</v>
      </c>
    </row>
    <row r="3" ht="22.5" customHeight="1" spans="1:10">
      <c r="A3" s="120"/>
      <c r="B3" s="120"/>
      <c r="C3" s="121" t="s">
        <v>20</v>
      </c>
      <c r="D3" s="120">
        <v>60</v>
      </c>
      <c r="E3" s="122">
        <v>721.69105030164</v>
      </c>
      <c r="F3" s="122">
        <v>524.74900843728</v>
      </c>
      <c r="G3" s="122">
        <v>43301.4630180984</v>
      </c>
      <c r="H3" s="122">
        <v>31484.9405062368</v>
      </c>
      <c r="I3" s="122">
        <v>2791.11405483504</v>
      </c>
      <c r="J3" s="122">
        <v>0.185185380495955</v>
      </c>
    </row>
    <row r="4" ht="22.5" customHeight="1" spans="1:10">
      <c r="A4" s="120" t="s">
        <v>102</v>
      </c>
      <c r="B4" s="120"/>
      <c r="C4" s="121" t="s">
        <v>44</v>
      </c>
      <c r="D4" s="120">
        <v>2000</v>
      </c>
      <c r="E4" s="122">
        <v>0.460472259460725</v>
      </c>
      <c r="F4" s="122">
        <v>0.334822888976962</v>
      </c>
      <c r="G4" s="122">
        <v>920.94451892145</v>
      </c>
      <c r="H4" s="122">
        <v>669.645777953925</v>
      </c>
      <c r="I4" s="122">
        <v>1.75211177328</v>
      </c>
      <c r="J4" s="122">
        <v>0.000116249454171975</v>
      </c>
    </row>
    <row r="5" ht="22.5" customHeight="1" spans="1:10">
      <c r="A5" s="120"/>
      <c r="B5" s="120"/>
      <c r="C5" s="121" t="s">
        <v>66</v>
      </c>
      <c r="D5" s="120">
        <v>4200</v>
      </c>
      <c r="E5" s="122">
        <v>0.9683268039128</v>
      </c>
      <c r="F5" s="122">
        <v>0.701800370914</v>
      </c>
      <c r="G5" s="122">
        <v>4066.97257643376</v>
      </c>
      <c r="H5" s="122">
        <v>2947.5615578388</v>
      </c>
      <c r="I5" s="122">
        <v>0.87605588664</v>
      </c>
      <c r="J5" s="122">
        <v>5.81247270859873e-5</v>
      </c>
    </row>
    <row r="6" ht="22.5" customHeight="1" spans="1:10">
      <c r="A6" s="120"/>
      <c r="B6" s="120"/>
      <c r="C6" s="121" t="s">
        <v>67</v>
      </c>
      <c r="D6" s="120">
        <v>2400</v>
      </c>
      <c r="E6" s="122">
        <v>4.4629715803008</v>
      </c>
      <c r="F6" s="122">
        <v>3.251171349888</v>
      </c>
      <c r="G6" s="122">
        <v>10711.1317927219</v>
      </c>
      <c r="H6" s="122">
        <v>7802.8112397312</v>
      </c>
      <c r="I6" s="122">
        <v>7.88450297976</v>
      </c>
      <c r="J6" s="122">
        <v>0.000523122543773885</v>
      </c>
    </row>
    <row r="7" ht="22.5" customHeight="1" spans="1:10">
      <c r="A7" s="120" t="s">
        <v>108</v>
      </c>
      <c r="B7" s="120" t="s">
        <v>17</v>
      </c>
      <c r="C7" s="121" t="s">
        <v>28</v>
      </c>
      <c r="D7" s="120">
        <v>26</v>
      </c>
      <c r="E7" s="122">
        <v>175.973025527277</v>
      </c>
      <c r="F7" s="122">
        <v>117.404091161164</v>
      </c>
      <c r="G7" s="122">
        <v>4575.29866370921</v>
      </c>
      <c r="H7" s="122">
        <v>3052.50637019026</v>
      </c>
      <c r="I7" s="122">
        <v>1939.01829669464</v>
      </c>
      <c r="J7" s="122">
        <v>0.12865036469577</v>
      </c>
    </row>
    <row r="8" ht="22.5" customHeight="1" spans="1:10">
      <c r="A8" s="120"/>
      <c r="B8" s="120"/>
      <c r="C8" s="121" t="s">
        <v>55</v>
      </c>
      <c r="D8" s="121">
        <v>40</v>
      </c>
      <c r="E8" s="122">
        <v>211.556394858289</v>
      </c>
      <c r="F8" s="122">
        <v>153.706315501173</v>
      </c>
      <c r="G8" s="122">
        <v>8462.25579433156</v>
      </c>
      <c r="H8" s="122">
        <v>6148.25262004693</v>
      </c>
      <c r="I8" s="122">
        <v>3800.76846418764</v>
      </c>
      <c r="J8" s="122">
        <v>0.252174128462556</v>
      </c>
    </row>
    <row r="9" ht="22.5" customHeight="1" spans="1:10">
      <c r="A9" s="120"/>
      <c r="B9" s="120" t="s">
        <v>102</v>
      </c>
      <c r="C9" s="121" t="s">
        <v>44</v>
      </c>
      <c r="D9" s="120">
        <v>400</v>
      </c>
      <c r="E9" s="122">
        <v>0.460472259460725</v>
      </c>
      <c r="F9" s="122">
        <v>0.334822888976962</v>
      </c>
      <c r="G9" s="122">
        <v>184.18890378429</v>
      </c>
      <c r="H9" s="122">
        <v>133.929155590785</v>
      </c>
      <c r="I9" s="122">
        <v>1.75211177328</v>
      </c>
      <c r="J9" s="122">
        <v>0.000116249454171975</v>
      </c>
    </row>
    <row r="10" ht="22.5" customHeight="1" spans="1:10">
      <c r="A10" s="120"/>
      <c r="B10" s="120"/>
      <c r="C10" s="121" t="s">
        <v>66</v>
      </c>
      <c r="D10" s="120">
        <v>700</v>
      </c>
      <c r="E10" s="122">
        <v>0.9683268039128</v>
      </c>
      <c r="F10" s="122">
        <v>0.701800370914</v>
      </c>
      <c r="G10" s="122">
        <v>677.82876273896</v>
      </c>
      <c r="H10" s="122">
        <v>491.2602596398</v>
      </c>
      <c r="I10" s="122">
        <v>0.87605588664</v>
      </c>
      <c r="J10" s="122">
        <v>5.81247270859873e-5</v>
      </c>
    </row>
    <row r="11" ht="22.5" customHeight="1" spans="1:10">
      <c r="A11" s="120" t="s">
        <v>110</v>
      </c>
      <c r="B11" s="120" t="s">
        <v>17</v>
      </c>
      <c r="C11" s="121" t="s">
        <v>18</v>
      </c>
      <c r="D11" s="120">
        <v>4</v>
      </c>
      <c r="E11" s="122">
        <v>67.33312587728</v>
      </c>
      <c r="F11" s="122">
        <v>59.99436556368</v>
      </c>
      <c r="G11" s="122">
        <v>269.33250350912</v>
      </c>
      <c r="H11" s="122">
        <v>239.97746225472</v>
      </c>
      <c r="I11" s="122">
        <v>2384.62412343408</v>
      </c>
      <c r="J11" s="122">
        <v>0.158215507128057</v>
      </c>
    </row>
    <row r="12" ht="22.5" customHeight="1" spans="1:10">
      <c r="A12" s="120"/>
      <c r="B12" s="120"/>
      <c r="C12" s="121" t="s">
        <v>60</v>
      </c>
      <c r="D12" s="121">
        <v>4</v>
      </c>
      <c r="E12" s="122">
        <v>219.928330738105</v>
      </c>
      <c r="F12" s="122">
        <v>159.94787690044</v>
      </c>
      <c r="G12" s="122">
        <v>879.71332295242</v>
      </c>
      <c r="H12" s="122">
        <v>639.79150760176</v>
      </c>
      <c r="I12" s="122">
        <v>5612.89006570248</v>
      </c>
      <c r="J12" s="122">
        <v>0.37240512643992</v>
      </c>
    </row>
    <row r="13" ht="22.5" customHeight="1" spans="1:10">
      <c r="A13" s="120"/>
      <c r="B13" s="120" t="s">
        <v>36</v>
      </c>
      <c r="C13" s="121" t="s">
        <v>111</v>
      </c>
      <c r="D13" s="120">
        <v>10</v>
      </c>
      <c r="E13" s="122">
        <v>6.316721701005</v>
      </c>
      <c r="F13" s="122">
        <v>4.595757274725</v>
      </c>
      <c r="G13" s="122">
        <v>63.16721701005</v>
      </c>
      <c r="H13" s="122">
        <v>45.95757274725</v>
      </c>
      <c r="I13" s="122">
        <v>8141.23115733985</v>
      </c>
      <c r="J13" s="122">
        <v>0.540155995046434</v>
      </c>
    </row>
    <row r="14" ht="22.5" customHeight="1" spans="1:10">
      <c r="A14" s="120"/>
      <c r="B14" s="120"/>
      <c r="C14" s="121" t="s">
        <v>38</v>
      </c>
      <c r="D14" s="120">
        <v>120</v>
      </c>
      <c r="E14" s="122">
        <v>24.603193951344</v>
      </c>
      <c r="F14" s="122">
        <v>17.8962958741968</v>
      </c>
      <c r="G14" s="122">
        <v>2952.38327416128</v>
      </c>
      <c r="H14" s="122">
        <v>2147.55550490362</v>
      </c>
      <c r="I14" s="122">
        <v>2258.47207575792</v>
      </c>
      <c r="J14" s="122">
        <v>0.149845546427675</v>
      </c>
    </row>
    <row r="15" ht="22.5" customHeight="1" spans="1:10">
      <c r="A15" s="120"/>
      <c r="B15" s="120"/>
      <c r="C15" s="121" t="s">
        <v>61</v>
      </c>
      <c r="D15" s="120">
        <v>30</v>
      </c>
      <c r="E15" s="122">
        <v>37.809576381656</v>
      </c>
      <c r="F15" s="122">
        <v>27.4765244512655</v>
      </c>
      <c r="G15" s="122">
        <v>1134.28729144968</v>
      </c>
      <c r="H15" s="122">
        <v>824.295733537966</v>
      </c>
      <c r="I15" s="122">
        <v>2785.8577195152</v>
      </c>
      <c r="J15" s="122">
        <v>0.184836632133439</v>
      </c>
    </row>
    <row r="16" ht="22.5" customHeight="1" spans="1:10">
      <c r="A16" s="120"/>
      <c r="B16" s="120"/>
      <c r="C16" s="121" t="s">
        <v>43</v>
      </c>
      <c r="D16" s="120">
        <v>94</v>
      </c>
      <c r="E16" s="122">
        <v>0.05121188637075</v>
      </c>
      <c r="F16" s="122">
        <v>0.03712184355975</v>
      </c>
      <c r="G16" s="122">
        <v>4.8139173188505</v>
      </c>
      <c r="H16" s="122">
        <v>3.4894532946165</v>
      </c>
      <c r="I16" s="122">
        <v>3924.7303721472</v>
      </c>
      <c r="J16" s="122">
        <v>0.260398777345223</v>
      </c>
    </row>
    <row r="17" ht="22.5" customHeight="1" spans="1:10">
      <c r="A17" s="120" t="s">
        <v>116</v>
      </c>
      <c r="B17" s="120" t="s">
        <v>17</v>
      </c>
      <c r="C17" s="121" t="s">
        <v>22</v>
      </c>
      <c r="D17" s="120">
        <v>10</v>
      </c>
      <c r="E17" s="122">
        <v>449.02186129206</v>
      </c>
      <c r="F17" s="122">
        <v>326.62085828679</v>
      </c>
      <c r="G17" s="122">
        <v>4490.2186129206</v>
      </c>
      <c r="H17" s="122">
        <v>3266.2085828679</v>
      </c>
      <c r="I17" s="122">
        <v>2225.1819520656</v>
      </c>
      <c r="J17" s="122">
        <v>0.147636806798408</v>
      </c>
    </row>
    <row r="18" ht="22.5" customHeight="1" spans="1:10">
      <c r="A18" s="120"/>
      <c r="B18" s="120"/>
      <c r="C18" s="121" t="s">
        <v>40</v>
      </c>
      <c r="D18" s="120">
        <v>40</v>
      </c>
      <c r="E18" s="122">
        <v>21.1195950145376</v>
      </c>
      <c r="F18" s="122">
        <v>15.3668111763808</v>
      </c>
      <c r="G18" s="122">
        <v>844.783800581504</v>
      </c>
      <c r="H18" s="122">
        <v>614.672447055232</v>
      </c>
      <c r="I18" s="122">
        <v>5788.49546817947</v>
      </c>
      <c r="J18" s="122">
        <v>0.384056227984306</v>
      </c>
    </row>
    <row r="19" ht="22.5" customHeight="1" spans="1:10">
      <c r="A19" s="120"/>
      <c r="B19" s="120" t="s">
        <v>36</v>
      </c>
      <c r="C19" s="121" t="s">
        <v>38</v>
      </c>
      <c r="D19" s="120">
        <v>80</v>
      </c>
      <c r="E19" s="122">
        <v>24.603193951344</v>
      </c>
      <c r="F19" s="122">
        <v>17.8962958741968</v>
      </c>
      <c r="G19" s="122">
        <v>1968.25551610752</v>
      </c>
      <c r="H19" s="122">
        <v>1431.70366993574</v>
      </c>
      <c r="I19" s="122">
        <v>2258.47207575792</v>
      </c>
      <c r="J19" s="122">
        <v>0.149845546427675</v>
      </c>
    </row>
    <row r="20" ht="22.5" customHeight="1" spans="1:10">
      <c r="A20" s="120"/>
      <c r="B20" s="120"/>
      <c r="C20" s="121" t="s">
        <v>39</v>
      </c>
      <c r="D20" s="120">
        <v>80</v>
      </c>
      <c r="E20" s="122">
        <v>5.03157470816</v>
      </c>
      <c r="F20" s="122">
        <v>4.02249516504</v>
      </c>
      <c r="G20" s="122">
        <v>402.5259766528</v>
      </c>
      <c r="H20" s="122">
        <v>321.7996132032</v>
      </c>
      <c r="I20" s="122">
        <v>2464.78323706164</v>
      </c>
      <c r="J20" s="122">
        <v>0.163533919656425</v>
      </c>
    </row>
    <row r="21" ht="22.5" customHeight="1" spans="1:10">
      <c r="A21" s="120"/>
      <c r="B21" s="120"/>
      <c r="C21" s="121" t="s">
        <v>62</v>
      </c>
      <c r="D21" s="120">
        <v>40</v>
      </c>
      <c r="E21" s="122">
        <v>137.71879277072</v>
      </c>
      <c r="F21" s="122">
        <v>100.20341407964</v>
      </c>
      <c r="G21" s="122">
        <v>5508.75171082882</v>
      </c>
      <c r="H21" s="122">
        <v>4008.13656318559</v>
      </c>
      <c r="I21" s="122">
        <v>4521.32443094904</v>
      </c>
      <c r="J21" s="122">
        <v>0.29998171649078</v>
      </c>
    </row>
    <row r="22" ht="22.5" customHeight="1" spans="1:10">
      <c r="A22" s="120"/>
      <c r="B22" s="120"/>
      <c r="C22" s="121" t="s">
        <v>41</v>
      </c>
      <c r="D22" s="120">
        <v>80</v>
      </c>
      <c r="E22" s="122">
        <v>2.5657826587164</v>
      </c>
      <c r="F22" s="122">
        <v>1.864409544396</v>
      </c>
      <c r="G22" s="122">
        <v>205.262612697312</v>
      </c>
      <c r="H22" s="122">
        <v>149.15276355168</v>
      </c>
      <c r="I22" s="122">
        <v>968.0417547372</v>
      </c>
      <c r="J22" s="122">
        <v>0.0642278234300159</v>
      </c>
    </row>
    <row r="23" ht="22.5" customHeight="1" spans="1:10">
      <c r="A23" s="120"/>
      <c r="B23" s="120" t="s">
        <v>102</v>
      </c>
      <c r="C23" s="121" t="s">
        <v>44</v>
      </c>
      <c r="D23" s="120">
        <v>900</v>
      </c>
      <c r="E23" s="122">
        <v>0.460472259460725</v>
      </c>
      <c r="F23" s="122">
        <v>0.334822888976962</v>
      </c>
      <c r="G23" s="122">
        <v>414.425033514652</v>
      </c>
      <c r="H23" s="122">
        <v>301.340600079266</v>
      </c>
      <c r="I23" s="122">
        <v>1.75211177328</v>
      </c>
      <c r="J23" s="122">
        <v>0.000116249454171975</v>
      </c>
    </row>
    <row r="24" ht="22.5" customHeight="1" spans="1:10">
      <c r="A24" s="120"/>
      <c r="B24" s="120"/>
      <c r="C24" s="121" t="s">
        <v>66</v>
      </c>
      <c r="D24" s="120">
        <v>1900</v>
      </c>
      <c r="E24" s="122">
        <v>0.9683268039128</v>
      </c>
      <c r="F24" s="122">
        <v>0.701800370914</v>
      </c>
      <c r="G24" s="122">
        <v>1839.82092743432</v>
      </c>
      <c r="H24" s="122">
        <v>1333.4207047366</v>
      </c>
      <c r="I24" s="122">
        <v>0.87605588664</v>
      </c>
      <c r="J24" s="122">
        <v>5.81247270859873e-5</v>
      </c>
    </row>
    <row r="25" ht="22.5" customHeight="1" spans="1:10">
      <c r="A25" s="123"/>
      <c r="B25" s="123"/>
      <c r="C25" s="124"/>
      <c r="D25" s="123"/>
      <c r="E25" s="125"/>
      <c r="F25" s="125"/>
      <c r="G25" s="125"/>
      <c r="H25" s="125"/>
      <c r="I25" s="125"/>
      <c r="J25" s="125"/>
    </row>
    <row r="26" ht="22.5" customHeight="1" spans="1:10">
      <c r="A26" s="126"/>
      <c r="B26" s="126"/>
      <c r="C26" s="127"/>
      <c r="D26" s="126"/>
      <c r="E26" s="125"/>
      <c r="F26" s="125"/>
      <c r="G26" s="125"/>
      <c r="H26" s="125"/>
      <c r="I26" s="125"/>
      <c r="J26" s="125"/>
    </row>
  </sheetData>
  <mergeCells count="12">
    <mergeCell ref="A7:A10"/>
    <mergeCell ref="A11:A16"/>
    <mergeCell ref="A17:A24"/>
    <mergeCell ref="B7:B8"/>
    <mergeCell ref="B9:B10"/>
    <mergeCell ref="B11:B12"/>
    <mergeCell ref="B13:B16"/>
    <mergeCell ref="B17:B18"/>
    <mergeCell ref="B19:B22"/>
    <mergeCell ref="B23:B24"/>
    <mergeCell ref="A2:B3"/>
    <mergeCell ref="A4:B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0"/>
  <sheetViews>
    <sheetView tabSelected="1" workbookViewId="0">
      <pane xSplit="1" topLeftCell="J1" activePane="topRight" state="frozen"/>
      <selection/>
      <selection pane="topRight" activeCell="T32" sqref="T32"/>
    </sheetView>
  </sheetViews>
  <sheetFormatPr defaultColWidth="8.73333333333333" defaultRowHeight="13.5"/>
  <cols>
    <col min="1" max="1" width="6.64166666666667" style="1" customWidth="1"/>
    <col min="2" max="2" width="4.64166666666667" style="1" customWidth="1"/>
    <col min="3" max="3" width="6.90833333333333" style="1" customWidth="1"/>
    <col min="4" max="4" width="8.55833333333333" style="1" customWidth="1"/>
    <col min="5" max="5" width="7.55833333333333" style="1" customWidth="1"/>
    <col min="6" max="6" width="7" style="1" customWidth="1"/>
    <col min="7" max="7" width="7.55833333333333" style="1" customWidth="1"/>
    <col min="8" max="8" width="8.09166666666667" style="1" customWidth="1"/>
    <col min="9" max="9" width="7.90833333333333" style="1" customWidth="1"/>
    <col min="10" max="11" width="8.55833333333333" style="1" customWidth="1"/>
    <col min="12" max="12" width="7.55833333333333" style="1" customWidth="1"/>
    <col min="13" max="14" width="8.55833333333333" style="1" customWidth="1"/>
    <col min="15" max="15" width="9.55833333333333" style="102" customWidth="1"/>
    <col min="16" max="16" width="8.55833333333333" style="102" customWidth="1"/>
    <col min="17" max="17" width="9.55833333333333" style="1" customWidth="1"/>
    <col min="18" max="18" width="12.9083333333333" style="1" customWidth="1"/>
    <col min="19" max="20" width="7.55833333333333" style="1" customWidth="1"/>
    <col min="21" max="22" width="6.55833333333333" style="1" customWidth="1"/>
    <col min="23" max="23" width="7.55833333333333" style="1" customWidth="1"/>
    <col min="24" max="24" width="6.55833333333333" style="1" customWidth="1"/>
    <col min="25" max="27" width="7.55833333333333" style="1" customWidth="1"/>
    <col min="28" max="16384" width="8.73333333333333" style="1"/>
  </cols>
  <sheetData>
    <row r="1" ht="45" spans="1:26">
      <c r="A1" s="15" t="s">
        <v>71</v>
      </c>
      <c r="B1" s="15" t="s">
        <v>72</v>
      </c>
      <c r="C1" s="103" t="s">
        <v>48</v>
      </c>
      <c r="D1" s="15" t="s">
        <v>73</v>
      </c>
      <c r="E1" s="15" t="s">
        <v>74</v>
      </c>
      <c r="F1" s="15" t="s">
        <v>76</v>
      </c>
      <c r="G1" s="15" t="s">
        <v>77</v>
      </c>
      <c r="H1" s="15" t="s">
        <v>78</v>
      </c>
      <c r="I1" s="15" t="s">
        <v>79</v>
      </c>
      <c r="J1" s="15" t="s">
        <v>80</v>
      </c>
      <c r="K1" s="15" t="s">
        <v>82</v>
      </c>
      <c r="L1" s="15" t="s">
        <v>83</v>
      </c>
      <c r="M1" s="15" t="s">
        <v>84</v>
      </c>
      <c r="N1" s="15" t="s">
        <v>85</v>
      </c>
      <c r="O1" s="28" t="s">
        <v>86</v>
      </c>
      <c r="P1" s="28" t="s">
        <v>87</v>
      </c>
      <c r="Q1" s="15" t="s">
        <v>88</v>
      </c>
      <c r="R1" s="15" t="s">
        <v>89</v>
      </c>
      <c r="S1" s="15" t="s">
        <v>90</v>
      </c>
      <c r="T1" s="28" t="s">
        <v>91</v>
      </c>
      <c r="U1" s="15" t="s">
        <v>92</v>
      </c>
      <c r="V1" s="15" t="s">
        <v>93</v>
      </c>
      <c r="W1" s="15" t="s">
        <v>94</v>
      </c>
      <c r="X1" s="29" t="s">
        <v>95</v>
      </c>
      <c r="Y1" s="15" t="s">
        <v>96</v>
      </c>
      <c r="Z1" s="15" t="s">
        <v>97</v>
      </c>
    </row>
    <row r="2" spans="1:27">
      <c r="A2" s="17" t="s">
        <v>17</v>
      </c>
      <c r="B2" s="17"/>
      <c r="C2" s="104" t="s">
        <v>18</v>
      </c>
      <c r="D2" s="17">
        <v>5</v>
      </c>
      <c r="E2" s="17">
        <v>1.46</v>
      </c>
      <c r="F2" s="17">
        <v>3.5</v>
      </c>
      <c r="G2" s="17">
        <f>3.1415926*F2*F2/4</f>
        <v>9.6211273375</v>
      </c>
      <c r="H2" s="17">
        <v>3.67</v>
      </c>
      <c r="I2" s="17">
        <v>3.27</v>
      </c>
      <c r="J2" s="113">
        <v>54.44</v>
      </c>
      <c r="K2" s="23">
        <f>H2*E2</f>
        <v>5.3582</v>
      </c>
      <c r="L2" s="17">
        <f>I2*E2</f>
        <v>4.7742</v>
      </c>
      <c r="M2" s="17">
        <f>K2*G2</f>
        <v>51.5519244997925</v>
      </c>
      <c r="N2" s="17">
        <f>L2*G2</f>
        <v>45.9331861346925</v>
      </c>
      <c r="O2" s="30">
        <f>M2*D2</f>
        <v>257.759622498963</v>
      </c>
      <c r="P2" s="30">
        <f>N2*D2</f>
        <v>229.665930673462</v>
      </c>
      <c r="Q2" s="17">
        <f>18*J2</f>
        <v>979.92</v>
      </c>
      <c r="R2" s="17">
        <f>Q2*4.18*天气!D9</f>
        <v>2369294.10639821</v>
      </c>
      <c r="S2" s="17">
        <f>R2/12/1256/1000</f>
        <v>0.157198388163363</v>
      </c>
      <c r="T2" s="30">
        <f>32.58-S2</f>
        <v>32.4228016118366</v>
      </c>
      <c r="U2" s="17">
        <f>Q2/1000</f>
        <v>0.97992</v>
      </c>
      <c r="V2" s="17">
        <f>U2*(天气!B6+273.15)/217</f>
        <v>1.38656422119816</v>
      </c>
      <c r="W2" s="17">
        <f>V2/34.643</f>
        <v>0.0400243691712079</v>
      </c>
      <c r="X2" s="31">
        <f>0.54+W2</f>
        <v>0.580024369171208</v>
      </c>
      <c r="Y2" s="17">
        <f>W2*G2*D2</f>
        <v>1.9253977619965</v>
      </c>
      <c r="Z2" s="17">
        <f>(0.8288*T2+0.0613*T2+0.007377*238.02+13.8297*X2-8.7284)*1.36-0.0551</f>
        <v>40.6205582913111</v>
      </c>
      <c r="AA2" s="1">
        <f>AVERAGE(Z2:Z3)</f>
        <v>40.6685009563821</v>
      </c>
    </row>
    <row r="3" spans="1:26">
      <c r="A3" s="17"/>
      <c r="B3" s="17"/>
      <c r="C3" s="104" t="s">
        <v>20</v>
      </c>
      <c r="D3" s="17">
        <v>0</v>
      </c>
      <c r="E3" s="17">
        <v>4.56</v>
      </c>
      <c r="F3" s="17">
        <v>2.8</v>
      </c>
      <c r="G3" s="17">
        <f>3.1415926*F3*F3/4</f>
        <v>6.157521496</v>
      </c>
      <c r="H3" s="17">
        <v>22.39</v>
      </c>
      <c r="I3" s="17">
        <v>16.28</v>
      </c>
      <c r="J3" s="17">
        <v>63.72</v>
      </c>
      <c r="K3" s="23">
        <f>H3*E3</f>
        <v>102.0984</v>
      </c>
      <c r="L3" s="17">
        <f>I3*E3</f>
        <v>74.2368</v>
      </c>
      <c r="M3" s="17">
        <f>K3*G3</f>
        <v>628.673092707206</v>
      </c>
      <c r="N3" s="17">
        <f>L3*G3</f>
        <v>457.114691794253</v>
      </c>
      <c r="O3" s="30">
        <f>M3*D3</f>
        <v>0</v>
      </c>
      <c r="P3" s="30">
        <f>N3*D3</f>
        <v>0</v>
      </c>
      <c r="Q3" s="17">
        <f>18*J3</f>
        <v>1146.96</v>
      </c>
      <c r="R3" s="17">
        <f>Q3*4.18*天气!D9</f>
        <v>2773170.8387159</v>
      </c>
      <c r="S3" s="17">
        <f>R3/12/1256/1000</f>
        <v>0.183994880488051</v>
      </c>
      <c r="T3" s="30">
        <f t="shared" ref="T3:T28" si="0">32.58-S3</f>
        <v>32.3960051195119</v>
      </c>
      <c r="U3" s="17">
        <f>Q3/1000</f>
        <v>1.14696</v>
      </c>
      <c r="V3" s="17">
        <f>U3*(天气!B6+273.15)/217</f>
        <v>1.62292197235023</v>
      </c>
      <c r="W3" s="17">
        <f>V3/34.643</f>
        <v>0.046847039007887</v>
      </c>
      <c r="X3" s="31">
        <f>0.54+W3</f>
        <v>0.586847039007887</v>
      </c>
      <c r="Y3" s="17">
        <f>W3*G3*D3</f>
        <v>0</v>
      </c>
      <c r="Z3" s="17">
        <f>(0.8288*T3+0.0613*T3+0.007377*238.02+13.8297*X3-8.7284)*1.36-0.0551</f>
        <v>40.7164436214531</v>
      </c>
    </row>
    <row r="4" s="101" customFormat="1" spans="1:26">
      <c r="A4" s="105"/>
      <c r="B4" s="105"/>
      <c r="C4" s="106"/>
      <c r="D4" s="105"/>
      <c r="E4" s="105"/>
      <c r="F4" s="105"/>
      <c r="G4" s="105"/>
      <c r="H4" s="105"/>
      <c r="I4" s="105"/>
      <c r="J4" s="105"/>
      <c r="K4" s="114"/>
      <c r="L4" s="105"/>
      <c r="M4" s="105"/>
      <c r="N4" s="105"/>
      <c r="O4" s="105">
        <f>SUM(O2:O3)</f>
        <v>257.759622498963</v>
      </c>
      <c r="P4" s="105">
        <f>SUM(P2:P3)</f>
        <v>229.665930673462</v>
      </c>
      <c r="Q4" s="105"/>
      <c r="R4" s="105"/>
      <c r="S4" s="105"/>
      <c r="T4" s="30">
        <f t="shared" si="0"/>
        <v>32.58</v>
      </c>
      <c r="U4" s="105"/>
      <c r="V4" s="105"/>
      <c r="W4" s="105"/>
      <c r="X4" s="105"/>
      <c r="Y4" s="105"/>
      <c r="Z4" s="105"/>
    </row>
    <row r="5" spans="1:27">
      <c r="A5" s="18" t="s">
        <v>102</v>
      </c>
      <c r="B5" s="18"/>
      <c r="C5" s="107" t="s">
        <v>44</v>
      </c>
      <c r="D5" s="18"/>
      <c r="E5" s="18">
        <v>4.11</v>
      </c>
      <c r="F5" s="18">
        <v>0.15</v>
      </c>
      <c r="G5" s="18">
        <f>3.1415926*F5*F5/4</f>
        <v>0.017671458375</v>
      </c>
      <c r="H5" s="18">
        <v>6.34</v>
      </c>
      <c r="I5" s="18">
        <v>4.61</v>
      </c>
      <c r="J5" s="115">
        <v>0.04</v>
      </c>
      <c r="K5" s="25">
        <f>H5*E5</f>
        <v>26.0574</v>
      </c>
      <c r="L5" s="18">
        <f>I5*E5</f>
        <v>18.9471</v>
      </c>
      <c r="M5" s="18">
        <f>K5*G5</f>
        <v>0.460472259460725</v>
      </c>
      <c r="N5" s="17">
        <f>L5*G5</f>
        <v>0.334822888976962</v>
      </c>
      <c r="O5" s="30">
        <f>M5*D5</f>
        <v>0</v>
      </c>
      <c r="P5" s="30">
        <f>N5*D5</f>
        <v>0</v>
      </c>
      <c r="Q5" s="17">
        <f>18*J5</f>
        <v>0.72</v>
      </c>
      <c r="R5" s="17">
        <f>Q5*4.18*天气!D9</f>
        <v>1740.847984128</v>
      </c>
      <c r="S5" s="17">
        <f>R5/12/1256/1000</f>
        <v>0.000115502122089172</v>
      </c>
      <c r="T5" s="30">
        <f t="shared" si="0"/>
        <v>32.5798844978779</v>
      </c>
      <c r="U5" s="17">
        <f>Q5/1000</f>
        <v>0.00072</v>
      </c>
      <c r="V5" s="17">
        <f>U5*(天气!B6+273.15)/217</f>
        <v>0.00101878341013825</v>
      </c>
      <c r="W5" s="17">
        <f>V5/34.643</f>
        <v>2.94080596408581e-5</v>
      </c>
      <c r="X5" s="31">
        <f>0.54+W5</f>
        <v>0.540029408059641</v>
      </c>
      <c r="Y5" s="17">
        <f>W5*G5*D5</f>
        <v>0</v>
      </c>
      <c r="Z5" s="17">
        <f>(0.8288*T5+0.0613*T5+0.007377*238.02+13.8297*X5-8.7284)*1.36-0.0551</f>
        <v>40.0584718732368</v>
      </c>
      <c r="AA5" s="1">
        <f>AVERAGE(Z5:Z7)</f>
        <v>40.0588851720736</v>
      </c>
    </row>
    <row r="6" spans="1:26">
      <c r="A6" s="18"/>
      <c r="B6" s="18"/>
      <c r="C6" s="107" t="s">
        <v>66</v>
      </c>
      <c r="D6" s="18">
        <v>200</v>
      </c>
      <c r="E6" s="18">
        <v>5.02</v>
      </c>
      <c r="F6" s="18">
        <v>0.2</v>
      </c>
      <c r="G6" s="18">
        <f>3.1415926*F6*F6/4</f>
        <v>0.031415926</v>
      </c>
      <c r="H6" s="18">
        <v>6.14</v>
      </c>
      <c r="I6" s="18">
        <v>4.45</v>
      </c>
      <c r="J6" s="115">
        <v>0.02</v>
      </c>
      <c r="K6" s="25">
        <f>H6*E6</f>
        <v>30.8228</v>
      </c>
      <c r="L6" s="18">
        <f>I6*E6</f>
        <v>22.339</v>
      </c>
      <c r="M6" s="18">
        <f>K6*G6</f>
        <v>0.9683268039128</v>
      </c>
      <c r="N6" s="17">
        <f>L6*G6</f>
        <v>0.701800370914</v>
      </c>
      <c r="O6" s="30">
        <f>M6*D6</f>
        <v>193.66536078256</v>
      </c>
      <c r="P6" s="30">
        <f>N6*D6</f>
        <v>140.3600741828</v>
      </c>
      <c r="Q6" s="17">
        <f>18*J6</f>
        <v>0.36</v>
      </c>
      <c r="R6" s="17">
        <f>Q6*4.18*天气!D9</f>
        <v>870.423992064</v>
      </c>
      <c r="S6" s="17">
        <f>R6/12/1256/1000</f>
        <v>5.7751061044586e-5</v>
      </c>
      <c r="T6" s="30">
        <f t="shared" si="0"/>
        <v>32.579942248939</v>
      </c>
      <c r="U6" s="17">
        <f>Q6/1000</f>
        <v>0.00036</v>
      </c>
      <c r="V6" s="17">
        <f>U6*(天气!B6+273.15)/217</f>
        <v>0.000509391705069124</v>
      </c>
      <c r="W6" s="17">
        <f>V6/34.643</f>
        <v>1.47040298204291e-5</v>
      </c>
      <c r="X6" s="31">
        <f>0.54+W6</f>
        <v>0.54001470402982</v>
      </c>
      <c r="Y6" s="17">
        <f>W6*G6*D6</f>
        <v>9.23881425480786e-5</v>
      </c>
      <c r="Z6" s="17">
        <f>(0.8288*T6+0.0613*T6+0.007377*238.02+13.8297*X6-8.7284)*1.36-0.0551</f>
        <v>40.0582652238184</v>
      </c>
    </row>
    <row r="7" spans="1:26">
      <c r="A7" s="18"/>
      <c r="B7" s="18"/>
      <c r="C7" s="107" t="s">
        <v>67</v>
      </c>
      <c r="D7" s="18">
        <v>0</v>
      </c>
      <c r="E7" s="18">
        <v>10.24</v>
      </c>
      <c r="F7" s="18">
        <v>0.35</v>
      </c>
      <c r="G7" s="18">
        <f>3.1415926*F7*F7/4</f>
        <v>0.096211273375</v>
      </c>
      <c r="H7" s="18">
        <v>4.53</v>
      </c>
      <c r="I7" s="18">
        <v>3.3</v>
      </c>
      <c r="J7" s="115">
        <v>0.18</v>
      </c>
      <c r="K7" s="25">
        <f>H7*E7</f>
        <v>46.3872</v>
      </c>
      <c r="L7" s="18">
        <f>I7*E7</f>
        <v>33.792</v>
      </c>
      <c r="M7" s="18">
        <f>K7*G7</f>
        <v>4.4629715803008</v>
      </c>
      <c r="N7" s="17">
        <f>L7*G7</f>
        <v>3.251171349888</v>
      </c>
      <c r="O7" s="30">
        <f>M7*D7</f>
        <v>0</v>
      </c>
      <c r="P7" s="30">
        <f>N7*D7</f>
        <v>0</v>
      </c>
      <c r="Q7" s="17">
        <f>18*J7</f>
        <v>3.24</v>
      </c>
      <c r="R7" s="17">
        <f>Q7*4.18*天气!D9</f>
        <v>7833.815928576</v>
      </c>
      <c r="S7" s="17">
        <f>R7/12/1256/1000</f>
        <v>0.000519759549401274</v>
      </c>
      <c r="T7" s="30">
        <f t="shared" si="0"/>
        <v>32.5794802404506</v>
      </c>
      <c r="U7" s="17">
        <f>Q7/1000</f>
        <v>0.00324</v>
      </c>
      <c r="V7" s="17">
        <f>U7*(天气!B6+273.15)/217</f>
        <v>0.00458452534562212</v>
      </c>
      <c r="W7" s="17">
        <f>V7/34.643</f>
        <v>0.000132336268383862</v>
      </c>
      <c r="X7" s="31">
        <f>0.54+W7</f>
        <v>0.540132336268384</v>
      </c>
      <c r="Y7" s="17">
        <f>W7*G7*D7</f>
        <v>0</v>
      </c>
      <c r="Z7" s="17">
        <f>(0.8288*T7+0.0613*T7+0.007377*238.02+13.8297*X7-8.7284)*1.36-0.0551</f>
        <v>40.0599184191657</v>
      </c>
    </row>
    <row r="8" s="101" customFormat="1" spans="1:26">
      <c r="A8" s="108"/>
      <c r="B8" s="105"/>
      <c r="C8" s="106"/>
      <c r="D8" s="105"/>
      <c r="E8" s="105"/>
      <c r="F8" s="105"/>
      <c r="G8" s="105"/>
      <c r="H8" s="105"/>
      <c r="I8" s="105"/>
      <c r="J8" s="116"/>
      <c r="K8" s="114"/>
      <c r="L8" s="105"/>
      <c r="M8" s="105"/>
      <c r="N8" s="105"/>
      <c r="O8" s="105">
        <f>SUM(O5:O7)</f>
        <v>193.66536078256</v>
      </c>
      <c r="P8" s="105">
        <f>SUM(P5:P7)</f>
        <v>140.3600741828</v>
      </c>
      <c r="Q8" s="105"/>
      <c r="R8" s="105"/>
      <c r="S8" s="105"/>
      <c r="T8" s="30">
        <f t="shared" si="0"/>
        <v>32.58</v>
      </c>
      <c r="U8" s="105"/>
      <c r="V8" s="105"/>
      <c r="W8" s="105"/>
      <c r="X8" s="105"/>
      <c r="Y8" s="105"/>
      <c r="Z8" s="105"/>
    </row>
    <row r="9" spans="1:27">
      <c r="A9" s="109" t="s">
        <v>108</v>
      </c>
      <c r="B9" s="17" t="s">
        <v>17</v>
      </c>
      <c r="C9" s="104" t="s">
        <v>28</v>
      </c>
      <c r="D9" s="17">
        <v>5</v>
      </c>
      <c r="E9" s="17">
        <v>3.17</v>
      </c>
      <c r="F9" s="17">
        <v>3.27</v>
      </c>
      <c r="G9" s="17">
        <f>3.1415926*F9*F9/4</f>
        <v>8.398183878135</v>
      </c>
      <c r="H9" s="17">
        <v>6.61</v>
      </c>
      <c r="I9" s="17">
        <v>4.41</v>
      </c>
      <c r="J9" s="113">
        <v>44.267</v>
      </c>
      <c r="K9" s="23">
        <f>H9*E9</f>
        <v>20.9537</v>
      </c>
      <c r="L9" s="17">
        <f>I9*E9</f>
        <v>13.9797</v>
      </c>
      <c r="M9" s="17">
        <f>K9*G9</f>
        <v>175.973025527277</v>
      </c>
      <c r="N9" s="17">
        <f>L9*G9</f>
        <v>117.404091161164</v>
      </c>
      <c r="O9" s="30">
        <f>M9*D9</f>
        <v>879.865127636387</v>
      </c>
      <c r="P9" s="30">
        <f>N9*D9</f>
        <v>587.020455805819</v>
      </c>
      <c r="Q9" s="17">
        <f>18*J9</f>
        <v>796.806</v>
      </c>
      <c r="R9" s="17">
        <f>Q9*4.18*天气!D9</f>
        <v>1926552.94283485</v>
      </c>
      <c r="S9" s="17">
        <f>R9/12/1256/1000</f>
        <v>0.127823310963034</v>
      </c>
      <c r="T9" s="30">
        <f t="shared" si="0"/>
        <v>32.452176689037</v>
      </c>
      <c r="U9" s="17">
        <f>Q9/1000</f>
        <v>0.796806</v>
      </c>
      <c r="V9" s="17">
        <f>U9*(天气!B6+273.15)/217</f>
        <v>1.12746213041475</v>
      </c>
      <c r="W9" s="17">
        <f>V9/34.643</f>
        <v>0.0325451644030467</v>
      </c>
      <c r="X9" s="31">
        <f>0.54+W9</f>
        <v>0.572545164403047</v>
      </c>
      <c r="Y9" s="17">
        <f>W9*G9*D9</f>
        <v>1.3666013750046</v>
      </c>
      <c r="Z9" s="17">
        <f>(0.8288*T9+0.0613*T9+0.007377*238.02+13.8297*X9-8.7284)*1.36-0.0551</f>
        <v>40.515446064637</v>
      </c>
      <c r="AA9" s="1">
        <f>AVERAGE(Z9:Z12)</f>
        <v>40.3966975594656</v>
      </c>
    </row>
    <row r="10" spans="1:26">
      <c r="A10" s="109"/>
      <c r="B10" s="17"/>
      <c r="C10" s="104" t="s">
        <v>55</v>
      </c>
      <c r="D10" s="104">
        <v>0</v>
      </c>
      <c r="E10" s="104">
        <v>2.83</v>
      </c>
      <c r="F10" s="104">
        <v>3.89</v>
      </c>
      <c r="G10" s="17">
        <f>3.1415926*F10*F10/4</f>
        <v>11.884723345615</v>
      </c>
      <c r="H10" s="104">
        <v>6.29</v>
      </c>
      <c r="I10" s="104">
        <v>4.57</v>
      </c>
      <c r="J10" s="113">
        <v>86.77</v>
      </c>
      <c r="K10" s="23">
        <f>H10*E10</f>
        <v>17.8007</v>
      </c>
      <c r="L10" s="17">
        <f>I10*E10</f>
        <v>12.9331</v>
      </c>
      <c r="M10" s="17">
        <f>K10*G10</f>
        <v>211.556394858289</v>
      </c>
      <c r="N10" s="17">
        <f>L10*G10</f>
        <v>153.706315501173</v>
      </c>
      <c r="O10" s="30">
        <f>M10*D10</f>
        <v>0</v>
      </c>
      <c r="P10" s="30">
        <f>N10*D10</f>
        <v>0</v>
      </c>
      <c r="Q10" s="17">
        <f>18*J10</f>
        <v>1561.86</v>
      </c>
      <c r="R10" s="17">
        <f>Q10*4.18*天气!D9</f>
        <v>3776334.48956966</v>
      </c>
      <c r="S10" s="17">
        <f>R10/12/1256/1000</f>
        <v>0.250552978341936</v>
      </c>
      <c r="T10" s="30">
        <f t="shared" si="0"/>
        <v>32.3294470216581</v>
      </c>
      <c r="U10" s="17">
        <f>Q10/1000</f>
        <v>1.56186</v>
      </c>
      <c r="V10" s="17">
        <f>U10*(天气!B6+273.15)/217</f>
        <v>2.2099959124424</v>
      </c>
      <c r="W10" s="17">
        <f>V10/34.643</f>
        <v>0.0637934333759315</v>
      </c>
      <c r="X10" s="31">
        <f>0.54+W10</f>
        <v>0.603793433375932</v>
      </c>
      <c r="Y10" s="17">
        <f>W10*G10*D10</f>
        <v>0</v>
      </c>
      <c r="Z10" s="17">
        <f>(0.8288*T10+0.0613*T10+0.007377*238.02+13.8297*X10-8.7284)*1.36-0.0551</f>
        <v>40.9546070761703</v>
      </c>
    </row>
    <row r="11" spans="1:26">
      <c r="A11" s="18"/>
      <c r="B11" s="18" t="s">
        <v>102</v>
      </c>
      <c r="C11" s="107" t="s">
        <v>44</v>
      </c>
      <c r="D11" s="18">
        <v>0</v>
      </c>
      <c r="E11" s="18">
        <v>4.11</v>
      </c>
      <c r="F11" s="18">
        <v>0.15</v>
      </c>
      <c r="G11" s="18">
        <f>3.1415926*F11*F11/4</f>
        <v>0.017671458375</v>
      </c>
      <c r="H11" s="18">
        <v>6.34</v>
      </c>
      <c r="I11" s="18">
        <v>4.61</v>
      </c>
      <c r="J11" s="115">
        <v>0.04</v>
      </c>
      <c r="K11" s="25">
        <f>H11*E11</f>
        <v>26.0574</v>
      </c>
      <c r="L11" s="18">
        <f>I11*E11</f>
        <v>18.9471</v>
      </c>
      <c r="M11" s="18">
        <f>K11*G11</f>
        <v>0.460472259460725</v>
      </c>
      <c r="N11" s="17">
        <f>L11*G11</f>
        <v>0.334822888976962</v>
      </c>
      <c r="O11" s="30">
        <f>M11*D11</f>
        <v>0</v>
      </c>
      <c r="P11" s="30">
        <f>N11*D11</f>
        <v>0</v>
      </c>
      <c r="Q11" s="17">
        <f>18*J11</f>
        <v>0.72</v>
      </c>
      <c r="R11" s="17">
        <f>Q11*4.18*天气!D9</f>
        <v>1740.847984128</v>
      </c>
      <c r="S11" s="17">
        <f>R11/12/1256/1000</f>
        <v>0.000115502122089172</v>
      </c>
      <c r="T11" s="30">
        <f t="shared" si="0"/>
        <v>32.5798844978779</v>
      </c>
      <c r="U11" s="17">
        <f>Q11/1000</f>
        <v>0.00072</v>
      </c>
      <c r="V11" s="17">
        <f>U11*(天气!B6+273.15)/217</f>
        <v>0.00101878341013825</v>
      </c>
      <c r="W11" s="17">
        <f>V11/34.643</f>
        <v>2.94080596408581e-5</v>
      </c>
      <c r="X11" s="31">
        <f>0.54+W11</f>
        <v>0.540029408059641</v>
      </c>
      <c r="Y11" s="17">
        <f>W11*G11*D11</f>
        <v>0</v>
      </c>
      <c r="Z11" s="17">
        <f>(0.8288*T11+0.0613*T11+0.007377*238.02+13.8297*X11-8.7284)*1.36-0.0551</f>
        <v>40.0584718732368</v>
      </c>
    </row>
    <row r="12" spans="1:26">
      <c r="A12" s="18"/>
      <c r="B12" s="18"/>
      <c r="C12" s="107" t="s">
        <v>66</v>
      </c>
      <c r="D12" s="18">
        <v>300</v>
      </c>
      <c r="E12" s="18">
        <v>5.02</v>
      </c>
      <c r="F12" s="18">
        <v>0.2</v>
      </c>
      <c r="G12" s="18">
        <f>3.1415926*F12*F12/4</f>
        <v>0.031415926</v>
      </c>
      <c r="H12" s="18">
        <v>6.14</v>
      </c>
      <c r="I12" s="18">
        <v>4.45</v>
      </c>
      <c r="J12" s="115">
        <v>0.02</v>
      </c>
      <c r="K12" s="25">
        <f>H12*E12</f>
        <v>30.8228</v>
      </c>
      <c r="L12" s="18">
        <f>I12*E12</f>
        <v>22.339</v>
      </c>
      <c r="M12" s="18">
        <f>K12*G12</f>
        <v>0.9683268039128</v>
      </c>
      <c r="N12" s="17">
        <f>L12*G12</f>
        <v>0.701800370914</v>
      </c>
      <c r="O12" s="30">
        <f>M12*D12</f>
        <v>290.49804117384</v>
      </c>
      <c r="P12" s="30">
        <f>N12*D12</f>
        <v>210.5401112742</v>
      </c>
      <c r="Q12" s="17">
        <f>18*J12</f>
        <v>0.36</v>
      </c>
      <c r="R12" s="17">
        <f>Q12*4.18*天气!D9</f>
        <v>870.423992064</v>
      </c>
      <c r="S12" s="17">
        <f>R12/12/1256/1000</f>
        <v>5.7751061044586e-5</v>
      </c>
      <c r="T12" s="30">
        <f t="shared" si="0"/>
        <v>32.579942248939</v>
      </c>
      <c r="U12" s="17">
        <f>Q12/1000</f>
        <v>0.00036</v>
      </c>
      <c r="V12" s="17">
        <f>U12*(天气!B6+273.15)/217</f>
        <v>0.000509391705069124</v>
      </c>
      <c r="W12" s="17">
        <f>V12/34.643</f>
        <v>1.47040298204291e-5</v>
      </c>
      <c r="X12" s="31">
        <f>0.54+W12</f>
        <v>0.54001470402982</v>
      </c>
      <c r="Y12" s="17">
        <f>W12*G12*D12</f>
        <v>0.000138582213822118</v>
      </c>
      <c r="Z12" s="17">
        <f>(0.8288*T12+0.0613*T12+0.007377*238.02+13.8297*X12-8.7284)*1.36-0.0551</f>
        <v>40.0582652238184</v>
      </c>
    </row>
    <row r="13" s="101" customFormat="1" spans="1:26">
      <c r="A13" s="108"/>
      <c r="B13" s="105"/>
      <c r="C13" s="106"/>
      <c r="D13" s="105"/>
      <c r="E13" s="105"/>
      <c r="F13" s="105"/>
      <c r="G13" s="105"/>
      <c r="H13" s="105"/>
      <c r="I13" s="105"/>
      <c r="J13" s="116"/>
      <c r="K13" s="114"/>
      <c r="L13" s="105"/>
      <c r="M13" s="105"/>
      <c r="N13" s="105"/>
      <c r="O13" s="105">
        <f>SUM(O9:O12)</f>
        <v>1170.36316881023</v>
      </c>
      <c r="P13" s="105">
        <f>SUM(P9:P12)</f>
        <v>797.560567080019</v>
      </c>
      <c r="Q13" s="105"/>
      <c r="R13" s="105"/>
      <c r="S13" s="105"/>
      <c r="T13" s="30">
        <f t="shared" si="0"/>
        <v>32.58</v>
      </c>
      <c r="U13" s="105"/>
      <c r="V13" s="105"/>
      <c r="W13" s="105"/>
      <c r="X13" s="105"/>
      <c r="Y13" s="105"/>
      <c r="Z13" s="105"/>
    </row>
    <row r="14" spans="1:27">
      <c r="A14" s="109" t="s">
        <v>110</v>
      </c>
      <c r="B14" s="17" t="s">
        <v>17</v>
      </c>
      <c r="C14" s="104" t="s">
        <v>18</v>
      </c>
      <c r="D14" s="17">
        <v>0</v>
      </c>
      <c r="E14" s="17">
        <v>1.46</v>
      </c>
      <c r="F14" s="17">
        <v>4</v>
      </c>
      <c r="G14" s="17">
        <f t="shared" ref="G14:G19" si="1">3.1415926*F14*F14/4</f>
        <v>12.5663704</v>
      </c>
      <c r="H14" s="17">
        <v>3.67</v>
      </c>
      <c r="I14" s="17">
        <v>3.27</v>
      </c>
      <c r="J14" s="113">
        <v>54.44</v>
      </c>
      <c r="K14" s="23">
        <f t="shared" ref="K14:K19" si="2">H14*E14</f>
        <v>5.3582</v>
      </c>
      <c r="L14" s="17">
        <f t="shared" ref="L14:L19" si="3">I14*E14</f>
        <v>4.7742</v>
      </c>
      <c r="M14" s="17">
        <f t="shared" ref="M14:M19" si="4">K14*G14</f>
        <v>67.33312587728</v>
      </c>
      <c r="N14" s="17">
        <f t="shared" ref="N14:N19" si="5">L14*G14</f>
        <v>59.99436556368</v>
      </c>
      <c r="O14" s="30">
        <f t="shared" ref="O14:O19" si="6">M14*D14</f>
        <v>0</v>
      </c>
      <c r="P14" s="30">
        <f t="shared" ref="P14:P19" si="7">N14*D14</f>
        <v>0</v>
      </c>
      <c r="Q14" s="17">
        <f t="shared" ref="Q14:Q19" si="8">18*J14</f>
        <v>979.92</v>
      </c>
      <c r="R14" s="17">
        <f>Q14*4.18*天气!D9</f>
        <v>2369294.10639821</v>
      </c>
      <c r="S14" s="17">
        <f t="shared" ref="S14:S19" si="9">R14/12/1256/1000</f>
        <v>0.157198388163363</v>
      </c>
      <c r="T14" s="30">
        <f t="shared" si="0"/>
        <v>32.4228016118366</v>
      </c>
      <c r="U14" s="17">
        <f t="shared" ref="U14:U19" si="10">Q14/1000</f>
        <v>0.97992</v>
      </c>
      <c r="V14" s="17">
        <f>U14*(天气!B6+273.15)/217</f>
        <v>1.38656422119816</v>
      </c>
      <c r="W14" s="17">
        <f t="shared" ref="W14:W19" si="11">V14/34.643</f>
        <v>0.0400243691712079</v>
      </c>
      <c r="X14" s="31">
        <f t="shared" ref="X14:X19" si="12">0.54+W14</f>
        <v>0.580024369171208</v>
      </c>
      <c r="Y14" s="17">
        <f t="shared" ref="Y14:Y19" si="13">W14*G14*D14</f>
        <v>0</v>
      </c>
      <c r="Z14" s="17">
        <f t="shared" ref="Z14:Z19" si="14">(0.8288*T14+0.0613*T14+0.007377*238.02+13.8297*X14-8.7284)*1.36-0.0551</f>
        <v>40.6205582913111</v>
      </c>
      <c r="AA14" s="1">
        <f>AVERAGE(Z14:Z19)</f>
        <v>41.0451556850819</v>
      </c>
    </row>
    <row r="15" ht="27" spans="1:26">
      <c r="A15" s="109"/>
      <c r="B15" s="17"/>
      <c r="C15" s="104" t="s">
        <v>60</v>
      </c>
      <c r="D15" s="104">
        <v>0</v>
      </c>
      <c r="E15" s="104">
        <v>2.64</v>
      </c>
      <c r="F15" s="104">
        <v>3.22</v>
      </c>
      <c r="G15" s="17">
        <f t="shared" si="1"/>
        <v>8.14332217846</v>
      </c>
      <c r="H15" s="104">
        <v>10.23</v>
      </c>
      <c r="I15" s="104">
        <v>7.44</v>
      </c>
      <c r="J15" s="113">
        <v>128.14</v>
      </c>
      <c r="K15" s="23">
        <f t="shared" si="2"/>
        <v>27.0072</v>
      </c>
      <c r="L15" s="17">
        <f t="shared" si="3"/>
        <v>19.6416</v>
      </c>
      <c r="M15" s="17">
        <f t="shared" si="4"/>
        <v>219.928330738105</v>
      </c>
      <c r="N15" s="17">
        <f t="shared" si="5"/>
        <v>159.94787690044</v>
      </c>
      <c r="O15" s="30">
        <f t="shared" si="6"/>
        <v>0</v>
      </c>
      <c r="P15" s="30">
        <f t="shared" si="7"/>
        <v>0</v>
      </c>
      <c r="Q15" s="17">
        <f t="shared" si="8"/>
        <v>2306.52</v>
      </c>
      <c r="R15" s="17">
        <f>Q15*4.18*天气!D9</f>
        <v>5576806.51715405</v>
      </c>
      <c r="S15" s="17">
        <f t="shared" si="9"/>
        <v>0.370011048112662</v>
      </c>
      <c r="T15" s="30">
        <f t="shared" si="0"/>
        <v>32.2099889518873</v>
      </c>
      <c r="U15" s="17">
        <f t="shared" si="10"/>
        <v>2.30652</v>
      </c>
      <c r="V15" s="17">
        <f>U15*(天气!B6+273.15)/217</f>
        <v>3.26367265437788</v>
      </c>
      <c r="W15" s="17">
        <f t="shared" si="11"/>
        <v>0.0942087190594891</v>
      </c>
      <c r="X15" s="31">
        <f t="shared" si="12"/>
        <v>0.634208719059489</v>
      </c>
      <c r="Y15" s="17">
        <f t="shared" si="13"/>
        <v>0</v>
      </c>
      <c r="Z15" s="17">
        <f t="shared" si="14"/>
        <v>41.3820613981506</v>
      </c>
    </row>
    <row r="16" ht="27" spans="1:26">
      <c r="A16" s="19"/>
      <c r="B16" s="19" t="s">
        <v>36</v>
      </c>
      <c r="C16" s="110" t="s">
        <v>111</v>
      </c>
      <c r="D16" s="19">
        <v>0</v>
      </c>
      <c r="E16" s="19">
        <v>2.49</v>
      </c>
      <c r="F16" s="19">
        <v>1</v>
      </c>
      <c r="G16" s="19">
        <f t="shared" si="1"/>
        <v>0.78539815</v>
      </c>
      <c r="H16" s="19">
        <v>3.23</v>
      </c>
      <c r="I16" s="19">
        <v>2.35</v>
      </c>
      <c r="J16" s="117">
        <v>185.861</v>
      </c>
      <c r="K16" s="27">
        <f t="shared" si="2"/>
        <v>8.0427</v>
      </c>
      <c r="L16" s="19">
        <f t="shared" si="3"/>
        <v>5.8515</v>
      </c>
      <c r="M16" s="19">
        <f t="shared" si="4"/>
        <v>6.316721701005</v>
      </c>
      <c r="N16" s="17">
        <f t="shared" si="5"/>
        <v>4.595757274725</v>
      </c>
      <c r="O16" s="30">
        <f t="shared" si="6"/>
        <v>0</v>
      </c>
      <c r="P16" s="30">
        <f t="shared" si="7"/>
        <v>0</v>
      </c>
      <c r="Q16" s="17">
        <f t="shared" si="8"/>
        <v>3345.498</v>
      </c>
      <c r="R16" s="17">
        <f>Q16*4.18*天气!D9</f>
        <v>8088893.67945035</v>
      </c>
      <c r="S16" s="17">
        <f t="shared" si="9"/>
        <v>0.53668349784039</v>
      </c>
      <c r="T16" s="30">
        <f t="shared" si="0"/>
        <v>32.0433165021596</v>
      </c>
      <c r="U16" s="17">
        <f t="shared" si="10"/>
        <v>3.345498</v>
      </c>
      <c r="V16" s="17">
        <f>U16*(天气!B6+273.15)/217</f>
        <v>4.73380258479263</v>
      </c>
      <c r="W16" s="17">
        <f t="shared" si="11"/>
        <v>0.136645284322738</v>
      </c>
      <c r="X16" s="31">
        <f t="shared" si="12"/>
        <v>0.676645284322738</v>
      </c>
      <c r="Y16" s="17">
        <f t="shared" si="13"/>
        <v>0</v>
      </c>
      <c r="Z16" s="17">
        <f t="shared" si="14"/>
        <v>41.9784619521518</v>
      </c>
    </row>
    <row r="17" spans="1:26">
      <c r="A17" s="19"/>
      <c r="B17" s="19"/>
      <c r="C17" s="110" t="s">
        <v>38</v>
      </c>
      <c r="D17" s="19">
        <v>25</v>
      </c>
      <c r="E17" s="19">
        <v>2.98</v>
      </c>
      <c r="F17" s="19">
        <v>1.2</v>
      </c>
      <c r="G17" s="19">
        <f t="shared" si="1"/>
        <v>1.130973336</v>
      </c>
      <c r="H17" s="19">
        <v>7.3</v>
      </c>
      <c r="I17" s="19">
        <v>5.31</v>
      </c>
      <c r="J17" s="117">
        <v>51.56</v>
      </c>
      <c r="K17" s="27">
        <f t="shared" si="2"/>
        <v>21.754</v>
      </c>
      <c r="L17" s="19">
        <f t="shared" si="3"/>
        <v>15.8238</v>
      </c>
      <c r="M17" s="19">
        <f t="shared" si="4"/>
        <v>24.603193951344</v>
      </c>
      <c r="N17" s="17">
        <f t="shared" si="5"/>
        <v>17.8962958741968</v>
      </c>
      <c r="O17" s="30">
        <f t="shared" si="6"/>
        <v>615.0798487836</v>
      </c>
      <c r="P17" s="30">
        <f t="shared" si="7"/>
        <v>447.40739685492</v>
      </c>
      <c r="Q17" s="17">
        <f t="shared" si="8"/>
        <v>928.08</v>
      </c>
      <c r="R17" s="17">
        <f>Q17*4.18*天气!D9</f>
        <v>2243953.05154099</v>
      </c>
      <c r="S17" s="17">
        <f t="shared" si="9"/>
        <v>0.148882235372943</v>
      </c>
      <c r="T17" s="30">
        <f t="shared" si="0"/>
        <v>32.4311177646271</v>
      </c>
      <c r="U17" s="17">
        <f t="shared" si="10"/>
        <v>0.92808</v>
      </c>
      <c r="V17" s="17">
        <f>U17*(天气!B6+273.15)/217</f>
        <v>1.3132118156682</v>
      </c>
      <c r="W17" s="17">
        <f t="shared" si="11"/>
        <v>0.0379069888770662</v>
      </c>
      <c r="X17" s="31">
        <f t="shared" si="12"/>
        <v>0.577906988877066</v>
      </c>
      <c r="Y17" s="17">
        <f t="shared" si="13"/>
        <v>1.07179484170026</v>
      </c>
      <c r="Z17" s="17">
        <f t="shared" si="14"/>
        <v>40.5908007750601</v>
      </c>
    </row>
    <row r="18" spans="1:26">
      <c r="A18" s="19"/>
      <c r="B18" s="19"/>
      <c r="C18" s="110" t="s">
        <v>61</v>
      </c>
      <c r="D18" s="19">
        <v>5</v>
      </c>
      <c r="E18" s="19">
        <v>2.82</v>
      </c>
      <c r="F18" s="19">
        <v>1.88</v>
      </c>
      <c r="G18" s="19">
        <f t="shared" si="1"/>
        <v>2.77591122136</v>
      </c>
      <c r="H18" s="19">
        <v>4.83</v>
      </c>
      <c r="I18" s="19">
        <v>3.51</v>
      </c>
      <c r="J18" s="117">
        <v>63.6</v>
      </c>
      <c r="K18" s="27">
        <f t="shared" si="2"/>
        <v>13.6206</v>
      </c>
      <c r="L18" s="19">
        <f t="shared" si="3"/>
        <v>9.8982</v>
      </c>
      <c r="M18" s="19">
        <f t="shared" si="4"/>
        <v>37.809576381656</v>
      </c>
      <c r="N18" s="17">
        <f t="shared" si="5"/>
        <v>27.4765244512655</v>
      </c>
      <c r="O18" s="30">
        <f t="shared" si="6"/>
        <v>189.04788190828</v>
      </c>
      <c r="P18" s="30">
        <f t="shared" si="7"/>
        <v>137.382622256328</v>
      </c>
      <c r="Q18" s="17">
        <f t="shared" si="8"/>
        <v>1144.8</v>
      </c>
      <c r="R18" s="17">
        <f>Q18*4.18*天气!D9</f>
        <v>2767948.29476352</v>
      </c>
      <c r="S18" s="17">
        <f t="shared" si="9"/>
        <v>0.183648374121783</v>
      </c>
      <c r="T18" s="30">
        <f t="shared" si="0"/>
        <v>32.3963516258782</v>
      </c>
      <c r="U18" s="17">
        <f t="shared" si="10"/>
        <v>1.1448</v>
      </c>
      <c r="V18" s="17">
        <f>U18*(天气!B6+273.15)/217</f>
        <v>1.61986562211982</v>
      </c>
      <c r="W18" s="17">
        <f t="shared" si="11"/>
        <v>0.0467588148289645</v>
      </c>
      <c r="X18" s="31">
        <f t="shared" si="12"/>
        <v>0.586758814828965</v>
      </c>
      <c r="Y18" s="17">
        <f t="shared" si="13"/>
        <v>0.648991593906084</v>
      </c>
      <c r="Z18" s="17">
        <f t="shared" si="14"/>
        <v>40.7152037249427</v>
      </c>
    </row>
    <row r="19" spans="1:26">
      <c r="A19" s="19"/>
      <c r="B19" s="19"/>
      <c r="C19" s="110" t="s">
        <v>43</v>
      </c>
      <c r="D19" s="19">
        <v>0</v>
      </c>
      <c r="E19" s="19">
        <v>3.45</v>
      </c>
      <c r="F19" s="19">
        <v>0.8</v>
      </c>
      <c r="G19" s="19">
        <f t="shared" si="1"/>
        <v>0.502654816</v>
      </c>
      <c r="H19" s="19">
        <v>1.89</v>
      </c>
      <c r="I19" s="19">
        <v>1.37</v>
      </c>
      <c r="J19" s="117">
        <v>89.6</v>
      </c>
      <c r="K19" s="27">
        <f t="shared" si="2"/>
        <v>6.5205</v>
      </c>
      <c r="L19" s="19">
        <f t="shared" si="3"/>
        <v>4.7265</v>
      </c>
      <c r="M19" s="19">
        <f t="shared" si="4"/>
        <v>3.277560727728</v>
      </c>
      <c r="N19" s="17">
        <f t="shared" si="5"/>
        <v>2.375797987824</v>
      </c>
      <c r="O19" s="30">
        <f t="shared" si="6"/>
        <v>0</v>
      </c>
      <c r="P19" s="30">
        <f t="shared" si="7"/>
        <v>0</v>
      </c>
      <c r="Q19" s="17">
        <f t="shared" si="8"/>
        <v>1612.8</v>
      </c>
      <c r="R19" s="17">
        <f>Q19*4.18*天气!D9</f>
        <v>3899499.48444672</v>
      </c>
      <c r="S19" s="17">
        <f t="shared" si="9"/>
        <v>0.258724753479745</v>
      </c>
      <c r="T19" s="30">
        <f t="shared" si="0"/>
        <v>32.3212752465203</v>
      </c>
      <c r="U19" s="17">
        <f t="shared" si="10"/>
        <v>1.6128</v>
      </c>
      <c r="V19" s="17">
        <f>U19*(天气!B6+273.15)/217</f>
        <v>2.28207483870968</v>
      </c>
      <c r="W19" s="17">
        <f t="shared" si="11"/>
        <v>0.0658740535955222</v>
      </c>
      <c r="X19" s="31">
        <f t="shared" si="12"/>
        <v>0.605874053595522</v>
      </c>
      <c r="Y19" s="17">
        <f t="shared" si="13"/>
        <v>0</v>
      </c>
      <c r="Z19" s="17">
        <f t="shared" si="14"/>
        <v>40.9838479688752</v>
      </c>
    </row>
    <row r="20" s="101" customFormat="1" spans="1:26">
      <c r="A20" s="108"/>
      <c r="B20" s="105"/>
      <c r="C20" s="106"/>
      <c r="D20" s="105"/>
      <c r="E20" s="105"/>
      <c r="F20" s="105"/>
      <c r="G20" s="105"/>
      <c r="H20" s="105"/>
      <c r="I20" s="105"/>
      <c r="J20" s="105"/>
      <c r="K20" s="114"/>
      <c r="L20" s="105"/>
      <c r="M20" s="105"/>
      <c r="N20" s="105"/>
      <c r="O20" s="105">
        <f>SUM(O14:O19)</f>
        <v>804.12773069188</v>
      </c>
      <c r="P20" s="105">
        <f>SUM(P14:P19)</f>
        <v>584.790019111248</v>
      </c>
      <c r="Q20" s="105"/>
      <c r="R20" s="105"/>
      <c r="S20" s="105"/>
      <c r="T20" s="30">
        <f t="shared" si="0"/>
        <v>32.58</v>
      </c>
      <c r="U20" s="105"/>
      <c r="V20" s="105"/>
      <c r="W20" s="105"/>
      <c r="X20" s="105"/>
      <c r="Y20" s="105"/>
      <c r="Z20" s="105"/>
    </row>
    <row r="21" spans="1:27">
      <c r="A21" s="109" t="s">
        <v>116</v>
      </c>
      <c r="B21" s="17" t="s">
        <v>17</v>
      </c>
      <c r="C21" s="104" t="s">
        <v>22</v>
      </c>
      <c r="D21" s="17">
        <v>2</v>
      </c>
      <c r="E21" s="17">
        <v>9.26</v>
      </c>
      <c r="F21" s="17">
        <v>3</v>
      </c>
      <c r="G21" s="17">
        <f t="shared" ref="G21:G28" si="15">3.1415926*F21*F21/4</f>
        <v>7.06858335</v>
      </c>
      <c r="H21" s="17">
        <v>6.86</v>
      </c>
      <c r="I21" s="17">
        <v>4.99</v>
      </c>
      <c r="J21" s="17">
        <v>50.8</v>
      </c>
      <c r="K21" s="23">
        <f t="shared" ref="K21:K28" si="16">H21*E21</f>
        <v>63.5236</v>
      </c>
      <c r="L21" s="17">
        <f t="shared" ref="L21:L28" si="17">I21*E21</f>
        <v>46.2074</v>
      </c>
      <c r="M21" s="17">
        <f t="shared" ref="M21:M28" si="18">K21*G21</f>
        <v>449.02186129206</v>
      </c>
      <c r="N21" s="17">
        <f t="shared" ref="N21:N28" si="19">L21*G21</f>
        <v>326.62085828679</v>
      </c>
      <c r="O21" s="30">
        <f t="shared" ref="O21:O28" si="20">M21*D21</f>
        <v>898.04372258412</v>
      </c>
      <c r="P21" s="30">
        <f t="shared" ref="P21:P28" si="21">N21*D21</f>
        <v>653.24171657358</v>
      </c>
      <c r="Q21" s="17">
        <f t="shared" ref="Q21:Q28" si="22">18*J21</f>
        <v>914.4</v>
      </c>
      <c r="R21" s="17">
        <f>Q21*4.18*天气!D9</f>
        <v>2210876.93984256</v>
      </c>
      <c r="S21" s="17">
        <f t="shared" ref="S21:S28" si="23">R21/12/1256/1000</f>
        <v>0.146687695053248</v>
      </c>
      <c r="T21" s="30">
        <f t="shared" si="0"/>
        <v>32.4333123049468</v>
      </c>
      <c r="U21" s="17">
        <f t="shared" ref="U21:U28" si="24">Q21/1000</f>
        <v>0.9144</v>
      </c>
      <c r="V21" s="17">
        <f>U21*(天气!B6+273.15)/217</f>
        <v>1.29385493087558</v>
      </c>
      <c r="W21" s="17">
        <f t="shared" ref="W21:W28" si="25">V21/34.643</f>
        <v>0.0373482357438898</v>
      </c>
      <c r="X21" s="31">
        <f t="shared" ref="X21:X28" si="26">0.54+W21</f>
        <v>0.57734823574389</v>
      </c>
      <c r="Y21" s="17">
        <f t="shared" ref="Y21:Y28" si="27">W21*G21*D21</f>
        <v>0.527998234662269</v>
      </c>
      <c r="Z21" s="17">
        <f t="shared" ref="Z21:Z28" si="28">(0.8288*T21+0.0613*T21+0.007377*238.02+13.8297*X21-8.7284)*1.36-0.0551</f>
        <v>40.5829480971605</v>
      </c>
      <c r="AA21" s="1">
        <f>AVERAGE(Z21:Z28)</f>
        <v>40.5955524201246</v>
      </c>
    </row>
    <row r="22" spans="1:26">
      <c r="A22" s="109"/>
      <c r="B22" s="17"/>
      <c r="C22" s="104" t="s">
        <v>40</v>
      </c>
      <c r="D22" s="17">
        <v>0</v>
      </c>
      <c r="E22" s="17">
        <v>3.11</v>
      </c>
      <c r="F22" s="17">
        <v>0.8</v>
      </c>
      <c r="G22" s="17">
        <f t="shared" si="15"/>
        <v>0.502654816</v>
      </c>
      <c r="H22" s="17">
        <v>13.51</v>
      </c>
      <c r="I22" s="17">
        <v>9.83</v>
      </c>
      <c r="J22" s="113">
        <v>132.149</v>
      </c>
      <c r="K22" s="23">
        <f t="shared" si="16"/>
        <v>42.0161</v>
      </c>
      <c r="L22" s="17">
        <f t="shared" si="17"/>
        <v>30.5713</v>
      </c>
      <c r="M22" s="17">
        <f t="shared" si="18"/>
        <v>21.1195950145376</v>
      </c>
      <c r="N22" s="17">
        <f t="shared" si="19"/>
        <v>15.3668111763808</v>
      </c>
      <c r="O22" s="30">
        <f t="shared" si="20"/>
        <v>0</v>
      </c>
      <c r="P22" s="30">
        <f t="shared" si="21"/>
        <v>0</v>
      </c>
      <c r="Q22" s="17">
        <f t="shared" si="22"/>
        <v>2378.682</v>
      </c>
      <c r="R22" s="17">
        <f>Q22*4.18*天气!D9</f>
        <v>5751283.00636328</v>
      </c>
      <c r="S22" s="17">
        <f t="shared" si="23"/>
        <v>0.38158724829905</v>
      </c>
      <c r="T22" s="30">
        <f t="shared" si="0"/>
        <v>32.1984127517009</v>
      </c>
      <c r="U22" s="17">
        <f t="shared" si="24"/>
        <v>2.378682</v>
      </c>
      <c r="V22" s="17">
        <f>U22*(天气!B6+273.15)/217</f>
        <v>3.36578022165899</v>
      </c>
      <c r="W22" s="17">
        <f t="shared" si="25"/>
        <v>0.0971561418369941</v>
      </c>
      <c r="X22" s="31">
        <f t="shared" si="26"/>
        <v>0.637156141836994</v>
      </c>
      <c r="Y22" s="17">
        <f t="shared" si="27"/>
        <v>0</v>
      </c>
      <c r="Z22" s="17">
        <f t="shared" si="28"/>
        <v>41.4234842740709</v>
      </c>
    </row>
    <row r="23" spans="1:26">
      <c r="A23" s="19"/>
      <c r="B23" s="19" t="s">
        <v>36</v>
      </c>
      <c r="C23" s="110" t="s">
        <v>38</v>
      </c>
      <c r="D23" s="19">
        <v>5</v>
      </c>
      <c r="E23" s="19">
        <v>2.98</v>
      </c>
      <c r="F23" s="19">
        <v>1.2</v>
      </c>
      <c r="G23" s="19">
        <f t="shared" si="15"/>
        <v>1.130973336</v>
      </c>
      <c r="H23" s="19">
        <v>7.3</v>
      </c>
      <c r="I23" s="19">
        <v>5.31</v>
      </c>
      <c r="J23" s="117">
        <v>51.56</v>
      </c>
      <c r="K23" s="27">
        <f t="shared" si="16"/>
        <v>21.754</v>
      </c>
      <c r="L23" s="19">
        <f t="shared" si="17"/>
        <v>15.8238</v>
      </c>
      <c r="M23" s="19">
        <f t="shared" si="18"/>
        <v>24.603193951344</v>
      </c>
      <c r="N23" s="17">
        <f t="shared" si="19"/>
        <v>17.8962958741968</v>
      </c>
      <c r="O23" s="30">
        <f t="shared" si="20"/>
        <v>123.01596975672</v>
      </c>
      <c r="P23" s="30">
        <f t="shared" si="21"/>
        <v>89.481479370984</v>
      </c>
      <c r="Q23" s="17">
        <f t="shared" si="22"/>
        <v>928.08</v>
      </c>
      <c r="R23" s="17">
        <f>Q23*4.18*天气!D9</f>
        <v>2243953.05154099</v>
      </c>
      <c r="S23" s="17">
        <f t="shared" si="23"/>
        <v>0.148882235372943</v>
      </c>
      <c r="T23" s="30">
        <f t="shared" si="0"/>
        <v>32.4311177646271</v>
      </c>
      <c r="U23" s="17">
        <f t="shared" si="24"/>
        <v>0.92808</v>
      </c>
      <c r="V23" s="17">
        <f>U23*(天气!B6+273.15)/217</f>
        <v>1.3132118156682</v>
      </c>
      <c r="W23" s="17">
        <f t="shared" si="25"/>
        <v>0.0379069888770662</v>
      </c>
      <c r="X23" s="31">
        <f t="shared" si="26"/>
        <v>0.577906988877066</v>
      </c>
      <c r="Y23" s="17">
        <f t="shared" si="27"/>
        <v>0.214358968340052</v>
      </c>
      <c r="Z23" s="17">
        <f t="shared" si="28"/>
        <v>40.5908007750601</v>
      </c>
    </row>
    <row r="24" spans="1:26">
      <c r="A24" s="19"/>
      <c r="B24" s="19"/>
      <c r="C24" s="110" t="s">
        <v>39</v>
      </c>
      <c r="D24" s="19">
        <v>5</v>
      </c>
      <c r="E24" s="19">
        <v>2.75</v>
      </c>
      <c r="F24" s="19">
        <v>0.8</v>
      </c>
      <c r="G24" s="19">
        <f t="shared" si="15"/>
        <v>0.502654816</v>
      </c>
      <c r="H24" s="19">
        <v>3.64</v>
      </c>
      <c r="I24" s="19">
        <v>2.91</v>
      </c>
      <c r="J24" s="117">
        <v>56.27</v>
      </c>
      <c r="K24" s="27">
        <f t="shared" si="16"/>
        <v>10.01</v>
      </c>
      <c r="L24" s="19">
        <f t="shared" si="17"/>
        <v>8.0025</v>
      </c>
      <c r="M24" s="19">
        <f t="shared" si="18"/>
        <v>5.03157470816</v>
      </c>
      <c r="N24" s="17">
        <f t="shared" si="19"/>
        <v>4.02249516504</v>
      </c>
      <c r="O24" s="30">
        <f t="shared" si="20"/>
        <v>25.1578735408</v>
      </c>
      <c r="P24" s="30">
        <f t="shared" si="21"/>
        <v>20.1124758252</v>
      </c>
      <c r="Q24" s="17">
        <f t="shared" si="22"/>
        <v>1012.86</v>
      </c>
      <c r="R24" s="17">
        <f>Q24*4.18*天气!D9</f>
        <v>2448937.90167206</v>
      </c>
      <c r="S24" s="17">
        <f t="shared" si="23"/>
        <v>0.162482610248943</v>
      </c>
      <c r="T24" s="30">
        <f t="shared" si="0"/>
        <v>32.4175173897511</v>
      </c>
      <c r="U24" s="17">
        <f t="shared" si="24"/>
        <v>1.01286</v>
      </c>
      <c r="V24" s="17">
        <f>U24*(天气!B6+273.15)/217</f>
        <v>1.43317356221198</v>
      </c>
      <c r="W24" s="17">
        <f t="shared" si="25"/>
        <v>0.0413697878997772</v>
      </c>
      <c r="X24" s="31">
        <f t="shared" si="26"/>
        <v>0.581369787899777</v>
      </c>
      <c r="Y24" s="17">
        <f t="shared" si="27"/>
        <v>0.103973615623608</v>
      </c>
      <c r="Z24" s="17">
        <f t="shared" si="28"/>
        <v>40.6394667130956</v>
      </c>
    </row>
    <row r="25" spans="1:26">
      <c r="A25" s="19"/>
      <c r="B25" s="19"/>
      <c r="C25" s="110" t="s">
        <v>62</v>
      </c>
      <c r="D25" s="19">
        <v>0</v>
      </c>
      <c r="E25" s="19">
        <v>3.18</v>
      </c>
      <c r="F25" s="19">
        <v>2.55</v>
      </c>
      <c r="G25" s="19">
        <f t="shared" si="15"/>
        <v>5.107051470375</v>
      </c>
      <c r="H25" s="19">
        <v>8.48</v>
      </c>
      <c r="I25" s="19">
        <v>6.17</v>
      </c>
      <c r="J25" s="117">
        <v>103.22</v>
      </c>
      <c r="K25" s="27">
        <f t="shared" si="16"/>
        <v>26.9664</v>
      </c>
      <c r="L25" s="19">
        <f t="shared" si="17"/>
        <v>19.6206</v>
      </c>
      <c r="M25" s="19">
        <f t="shared" si="18"/>
        <v>137.71879277072</v>
      </c>
      <c r="N25" s="17">
        <f t="shared" si="19"/>
        <v>100.20341407964</v>
      </c>
      <c r="O25" s="30">
        <f t="shared" si="20"/>
        <v>0</v>
      </c>
      <c r="P25" s="30">
        <f t="shared" si="21"/>
        <v>0</v>
      </c>
      <c r="Q25" s="17">
        <f t="shared" si="22"/>
        <v>1857.96</v>
      </c>
      <c r="R25" s="17">
        <f>Q25*4.18*天气!D9</f>
        <v>4492258.2230423</v>
      </c>
      <c r="S25" s="17">
        <f t="shared" si="23"/>
        <v>0.298053226051108</v>
      </c>
      <c r="T25" s="30">
        <f t="shared" si="0"/>
        <v>32.2819467739489</v>
      </c>
      <c r="U25" s="17">
        <f t="shared" si="24"/>
        <v>1.85796</v>
      </c>
      <c r="V25" s="17">
        <f>U25*(天气!B6+273.15)/217</f>
        <v>2.62897058986175</v>
      </c>
      <c r="W25" s="17">
        <f t="shared" si="25"/>
        <v>0.0758874979032344</v>
      </c>
      <c r="X25" s="31">
        <f t="shared" si="26"/>
        <v>0.615887497903234</v>
      </c>
      <c r="Y25" s="17">
        <f t="shared" si="27"/>
        <v>0</v>
      </c>
      <c r="Z25" s="17">
        <f t="shared" si="28"/>
        <v>41.1245762228122</v>
      </c>
    </row>
    <row r="26" spans="1:26">
      <c r="A26" s="19"/>
      <c r="B26" s="19"/>
      <c r="C26" s="110" t="s">
        <v>41</v>
      </c>
      <c r="D26" s="19">
        <v>0</v>
      </c>
      <c r="E26" s="19">
        <v>3.14</v>
      </c>
      <c r="F26" s="19">
        <v>0.6</v>
      </c>
      <c r="G26" s="19">
        <f t="shared" si="15"/>
        <v>0.282743334</v>
      </c>
      <c r="H26" s="19">
        <v>2.89</v>
      </c>
      <c r="I26" s="19">
        <v>2.1</v>
      </c>
      <c r="J26" s="117">
        <v>22.1</v>
      </c>
      <c r="K26" s="27">
        <f t="shared" si="16"/>
        <v>9.0746</v>
      </c>
      <c r="L26" s="19">
        <f t="shared" si="17"/>
        <v>6.594</v>
      </c>
      <c r="M26" s="19">
        <f t="shared" si="18"/>
        <v>2.5657826587164</v>
      </c>
      <c r="N26" s="17">
        <f t="shared" si="19"/>
        <v>1.864409544396</v>
      </c>
      <c r="O26" s="30">
        <f t="shared" si="20"/>
        <v>0</v>
      </c>
      <c r="P26" s="30">
        <f t="shared" si="21"/>
        <v>0</v>
      </c>
      <c r="Q26" s="17">
        <f t="shared" si="22"/>
        <v>397.8</v>
      </c>
      <c r="R26" s="17">
        <f>Q26*4.18*天气!D9</f>
        <v>961818.51123072</v>
      </c>
      <c r="S26" s="17">
        <f t="shared" si="23"/>
        <v>0.0638149224542675</v>
      </c>
      <c r="T26" s="30">
        <f t="shared" si="0"/>
        <v>32.5161850775457</v>
      </c>
      <c r="U26" s="17">
        <f t="shared" si="24"/>
        <v>0.3978</v>
      </c>
      <c r="V26" s="17">
        <f>U26*(天气!B6+273.15)/217</f>
        <v>0.562877834101382</v>
      </c>
      <c r="W26" s="17">
        <f t="shared" si="25"/>
        <v>0.0162479529515741</v>
      </c>
      <c r="X26" s="31">
        <f t="shared" si="26"/>
        <v>0.556247952951574</v>
      </c>
      <c r="Y26" s="17">
        <f t="shared" si="27"/>
        <v>0</v>
      </c>
      <c r="Z26" s="17">
        <f t="shared" si="28"/>
        <v>40.2864061817427</v>
      </c>
    </row>
    <row r="27" spans="1:26">
      <c r="A27" s="18"/>
      <c r="B27" s="18" t="s">
        <v>102</v>
      </c>
      <c r="C27" s="107" t="s">
        <v>44</v>
      </c>
      <c r="D27" s="18">
        <v>0</v>
      </c>
      <c r="E27" s="18">
        <v>4.11</v>
      </c>
      <c r="F27" s="18">
        <v>0.15</v>
      </c>
      <c r="G27" s="18">
        <f t="shared" si="15"/>
        <v>0.017671458375</v>
      </c>
      <c r="H27" s="18">
        <v>6.34</v>
      </c>
      <c r="I27" s="18">
        <v>4.61</v>
      </c>
      <c r="J27" s="115">
        <v>0.04</v>
      </c>
      <c r="K27" s="25">
        <f t="shared" si="16"/>
        <v>26.0574</v>
      </c>
      <c r="L27" s="18">
        <f t="shared" si="17"/>
        <v>18.9471</v>
      </c>
      <c r="M27" s="18">
        <f t="shared" si="18"/>
        <v>0.460472259460725</v>
      </c>
      <c r="N27" s="17">
        <f t="shared" si="19"/>
        <v>0.334822888976962</v>
      </c>
      <c r="O27" s="30">
        <f t="shared" si="20"/>
        <v>0</v>
      </c>
      <c r="P27" s="30">
        <f t="shared" si="21"/>
        <v>0</v>
      </c>
      <c r="Q27" s="17">
        <f t="shared" si="22"/>
        <v>0.72</v>
      </c>
      <c r="R27" s="17">
        <f>Q27*4.18*天气!D9</f>
        <v>1740.847984128</v>
      </c>
      <c r="S27" s="17">
        <f t="shared" si="23"/>
        <v>0.000115502122089172</v>
      </c>
      <c r="T27" s="30">
        <f t="shared" si="0"/>
        <v>32.5798844978779</v>
      </c>
      <c r="U27" s="17">
        <f t="shared" si="24"/>
        <v>0.00072</v>
      </c>
      <c r="V27" s="17">
        <f>U27*(天气!B6+273.15)/217</f>
        <v>0.00101878341013825</v>
      </c>
      <c r="W27" s="17">
        <f t="shared" si="25"/>
        <v>2.94080596408581e-5</v>
      </c>
      <c r="X27" s="31">
        <f t="shared" si="26"/>
        <v>0.540029408059641</v>
      </c>
      <c r="Y27" s="17">
        <f t="shared" si="27"/>
        <v>0</v>
      </c>
      <c r="Z27" s="17">
        <f t="shared" si="28"/>
        <v>40.0584718732368</v>
      </c>
    </row>
    <row r="28" spans="1:26">
      <c r="A28" s="18"/>
      <c r="B28" s="18"/>
      <c r="C28" s="107" t="s">
        <v>66</v>
      </c>
      <c r="D28" s="18">
        <v>200</v>
      </c>
      <c r="E28" s="18">
        <v>5.02</v>
      </c>
      <c r="F28" s="18">
        <v>0.2</v>
      </c>
      <c r="G28" s="18">
        <f t="shared" si="15"/>
        <v>0.031415926</v>
      </c>
      <c r="H28" s="18">
        <v>6.14</v>
      </c>
      <c r="I28" s="18">
        <v>4.45</v>
      </c>
      <c r="J28" s="115">
        <v>0.02</v>
      </c>
      <c r="K28" s="25">
        <f t="shared" si="16"/>
        <v>30.8228</v>
      </c>
      <c r="L28" s="18">
        <f t="shared" si="17"/>
        <v>22.339</v>
      </c>
      <c r="M28" s="18">
        <f t="shared" si="18"/>
        <v>0.9683268039128</v>
      </c>
      <c r="N28" s="17">
        <f t="shared" si="19"/>
        <v>0.701800370914</v>
      </c>
      <c r="O28" s="30">
        <f t="shared" si="20"/>
        <v>193.66536078256</v>
      </c>
      <c r="P28" s="30">
        <f t="shared" si="21"/>
        <v>140.3600741828</v>
      </c>
      <c r="Q28" s="17">
        <f t="shared" si="22"/>
        <v>0.36</v>
      </c>
      <c r="R28" s="17">
        <f>Q28*4.18*天气!D9</f>
        <v>870.423992064</v>
      </c>
      <c r="S28" s="17">
        <f t="shared" si="23"/>
        <v>5.7751061044586e-5</v>
      </c>
      <c r="T28" s="30">
        <f t="shared" si="0"/>
        <v>32.579942248939</v>
      </c>
      <c r="U28" s="17">
        <f t="shared" si="24"/>
        <v>0.00036</v>
      </c>
      <c r="V28" s="17">
        <f>U28*(天气!B6+273.15)/217</f>
        <v>0.000509391705069124</v>
      </c>
      <c r="W28" s="17">
        <f t="shared" si="25"/>
        <v>1.47040298204291e-5</v>
      </c>
      <c r="X28" s="31">
        <f t="shared" si="26"/>
        <v>0.54001470402982</v>
      </c>
      <c r="Y28" s="17">
        <f t="shared" si="27"/>
        <v>9.23881425480786e-5</v>
      </c>
      <c r="Z28" s="17">
        <f t="shared" si="28"/>
        <v>40.0582652238184</v>
      </c>
    </row>
    <row r="29" s="101" customFormat="1" spans="1:26">
      <c r="A29" s="111"/>
      <c r="B29" s="111"/>
      <c r="C29" s="112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>
        <f>SUM(O21:O28)</f>
        <v>1239.8829266642</v>
      </c>
      <c r="P29" s="111">
        <f>SUM(P21:P28)</f>
        <v>903.195745952564</v>
      </c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>
      <c r="A30" s="21"/>
      <c r="B30" s="21"/>
      <c r="C30" s="10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32"/>
      <c r="P30" s="32"/>
      <c r="Q30" s="21"/>
      <c r="R30" s="21"/>
      <c r="S30" s="21">
        <f>AVERAGE(S2:S28)</f>
        <v>0.155533274418506</v>
      </c>
      <c r="T30" s="32"/>
      <c r="U30" s="21"/>
      <c r="V30" s="21"/>
      <c r="W30" s="21">
        <f>AVERAGE(W2:W28)</f>
        <v>0.0396004136331463</v>
      </c>
      <c r="X30" s="33"/>
      <c r="Y30" s="21">
        <f>AVERAGE(Y2:Y28)</f>
        <v>0.254758249988361</v>
      </c>
      <c r="Z30" s="21"/>
    </row>
  </sheetData>
  <mergeCells count="12">
    <mergeCell ref="A9:A12"/>
    <mergeCell ref="A14:A19"/>
    <mergeCell ref="A21:A28"/>
    <mergeCell ref="B9:B10"/>
    <mergeCell ref="B11:B12"/>
    <mergeCell ref="B14:B15"/>
    <mergeCell ref="B16:B19"/>
    <mergeCell ref="B21:B22"/>
    <mergeCell ref="B23:B26"/>
    <mergeCell ref="B27:B28"/>
    <mergeCell ref="A2:B3"/>
    <mergeCell ref="A5:B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workbookViewId="0">
      <selection activeCell="Z12" sqref="Z12"/>
    </sheetView>
  </sheetViews>
  <sheetFormatPr defaultColWidth="8.73333333333333" defaultRowHeight="13.5"/>
  <cols>
    <col min="1" max="4" width="8.73333333333333" style="45"/>
    <col min="5" max="12" width="8.73333333333333" style="45" hidden="1" customWidth="1"/>
    <col min="13" max="26" width="8.73333333333333" style="45"/>
    <col min="27" max="27" width="12.8166666666667" style="45"/>
    <col min="28" max="28" width="12.8166666666667" style="46"/>
    <col min="29" max="16384" width="8.73333333333333" style="45"/>
  </cols>
  <sheetData>
    <row r="1" ht="45" spans="1:27">
      <c r="A1" s="2" t="s">
        <v>71</v>
      </c>
      <c r="B1" s="2" t="s">
        <v>72</v>
      </c>
      <c r="C1" s="3" t="s">
        <v>48</v>
      </c>
      <c r="D1" s="2" t="s">
        <v>73</v>
      </c>
      <c r="E1" s="2" t="s">
        <v>74</v>
      </c>
      <c r="F1" s="2" t="s">
        <v>76</v>
      </c>
      <c r="G1" s="15" t="s">
        <v>77</v>
      </c>
      <c r="H1" s="2" t="s">
        <v>78</v>
      </c>
      <c r="I1" s="2" t="s">
        <v>79</v>
      </c>
      <c r="J1" s="2" t="s">
        <v>80</v>
      </c>
      <c r="K1" s="2" t="s">
        <v>82</v>
      </c>
      <c r="L1" s="2" t="s">
        <v>83</v>
      </c>
      <c r="M1" s="15" t="s">
        <v>84</v>
      </c>
      <c r="N1" s="15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8" t="s">
        <v>91</v>
      </c>
      <c r="U1" s="2" t="s">
        <v>92</v>
      </c>
      <c r="V1" s="2" t="s">
        <v>93</v>
      </c>
      <c r="W1" s="2" t="s">
        <v>94</v>
      </c>
      <c r="X1" s="29" t="s">
        <v>95</v>
      </c>
      <c r="Y1" s="2" t="s">
        <v>96</v>
      </c>
      <c r="Z1" s="2" t="s">
        <v>97</v>
      </c>
      <c r="AA1" s="45" t="s">
        <v>337</v>
      </c>
    </row>
    <row r="2" s="40" customFormat="1" spans="1:28">
      <c r="A2" s="47" t="s">
        <v>17</v>
      </c>
      <c r="B2" s="47"/>
      <c r="C2" s="48" t="s">
        <v>18</v>
      </c>
      <c r="D2" s="49">
        <v>20</v>
      </c>
      <c r="E2" s="47">
        <v>1.46</v>
      </c>
      <c r="F2" s="47">
        <v>3.5</v>
      </c>
      <c r="G2" s="50">
        <f t="shared" ref="G2:G24" si="0">3.1415926*F2*F2/4</f>
        <v>9.6211273375</v>
      </c>
      <c r="H2" s="47">
        <v>3.67</v>
      </c>
      <c r="I2" s="47">
        <v>3.27</v>
      </c>
      <c r="J2" s="81">
        <v>54.44</v>
      </c>
      <c r="K2" s="82">
        <f t="shared" ref="K2:K24" si="1">H2*E2</f>
        <v>5.3582</v>
      </c>
      <c r="L2" s="50">
        <f t="shared" ref="L2:L24" si="2">I2*E2</f>
        <v>4.7742</v>
      </c>
      <c r="M2" s="50">
        <f t="shared" ref="M2:M24" si="3">K2*G2</f>
        <v>51.5519244997925</v>
      </c>
      <c r="N2" s="50">
        <f t="shared" ref="N2:N24" si="4">L2*G2</f>
        <v>45.9331861346925</v>
      </c>
      <c r="O2" s="47">
        <f t="shared" ref="O2:O24" si="5">M2*D2</f>
        <v>1031.03848999585</v>
      </c>
      <c r="P2" s="47">
        <f t="shared" ref="P2:P24" si="6">N2*D2</f>
        <v>918.66372269385</v>
      </c>
      <c r="Q2" s="47">
        <f t="shared" ref="Q2:Q24" si="7">18*J2</f>
        <v>979.92</v>
      </c>
      <c r="R2" s="47">
        <f>Q2*4.18*天气!D9</f>
        <v>2369294.10639821</v>
      </c>
      <c r="S2" s="47">
        <f t="shared" ref="S2:S24" si="8">R2/12/1256/1000</f>
        <v>0.157198388163363</v>
      </c>
      <c r="T2" s="50">
        <f t="shared" ref="T2:T24" si="9">32.57-S2</f>
        <v>32.4128016118366</v>
      </c>
      <c r="U2" s="47">
        <f t="shared" ref="U2:U24" si="10">Q2/1000</f>
        <v>0.97992</v>
      </c>
      <c r="V2" s="47">
        <f>U2*(天气!B6+273.15)/217</f>
        <v>1.38656422119816</v>
      </c>
      <c r="W2" s="47">
        <f t="shared" ref="W2:W24" si="11">V2/34.643</f>
        <v>0.0400243691712079</v>
      </c>
      <c r="X2" s="50">
        <f t="shared" ref="X2:X24" si="12">0.54+W2</f>
        <v>0.580024369171208</v>
      </c>
      <c r="Y2" s="47">
        <f t="shared" ref="Y2:Y24" si="13">W2*G2*D2</f>
        <v>7.70159104798602</v>
      </c>
      <c r="Z2" s="47">
        <f t="shared" ref="Z2:Z24" si="14">(0.8288*T2+0.0613*T2+0.007377*238.02+13.8297*X2-8.7284)*1.36-0.0551</f>
        <v>40.6084529313111</v>
      </c>
      <c r="AA2" s="40">
        <f>0.735*T2+0.0374*X2*100+0.00292*T2*X2*100+7.619*0.9-4.557*0.9*0.9-0.0572*1.36-4.064</f>
        <v>30.5065010493295</v>
      </c>
      <c r="AB2" s="46">
        <f>AVERAGE(AA2:AA3)</f>
        <v>30.5394025256434</v>
      </c>
    </row>
    <row r="3" s="40" customFormat="1" spans="1:28">
      <c r="A3" s="47"/>
      <c r="B3" s="47"/>
      <c r="C3" s="48" t="s">
        <v>20</v>
      </c>
      <c r="D3" s="47">
        <v>18</v>
      </c>
      <c r="E3" s="47">
        <v>4.56</v>
      </c>
      <c r="F3" s="47">
        <v>2.8</v>
      </c>
      <c r="G3" s="50">
        <f t="shared" si="0"/>
        <v>6.157521496</v>
      </c>
      <c r="H3" s="47">
        <v>22.39</v>
      </c>
      <c r="I3" s="47">
        <v>16.28</v>
      </c>
      <c r="J3" s="47">
        <v>63.72</v>
      </c>
      <c r="K3" s="82">
        <f t="shared" si="1"/>
        <v>102.0984</v>
      </c>
      <c r="L3" s="50">
        <f t="shared" si="2"/>
        <v>74.2368</v>
      </c>
      <c r="M3" s="50">
        <f t="shared" si="3"/>
        <v>628.673092707206</v>
      </c>
      <c r="N3" s="50">
        <f t="shared" si="4"/>
        <v>457.114691794253</v>
      </c>
      <c r="O3" s="47">
        <f t="shared" si="5"/>
        <v>11316.1156687297</v>
      </c>
      <c r="P3" s="47">
        <f t="shared" si="6"/>
        <v>8228.06445229655</v>
      </c>
      <c r="Q3" s="47">
        <f t="shared" si="7"/>
        <v>1146.96</v>
      </c>
      <c r="R3" s="47">
        <f>Q3*4.18*天气!D9</f>
        <v>2773170.8387159</v>
      </c>
      <c r="S3" s="47">
        <f t="shared" si="8"/>
        <v>0.183994880488051</v>
      </c>
      <c r="T3" s="50">
        <f t="shared" si="9"/>
        <v>32.3860051195119</v>
      </c>
      <c r="U3" s="47">
        <f t="shared" si="10"/>
        <v>1.14696</v>
      </c>
      <c r="V3" s="47">
        <f>U3*(天气!B6+273.15)/217</f>
        <v>1.62292197235023</v>
      </c>
      <c r="W3" s="47">
        <f t="shared" si="11"/>
        <v>0.046847039007887</v>
      </c>
      <c r="X3" s="50">
        <f t="shared" si="12"/>
        <v>0.586847039007887</v>
      </c>
      <c r="Y3" s="47">
        <f t="shared" si="13"/>
        <v>5.19230969487027</v>
      </c>
      <c r="Z3" s="47">
        <f t="shared" si="14"/>
        <v>40.7043382614531</v>
      </c>
      <c r="AA3" s="40">
        <f t="shared" ref="AA3:AA25" si="15">0.735*T3+0.0374*X3*100+0.00292*T3*X3*100+7.619*0.9-4.557*0.9*0.9-0.0572*1.36-4.064</f>
        <v>30.5723040019573</v>
      </c>
      <c r="AB3" s="46"/>
    </row>
    <row r="4" s="41" customFormat="1" spans="1:28">
      <c r="A4" s="51" t="s">
        <v>102</v>
      </c>
      <c r="B4" s="51"/>
      <c r="C4" s="52" t="s">
        <v>44</v>
      </c>
      <c r="D4" s="51">
        <v>1500</v>
      </c>
      <c r="E4" s="51">
        <v>4.11</v>
      </c>
      <c r="F4" s="51">
        <v>0.15</v>
      </c>
      <c r="G4" s="53">
        <f t="shared" si="0"/>
        <v>0.017671458375</v>
      </c>
      <c r="H4" s="51">
        <v>6.34</v>
      </c>
      <c r="I4" s="51">
        <v>4.61</v>
      </c>
      <c r="J4" s="83">
        <v>0.04</v>
      </c>
      <c r="K4" s="84">
        <f t="shared" si="1"/>
        <v>26.0574</v>
      </c>
      <c r="L4" s="53">
        <f t="shared" si="2"/>
        <v>18.9471</v>
      </c>
      <c r="M4" s="53">
        <f t="shared" si="3"/>
        <v>0.460472259460725</v>
      </c>
      <c r="N4" s="85">
        <f t="shared" si="4"/>
        <v>0.334822888976962</v>
      </c>
      <c r="O4" s="86">
        <f t="shared" si="5"/>
        <v>690.708389191087</v>
      </c>
      <c r="P4" s="86">
        <f t="shared" si="6"/>
        <v>502.234333465444</v>
      </c>
      <c r="Q4" s="86">
        <f t="shared" si="7"/>
        <v>0.72</v>
      </c>
      <c r="R4" s="86">
        <f>Q4*4.18*天气!D9</f>
        <v>1740.847984128</v>
      </c>
      <c r="S4" s="86">
        <f t="shared" si="8"/>
        <v>0.000115502122089172</v>
      </c>
      <c r="T4" s="85">
        <f t="shared" si="9"/>
        <v>32.5698844978779</v>
      </c>
      <c r="U4" s="86">
        <f t="shared" si="10"/>
        <v>0.00072</v>
      </c>
      <c r="V4" s="86">
        <f>U4*(天气!B6+273.15)/217</f>
        <v>0.00101878341013825</v>
      </c>
      <c r="W4" s="86">
        <f t="shared" si="11"/>
        <v>2.94080596408581e-5</v>
      </c>
      <c r="X4" s="85">
        <f t="shared" si="12"/>
        <v>0.540029408059641</v>
      </c>
      <c r="Y4" s="86">
        <f t="shared" si="13"/>
        <v>0.000779524952749413</v>
      </c>
      <c r="Z4" s="86">
        <f t="shared" si="14"/>
        <v>40.0463665132368</v>
      </c>
      <c r="AA4" s="41">
        <f t="shared" si="15"/>
        <v>30.1186121623036</v>
      </c>
      <c r="AB4" s="46">
        <f>AVERAGE(AA4:AA6)</f>
        <v>30.1188987194827</v>
      </c>
    </row>
    <row r="5" s="41" customFormat="1" spans="1:28">
      <c r="A5" s="51"/>
      <c r="B5" s="51"/>
      <c r="C5" s="52" t="s">
        <v>66</v>
      </c>
      <c r="D5" s="54">
        <v>2000</v>
      </c>
      <c r="E5" s="51">
        <v>5.02</v>
      </c>
      <c r="F5" s="51">
        <v>0.2</v>
      </c>
      <c r="G5" s="53">
        <f t="shared" si="0"/>
        <v>0.031415926</v>
      </c>
      <c r="H5" s="51">
        <v>6.14</v>
      </c>
      <c r="I5" s="51">
        <v>4.45</v>
      </c>
      <c r="J5" s="83">
        <v>0.02</v>
      </c>
      <c r="K5" s="84">
        <f t="shared" si="1"/>
        <v>30.8228</v>
      </c>
      <c r="L5" s="53">
        <f t="shared" si="2"/>
        <v>22.339</v>
      </c>
      <c r="M5" s="53">
        <f t="shared" si="3"/>
        <v>0.9683268039128</v>
      </c>
      <c r="N5" s="85">
        <f t="shared" si="4"/>
        <v>0.701800370914</v>
      </c>
      <c r="O5" s="86">
        <f t="shared" si="5"/>
        <v>1936.6536078256</v>
      </c>
      <c r="P5" s="86">
        <f t="shared" si="6"/>
        <v>1403.600741828</v>
      </c>
      <c r="Q5" s="86">
        <f t="shared" si="7"/>
        <v>0.36</v>
      </c>
      <c r="R5" s="86">
        <f>Q5*4.18*天气!D9</f>
        <v>870.423992064</v>
      </c>
      <c r="S5" s="86">
        <f t="shared" si="8"/>
        <v>5.7751061044586e-5</v>
      </c>
      <c r="T5" s="85">
        <f t="shared" si="9"/>
        <v>32.569942248939</v>
      </c>
      <c r="U5" s="86">
        <f t="shared" si="10"/>
        <v>0.00036</v>
      </c>
      <c r="V5" s="86">
        <f>U5*(天气!B6+273.15)/217</f>
        <v>0.000509391705069124</v>
      </c>
      <c r="W5" s="86">
        <f t="shared" si="11"/>
        <v>1.47040298204291e-5</v>
      </c>
      <c r="X5" s="85">
        <f t="shared" si="12"/>
        <v>0.54001470402982</v>
      </c>
      <c r="Y5" s="86">
        <f t="shared" si="13"/>
        <v>0.000923881425480786</v>
      </c>
      <c r="Z5" s="86">
        <f t="shared" si="14"/>
        <v>40.0461598638184</v>
      </c>
      <c r="AA5" s="41">
        <f t="shared" si="15"/>
        <v>30.1184688813998</v>
      </c>
      <c r="AB5" s="46"/>
    </row>
    <row r="6" s="41" customFormat="1" spans="1:28">
      <c r="A6" s="51"/>
      <c r="B6" s="51"/>
      <c r="C6" s="52" t="s">
        <v>67</v>
      </c>
      <c r="D6" s="51">
        <v>2700</v>
      </c>
      <c r="E6" s="51">
        <v>10.24</v>
      </c>
      <c r="F6" s="51">
        <v>0.35</v>
      </c>
      <c r="G6" s="53">
        <f t="shared" si="0"/>
        <v>0.096211273375</v>
      </c>
      <c r="H6" s="51">
        <v>4.53</v>
      </c>
      <c r="I6" s="51">
        <v>3.3</v>
      </c>
      <c r="J6" s="83">
        <v>0.18</v>
      </c>
      <c r="K6" s="84">
        <f t="shared" si="1"/>
        <v>46.3872</v>
      </c>
      <c r="L6" s="53">
        <f t="shared" si="2"/>
        <v>33.792</v>
      </c>
      <c r="M6" s="53">
        <f t="shared" si="3"/>
        <v>4.4629715803008</v>
      </c>
      <c r="N6" s="85">
        <f t="shared" si="4"/>
        <v>3.251171349888</v>
      </c>
      <c r="O6" s="86">
        <f t="shared" si="5"/>
        <v>12050.0232668122</v>
      </c>
      <c r="P6" s="86">
        <f t="shared" si="6"/>
        <v>8778.1626446976</v>
      </c>
      <c r="Q6" s="86">
        <f t="shared" si="7"/>
        <v>3.24</v>
      </c>
      <c r="R6" s="86">
        <f>Q6*4.18*天气!D9</f>
        <v>7833.815928576</v>
      </c>
      <c r="S6" s="86">
        <f t="shared" si="8"/>
        <v>0.000519759549401274</v>
      </c>
      <c r="T6" s="85">
        <f t="shared" si="9"/>
        <v>32.5694802404506</v>
      </c>
      <c r="U6" s="86">
        <f t="shared" si="10"/>
        <v>0.00324</v>
      </c>
      <c r="V6" s="86">
        <f>U6*(天气!B6+273.15)/217</f>
        <v>0.00458452534562212</v>
      </c>
      <c r="W6" s="86">
        <f t="shared" si="11"/>
        <v>0.000132336268383862</v>
      </c>
      <c r="X6" s="85">
        <f t="shared" si="12"/>
        <v>0.540132336268384</v>
      </c>
      <c r="Y6" s="86">
        <f t="shared" si="13"/>
        <v>0.0343770504162491</v>
      </c>
      <c r="Z6" s="86">
        <f t="shared" si="14"/>
        <v>40.0478130591657</v>
      </c>
      <c r="AA6" s="41">
        <f t="shared" si="15"/>
        <v>30.1196151147448</v>
      </c>
      <c r="AB6" s="46"/>
    </row>
    <row r="7" s="42" customFormat="1" spans="1:28">
      <c r="A7" s="55" t="s">
        <v>108</v>
      </c>
      <c r="B7" s="56" t="s">
        <v>17</v>
      </c>
      <c r="C7" s="57" t="s">
        <v>28</v>
      </c>
      <c r="D7" s="58">
        <v>35</v>
      </c>
      <c r="E7" s="56">
        <v>3.17</v>
      </c>
      <c r="F7" s="56">
        <v>3.27</v>
      </c>
      <c r="G7" s="31">
        <f t="shared" si="0"/>
        <v>8.398183878135</v>
      </c>
      <c r="H7" s="56">
        <v>6.61</v>
      </c>
      <c r="I7" s="56">
        <v>4.41</v>
      </c>
      <c r="J7" s="87">
        <v>44.267</v>
      </c>
      <c r="K7" s="88">
        <f t="shared" si="1"/>
        <v>20.9537</v>
      </c>
      <c r="L7" s="31">
        <f t="shared" si="2"/>
        <v>13.9797</v>
      </c>
      <c r="M7" s="31">
        <f t="shared" si="3"/>
        <v>175.973025527277</v>
      </c>
      <c r="N7" s="31">
        <f t="shared" si="4"/>
        <v>117.404091161164</v>
      </c>
      <c r="O7" s="56">
        <f t="shared" si="5"/>
        <v>6159.05589345471</v>
      </c>
      <c r="P7" s="56">
        <f t="shared" si="6"/>
        <v>4109.14319064074</v>
      </c>
      <c r="Q7" s="56">
        <f t="shared" si="7"/>
        <v>796.806</v>
      </c>
      <c r="R7" s="56">
        <f>Q7*4.18*天气!D9</f>
        <v>1926552.94283485</v>
      </c>
      <c r="S7" s="56">
        <f t="shared" si="8"/>
        <v>0.127823310963034</v>
      </c>
      <c r="T7" s="31">
        <f t="shared" si="9"/>
        <v>32.442176689037</v>
      </c>
      <c r="U7" s="56">
        <f t="shared" si="10"/>
        <v>0.796806</v>
      </c>
      <c r="V7" s="56">
        <f>U7*(天气!B6+273.15)/217</f>
        <v>1.12746213041475</v>
      </c>
      <c r="W7" s="56">
        <f t="shared" si="11"/>
        <v>0.0325451644030467</v>
      </c>
      <c r="X7" s="31">
        <f t="shared" si="12"/>
        <v>0.572545164403047</v>
      </c>
      <c r="Y7" s="56">
        <f t="shared" si="13"/>
        <v>9.56620962503219</v>
      </c>
      <c r="Z7" s="56">
        <f t="shared" si="14"/>
        <v>40.503340704637</v>
      </c>
      <c r="AA7" s="42">
        <f t="shared" si="15"/>
        <v>30.4342433060266</v>
      </c>
      <c r="AB7" s="46">
        <f>AVERAGE(AA7:AA10)</f>
        <v>30.351652539256</v>
      </c>
    </row>
    <row r="8" s="42" customFormat="1" spans="1:28">
      <c r="A8" s="55"/>
      <c r="B8" s="56"/>
      <c r="C8" s="57" t="s">
        <v>55</v>
      </c>
      <c r="D8" s="57">
        <v>25</v>
      </c>
      <c r="E8" s="57">
        <v>2.83</v>
      </c>
      <c r="F8" s="57">
        <v>3.89</v>
      </c>
      <c r="G8" s="31">
        <f t="shared" si="0"/>
        <v>11.884723345615</v>
      </c>
      <c r="H8" s="57">
        <v>6.29</v>
      </c>
      <c r="I8" s="57">
        <v>4.57</v>
      </c>
      <c r="J8" s="87">
        <v>86.77</v>
      </c>
      <c r="K8" s="88">
        <f t="shared" si="1"/>
        <v>17.8007</v>
      </c>
      <c r="L8" s="31">
        <f t="shared" si="2"/>
        <v>12.9331</v>
      </c>
      <c r="M8" s="31">
        <f t="shared" si="3"/>
        <v>211.556394858289</v>
      </c>
      <c r="N8" s="31">
        <f t="shared" si="4"/>
        <v>153.706315501173</v>
      </c>
      <c r="O8" s="56">
        <f t="shared" si="5"/>
        <v>5288.90987145722</v>
      </c>
      <c r="P8" s="56">
        <f t="shared" si="6"/>
        <v>3842.65788752933</v>
      </c>
      <c r="Q8" s="56">
        <f t="shared" si="7"/>
        <v>1561.86</v>
      </c>
      <c r="R8" s="56">
        <f>Q8*4.18*天气!D9</f>
        <v>3776334.48956966</v>
      </c>
      <c r="S8" s="56">
        <f t="shared" si="8"/>
        <v>0.250552978341936</v>
      </c>
      <c r="T8" s="31">
        <f t="shared" si="9"/>
        <v>32.3194470216581</v>
      </c>
      <c r="U8" s="56">
        <f t="shared" si="10"/>
        <v>1.56186</v>
      </c>
      <c r="V8" s="56">
        <f>U8*(天气!B6+273.15)/217</f>
        <v>2.2099959124424</v>
      </c>
      <c r="W8" s="56">
        <f t="shared" si="11"/>
        <v>0.0637934333759315</v>
      </c>
      <c r="X8" s="31">
        <f t="shared" si="12"/>
        <v>0.603793433375932</v>
      </c>
      <c r="Y8" s="56">
        <f t="shared" si="13"/>
        <v>18.9541826734967</v>
      </c>
      <c r="Z8" s="56">
        <f t="shared" si="14"/>
        <v>40.9425017161703</v>
      </c>
      <c r="AA8" s="42">
        <f t="shared" si="15"/>
        <v>30.735285807294</v>
      </c>
      <c r="AB8" s="46"/>
    </row>
    <row r="9" s="42" customFormat="1" spans="1:28">
      <c r="A9" s="59"/>
      <c r="B9" s="59" t="s">
        <v>102</v>
      </c>
      <c r="C9" s="60" t="s">
        <v>44</v>
      </c>
      <c r="D9" s="59">
        <v>700</v>
      </c>
      <c r="E9" s="59">
        <v>4.11</v>
      </c>
      <c r="F9" s="59">
        <v>0.15</v>
      </c>
      <c r="G9" s="61">
        <f t="shared" si="0"/>
        <v>0.017671458375</v>
      </c>
      <c r="H9" s="59">
        <v>6.34</v>
      </c>
      <c r="I9" s="59">
        <v>4.61</v>
      </c>
      <c r="J9" s="89">
        <v>0.04</v>
      </c>
      <c r="K9" s="90">
        <f t="shared" si="1"/>
        <v>26.0574</v>
      </c>
      <c r="L9" s="61">
        <f t="shared" si="2"/>
        <v>18.9471</v>
      </c>
      <c r="M9" s="61">
        <f t="shared" si="3"/>
        <v>0.460472259460725</v>
      </c>
      <c r="N9" s="31">
        <f t="shared" si="4"/>
        <v>0.334822888976962</v>
      </c>
      <c r="O9" s="56">
        <f t="shared" si="5"/>
        <v>322.330581622507</v>
      </c>
      <c r="P9" s="56">
        <f t="shared" si="6"/>
        <v>234.376022283874</v>
      </c>
      <c r="Q9" s="56">
        <f t="shared" si="7"/>
        <v>0.72</v>
      </c>
      <c r="R9" s="56">
        <f>Q9*4.18*天气!D9</f>
        <v>1740.847984128</v>
      </c>
      <c r="S9" s="56">
        <f t="shared" si="8"/>
        <v>0.000115502122089172</v>
      </c>
      <c r="T9" s="31">
        <f t="shared" si="9"/>
        <v>32.5698844978779</v>
      </c>
      <c r="U9" s="56">
        <f t="shared" si="10"/>
        <v>0.00072</v>
      </c>
      <c r="V9" s="56">
        <f>U9*(天气!B6+273.15)/217</f>
        <v>0.00101878341013825</v>
      </c>
      <c r="W9" s="56">
        <f t="shared" si="11"/>
        <v>2.94080596408581e-5</v>
      </c>
      <c r="X9" s="31">
        <f t="shared" si="12"/>
        <v>0.540029408059641</v>
      </c>
      <c r="Y9" s="56">
        <f t="shared" si="13"/>
        <v>0.00036377831128306</v>
      </c>
      <c r="Z9" s="56">
        <f t="shared" si="14"/>
        <v>40.0463665132368</v>
      </c>
      <c r="AA9" s="42">
        <f t="shared" si="15"/>
        <v>30.1186121623036</v>
      </c>
      <c r="AB9" s="46"/>
    </row>
    <row r="10" s="42" customFormat="1" spans="1:28">
      <c r="A10" s="59"/>
      <c r="B10" s="59"/>
      <c r="C10" s="60" t="s">
        <v>66</v>
      </c>
      <c r="D10" s="58">
        <v>1900</v>
      </c>
      <c r="E10" s="59">
        <v>5.02</v>
      </c>
      <c r="F10" s="59">
        <v>0.2</v>
      </c>
      <c r="G10" s="61">
        <f t="shared" si="0"/>
        <v>0.031415926</v>
      </c>
      <c r="H10" s="59">
        <v>6.14</v>
      </c>
      <c r="I10" s="59">
        <v>4.45</v>
      </c>
      <c r="J10" s="89">
        <v>0.02</v>
      </c>
      <c r="K10" s="90">
        <f t="shared" si="1"/>
        <v>30.8228</v>
      </c>
      <c r="L10" s="61">
        <f t="shared" si="2"/>
        <v>22.339</v>
      </c>
      <c r="M10" s="61">
        <f t="shared" si="3"/>
        <v>0.9683268039128</v>
      </c>
      <c r="N10" s="31">
        <f t="shared" si="4"/>
        <v>0.701800370914</v>
      </c>
      <c r="O10" s="56">
        <f t="shared" si="5"/>
        <v>1839.82092743432</v>
      </c>
      <c r="P10" s="56">
        <f t="shared" si="6"/>
        <v>1333.4207047366</v>
      </c>
      <c r="Q10" s="56">
        <f t="shared" si="7"/>
        <v>0.36</v>
      </c>
      <c r="R10" s="56">
        <f>Q10*4.18*天气!D9</f>
        <v>870.423992064</v>
      </c>
      <c r="S10" s="56">
        <f t="shared" si="8"/>
        <v>5.7751061044586e-5</v>
      </c>
      <c r="T10" s="31">
        <f t="shared" si="9"/>
        <v>32.569942248939</v>
      </c>
      <c r="U10" s="56">
        <f t="shared" si="10"/>
        <v>0.00036</v>
      </c>
      <c r="V10" s="56">
        <f>U10*(天气!B6+273.15)/217</f>
        <v>0.000509391705069124</v>
      </c>
      <c r="W10" s="56">
        <f t="shared" si="11"/>
        <v>1.47040298204291e-5</v>
      </c>
      <c r="X10" s="31">
        <f t="shared" si="12"/>
        <v>0.54001470402982</v>
      </c>
      <c r="Y10" s="56">
        <f t="shared" si="13"/>
        <v>0.000877687354206747</v>
      </c>
      <c r="Z10" s="56">
        <f t="shared" si="14"/>
        <v>40.0461598638184</v>
      </c>
      <c r="AA10" s="42">
        <f t="shared" si="15"/>
        <v>30.1184688813998</v>
      </c>
      <c r="AB10" s="46"/>
    </row>
    <row r="11" s="43" customFormat="1" spans="1:28">
      <c r="A11" s="62" t="s">
        <v>110</v>
      </c>
      <c r="B11" s="63" t="s">
        <v>17</v>
      </c>
      <c r="C11" s="64" t="s">
        <v>18</v>
      </c>
      <c r="D11" s="63">
        <v>20</v>
      </c>
      <c r="E11" s="63">
        <v>1.46</v>
      </c>
      <c r="F11" s="63">
        <v>4</v>
      </c>
      <c r="G11" s="65">
        <f t="shared" si="0"/>
        <v>12.5663704</v>
      </c>
      <c r="H11" s="63">
        <v>3.67</v>
      </c>
      <c r="I11" s="63">
        <v>3.27</v>
      </c>
      <c r="J11" s="91">
        <v>54.44</v>
      </c>
      <c r="K11" s="92">
        <f t="shared" si="1"/>
        <v>5.3582</v>
      </c>
      <c r="L11" s="65">
        <f t="shared" si="2"/>
        <v>4.7742</v>
      </c>
      <c r="M11" s="65">
        <f t="shared" si="3"/>
        <v>67.33312587728</v>
      </c>
      <c r="N11" s="65">
        <f t="shared" si="4"/>
        <v>59.99436556368</v>
      </c>
      <c r="O11" s="63">
        <f t="shared" si="5"/>
        <v>1346.6625175456</v>
      </c>
      <c r="P11" s="63">
        <f t="shared" si="6"/>
        <v>1199.8873112736</v>
      </c>
      <c r="Q11" s="63">
        <f t="shared" si="7"/>
        <v>979.92</v>
      </c>
      <c r="R11" s="63">
        <f>Q11*4.18*天气!D9</f>
        <v>2369294.10639821</v>
      </c>
      <c r="S11" s="63">
        <f t="shared" si="8"/>
        <v>0.157198388163363</v>
      </c>
      <c r="T11" s="65">
        <f t="shared" si="9"/>
        <v>32.4128016118366</v>
      </c>
      <c r="U11" s="63">
        <f t="shared" si="10"/>
        <v>0.97992</v>
      </c>
      <c r="V11" s="63">
        <f>U11*(天气!B6+273.15)/217</f>
        <v>1.38656422119816</v>
      </c>
      <c r="W11" s="63">
        <f t="shared" si="11"/>
        <v>0.0400243691712079</v>
      </c>
      <c r="X11" s="65">
        <f t="shared" si="12"/>
        <v>0.580024369171208</v>
      </c>
      <c r="Y11" s="63">
        <f t="shared" si="13"/>
        <v>10.0592209606348</v>
      </c>
      <c r="Z11" s="63">
        <f t="shared" si="14"/>
        <v>40.6084529313111</v>
      </c>
      <c r="AA11" s="43">
        <f t="shared" si="15"/>
        <v>30.5065010493295</v>
      </c>
      <c r="AB11" s="46">
        <f>AVERAGE(AA11:AA16)</f>
        <v>30.7956418400934</v>
      </c>
    </row>
    <row r="12" s="43" customFormat="1" spans="1:28">
      <c r="A12" s="62"/>
      <c r="B12" s="63"/>
      <c r="C12" s="64" t="s">
        <v>60</v>
      </c>
      <c r="D12" s="64">
        <v>20</v>
      </c>
      <c r="E12" s="64">
        <v>2.64</v>
      </c>
      <c r="F12" s="64">
        <v>3.22</v>
      </c>
      <c r="G12" s="65">
        <f t="shared" si="0"/>
        <v>8.14332217846</v>
      </c>
      <c r="H12" s="64">
        <v>10.23</v>
      </c>
      <c r="I12" s="64">
        <v>7.44</v>
      </c>
      <c r="J12" s="91">
        <v>128.14</v>
      </c>
      <c r="K12" s="92">
        <f t="shared" si="1"/>
        <v>27.0072</v>
      </c>
      <c r="L12" s="65">
        <f t="shared" si="2"/>
        <v>19.6416</v>
      </c>
      <c r="M12" s="65">
        <f t="shared" si="3"/>
        <v>219.928330738105</v>
      </c>
      <c r="N12" s="65">
        <f t="shared" si="4"/>
        <v>159.94787690044</v>
      </c>
      <c r="O12" s="63">
        <f t="shared" si="5"/>
        <v>4398.5666147621</v>
      </c>
      <c r="P12" s="63">
        <f t="shared" si="6"/>
        <v>3198.9575380088</v>
      </c>
      <c r="Q12" s="63">
        <f t="shared" si="7"/>
        <v>2306.52</v>
      </c>
      <c r="R12" s="63">
        <f>Q12*4.18*天气!D9</f>
        <v>5576806.51715405</v>
      </c>
      <c r="S12" s="63">
        <f t="shared" si="8"/>
        <v>0.370011048112662</v>
      </c>
      <c r="T12" s="65">
        <f t="shared" si="9"/>
        <v>32.1999889518873</v>
      </c>
      <c r="U12" s="63">
        <f t="shared" si="10"/>
        <v>2.30652</v>
      </c>
      <c r="V12" s="63">
        <f>U12*(天气!B6+273.15)/217</f>
        <v>3.26367265437788</v>
      </c>
      <c r="W12" s="63">
        <f t="shared" si="11"/>
        <v>0.0942087190594891</v>
      </c>
      <c r="X12" s="65">
        <f t="shared" si="12"/>
        <v>0.634208719059489</v>
      </c>
      <c r="Y12" s="63">
        <f t="shared" si="13"/>
        <v>15.3434390264289</v>
      </c>
      <c r="Z12" s="63">
        <f t="shared" si="14"/>
        <v>41.3699560381506</v>
      </c>
      <c r="AA12" s="43">
        <f t="shared" si="15"/>
        <v>31.0261525030163</v>
      </c>
      <c r="AB12" s="46"/>
    </row>
    <row r="13" s="43" customFormat="1" spans="1:28">
      <c r="A13" s="66"/>
      <c r="B13" s="66" t="s">
        <v>36</v>
      </c>
      <c r="C13" s="67" t="s">
        <v>111</v>
      </c>
      <c r="D13" s="66">
        <v>40</v>
      </c>
      <c r="E13" s="66">
        <v>2.49</v>
      </c>
      <c r="F13" s="66">
        <v>1</v>
      </c>
      <c r="G13" s="68">
        <f t="shared" si="0"/>
        <v>0.78539815</v>
      </c>
      <c r="H13" s="66">
        <v>3.23</v>
      </c>
      <c r="I13" s="66">
        <v>2.35</v>
      </c>
      <c r="J13" s="93">
        <v>185.861</v>
      </c>
      <c r="K13" s="94">
        <f t="shared" si="1"/>
        <v>8.0427</v>
      </c>
      <c r="L13" s="68">
        <f t="shared" si="2"/>
        <v>5.8515</v>
      </c>
      <c r="M13" s="68">
        <f t="shared" si="3"/>
        <v>6.316721701005</v>
      </c>
      <c r="N13" s="65">
        <f t="shared" si="4"/>
        <v>4.595757274725</v>
      </c>
      <c r="O13" s="63">
        <f t="shared" si="5"/>
        <v>252.6688680402</v>
      </c>
      <c r="P13" s="63">
        <f t="shared" si="6"/>
        <v>183.830290989</v>
      </c>
      <c r="Q13" s="63">
        <f t="shared" si="7"/>
        <v>3345.498</v>
      </c>
      <c r="R13" s="63">
        <f>Q13*4.18*天气!D9</f>
        <v>8088893.67945035</v>
      </c>
      <c r="S13" s="63">
        <f t="shared" si="8"/>
        <v>0.53668349784039</v>
      </c>
      <c r="T13" s="65">
        <f t="shared" si="9"/>
        <v>32.0333165021596</v>
      </c>
      <c r="U13" s="63">
        <f t="shared" si="10"/>
        <v>3.345498</v>
      </c>
      <c r="V13" s="63">
        <f>U13*(天气!B6+273.15)/217</f>
        <v>4.73380258479263</v>
      </c>
      <c r="W13" s="63">
        <f t="shared" si="11"/>
        <v>0.136645284322738</v>
      </c>
      <c r="X13" s="65">
        <f t="shared" si="12"/>
        <v>0.676645284322738</v>
      </c>
      <c r="Y13" s="63">
        <f t="shared" si="13"/>
        <v>4.29283814053211</v>
      </c>
      <c r="Z13" s="63">
        <f t="shared" si="14"/>
        <v>41.9663565921518</v>
      </c>
      <c r="AA13" s="43">
        <f t="shared" si="15"/>
        <v>31.4284352177563</v>
      </c>
      <c r="AB13" s="46"/>
    </row>
    <row r="14" s="43" customFormat="1" spans="1:28">
      <c r="A14" s="66"/>
      <c r="B14" s="66"/>
      <c r="C14" s="67" t="s">
        <v>38</v>
      </c>
      <c r="D14" s="69">
        <v>145</v>
      </c>
      <c r="E14" s="66">
        <v>2.98</v>
      </c>
      <c r="F14" s="66">
        <v>1.2</v>
      </c>
      <c r="G14" s="68">
        <f t="shared" si="0"/>
        <v>1.130973336</v>
      </c>
      <c r="H14" s="66">
        <v>7.3</v>
      </c>
      <c r="I14" s="66">
        <v>5.31</v>
      </c>
      <c r="J14" s="93">
        <v>51.56</v>
      </c>
      <c r="K14" s="94">
        <f t="shared" si="1"/>
        <v>21.754</v>
      </c>
      <c r="L14" s="68">
        <f t="shared" si="2"/>
        <v>15.8238</v>
      </c>
      <c r="M14" s="68">
        <f t="shared" si="3"/>
        <v>24.603193951344</v>
      </c>
      <c r="N14" s="65">
        <f t="shared" si="4"/>
        <v>17.8962958741968</v>
      </c>
      <c r="O14" s="63">
        <f t="shared" si="5"/>
        <v>3567.46312294488</v>
      </c>
      <c r="P14" s="63">
        <f t="shared" si="6"/>
        <v>2594.96290175854</v>
      </c>
      <c r="Q14" s="63">
        <f t="shared" si="7"/>
        <v>928.08</v>
      </c>
      <c r="R14" s="63">
        <f>Q14*4.18*天气!D9</f>
        <v>2243953.05154099</v>
      </c>
      <c r="S14" s="63">
        <f t="shared" si="8"/>
        <v>0.148882235372943</v>
      </c>
      <c r="T14" s="65">
        <f t="shared" si="9"/>
        <v>32.4211177646271</v>
      </c>
      <c r="U14" s="63">
        <f t="shared" si="10"/>
        <v>0.92808</v>
      </c>
      <c r="V14" s="63">
        <f>U14*(天气!B6+273.15)/217</f>
        <v>1.3132118156682</v>
      </c>
      <c r="W14" s="63">
        <f t="shared" si="11"/>
        <v>0.0379069888770662</v>
      </c>
      <c r="X14" s="65">
        <f t="shared" si="12"/>
        <v>0.577906988877066</v>
      </c>
      <c r="Y14" s="63">
        <f t="shared" si="13"/>
        <v>6.21641008186151</v>
      </c>
      <c r="Z14" s="63">
        <f t="shared" si="14"/>
        <v>40.5786954150601</v>
      </c>
      <c r="AA14" s="43">
        <f t="shared" si="15"/>
        <v>30.4860577340693</v>
      </c>
      <c r="AB14" s="46"/>
    </row>
    <row r="15" s="43" customFormat="1" spans="1:28">
      <c r="A15" s="66"/>
      <c r="B15" s="66"/>
      <c r="C15" s="67" t="s">
        <v>61</v>
      </c>
      <c r="D15" s="69">
        <v>45</v>
      </c>
      <c r="E15" s="66">
        <v>2.82</v>
      </c>
      <c r="F15" s="66">
        <v>1.88</v>
      </c>
      <c r="G15" s="68">
        <f t="shared" si="0"/>
        <v>2.77591122136</v>
      </c>
      <c r="H15" s="66">
        <v>4.83</v>
      </c>
      <c r="I15" s="66">
        <v>3.51</v>
      </c>
      <c r="J15" s="93">
        <v>63.6</v>
      </c>
      <c r="K15" s="94">
        <f t="shared" si="1"/>
        <v>13.6206</v>
      </c>
      <c r="L15" s="68">
        <f t="shared" si="2"/>
        <v>9.8982</v>
      </c>
      <c r="M15" s="68">
        <f t="shared" si="3"/>
        <v>37.809576381656</v>
      </c>
      <c r="N15" s="65">
        <f t="shared" si="4"/>
        <v>27.4765244512655</v>
      </c>
      <c r="O15" s="63">
        <f t="shared" si="5"/>
        <v>1701.43093717452</v>
      </c>
      <c r="P15" s="63">
        <f t="shared" si="6"/>
        <v>1236.44360030695</v>
      </c>
      <c r="Q15" s="63">
        <f t="shared" si="7"/>
        <v>1144.8</v>
      </c>
      <c r="R15" s="63">
        <f>Q15*4.18*天气!D9</f>
        <v>2767948.29476352</v>
      </c>
      <c r="S15" s="63">
        <f t="shared" si="8"/>
        <v>0.183648374121783</v>
      </c>
      <c r="T15" s="65">
        <f t="shared" si="9"/>
        <v>32.3863516258782</v>
      </c>
      <c r="U15" s="63">
        <f t="shared" si="10"/>
        <v>1.1448</v>
      </c>
      <c r="V15" s="63">
        <f>U15*(天气!B6+273.15)/217</f>
        <v>1.61986562211982</v>
      </c>
      <c r="W15" s="63">
        <f t="shared" si="11"/>
        <v>0.0467588148289645</v>
      </c>
      <c r="X15" s="65">
        <f t="shared" si="12"/>
        <v>0.586758814828965</v>
      </c>
      <c r="Y15" s="63">
        <f t="shared" si="13"/>
        <v>5.84092434515476</v>
      </c>
      <c r="Z15" s="63">
        <f t="shared" si="14"/>
        <v>40.7030983649427</v>
      </c>
      <c r="AA15" s="43">
        <f t="shared" si="15"/>
        <v>30.5714537830981</v>
      </c>
      <c r="AB15" s="46"/>
    </row>
    <row r="16" s="43" customFormat="1" spans="1:28">
      <c r="A16" s="66"/>
      <c r="B16" s="66"/>
      <c r="C16" s="67" t="s">
        <v>43</v>
      </c>
      <c r="D16" s="66">
        <v>100</v>
      </c>
      <c r="E16" s="66">
        <v>3.45</v>
      </c>
      <c r="F16" s="66">
        <v>0.8</v>
      </c>
      <c r="G16" s="68">
        <f t="shared" si="0"/>
        <v>0.502654816</v>
      </c>
      <c r="H16" s="66">
        <v>1.89</v>
      </c>
      <c r="I16" s="66">
        <v>1.37</v>
      </c>
      <c r="J16" s="93">
        <v>89.6</v>
      </c>
      <c r="K16" s="94">
        <f t="shared" si="1"/>
        <v>6.5205</v>
      </c>
      <c r="L16" s="68">
        <f t="shared" si="2"/>
        <v>4.7265</v>
      </c>
      <c r="M16" s="68">
        <f t="shared" si="3"/>
        <v>3.277560727728</v>
      </c>
      <c r="N16" s="65">
        <f t="shared" si="4"/>
        <v>2.375797987824</v>
      </c>
      <c r="O16" s="63">
        <f t="shared" si="5"/>
        <v>327.7560727728</v>
      </c>
      <c r="P16" s="63">
        <f t="shared" si="6"/>
        <v>237.5797987824</v>
      </c>
      <c r="Q16" s="63">
        <f t="shared" si="7"/>
        <v>1612.8</v>
      </c>
      <c r="R16" s="63">
        <f>Q16*4.18*天气!D9</f>
        <v>3899499.48444672</v>
      </c>
      <c r="S16" s="63">
        <f t="shared" si="8"/>
        <v>0.258724753479745</v>
      </c>
      <c r="T16" s="65">
        <f t="shared" si="9"/>
        <v>32.3112752465203</v>
      </c>
      <c r="U16" s="63">
        <f t="shared" si="10"/>
        <v>1.6128</v>
      </c>
      <c r="V16" s="63">
        <f>U16*(天气!B6+273.15)/217</f>
        <v>2.28207483870968</v>
      </c>
      <c r="W16" s="63">
        <f t="shared" si="11"/>
        <v>0.0658740535955222</v>
      </c>
      <c r="X16" s="65">
        <f t="shared" si="12"/>
        <v>0.605874053595522</v>
      </c>
      <c r="Y16" s="63">
        <f t="shared" si="13"/>
        <v>3.31119102892314</v>
      </c>
      <c r="Z16" s="63">
        <f t="shared" si="14"/>
        <v>40.9717426088752</v>
      </c>
      <c r="AA16" s="43">
        <f t="shared" si="15"/>
        <v>30.755250753291</v>
      </c>
      <c r="AB16" s="46"/>
    </row>
    <row r="17" s="44" customFormat="1" spans="1:28">
      <c r="A17" s="70" t="s">
        <v>116</v>
      </c>
      <c r="B17" s="71" t="s">
        <v>17</v>
      </c>
      <c r="C17" s="72" t="s">
        <v>22</v>
      </c>
      <c r="D17" s="73">
        <v>8</v>
      </c>
      <c r="E17" s="71">
        <v>9.26</v>
      </c>
      <c r="F17" s="71">
        <v>3</v>
      </c>
      <c r="G17" s="74">
        <f t="shared" si="0"/>
        <v>7.06858335</v>
      </c>
      <c r="H17" s="71">
        <v>6.86</v>
      </c>
      <c r="I17" s="71">
        <v>4.99</v>
      </c>
      <c r="J17" s="71">
        <v>50.8</v>
      </c>
      <c r="K17" s="95">
        <f t="shared" si="1"/>
        <v>63.5236</v>
      </c>
      <c r="L17" s="74">
        <f t="shared" si="2"/>
        <v>46.2074</v>
      </c>
      <c r="M17" s="74">
        <f t="shared" si="3"/>
        <v>449.02186129206</v>
      </c>
      <c r="N17" s="74">
        <f t="shared" si="4"/>
        <v>326.62085828679</v>
      </c>
      <c r="O17" s="71">
        <f t="shared" si="5"/>
        <v>3592.17489033648</v>
      </c>
      <c r="P17" s="71">
        <f t="shared" si="6"/>
        <v>2612.96686629432</v>
      </c>
      <c r="Q17" s="71">
        <f t="shared" si="7"/>
        <v>914.4</v>
      </c>
      <c r="R17" s="71">
        <f>Q17*4.18*天气!D9</f>
        <v>2210876.93984256</v>
      </c>
      <c r="S17" s="71">
        <f t="shared" si="8"/>
        <v>0.146687695053248</v>
      </c>
      <c r="T17" s="74">
        <f t="shared" si="9"/>
        <v>32.4233123049468</v>
      </c>
      <c r="U17" s="71">
        <f t="shared" si="10"/>
        <v>0.9144</v>
      </c>
      <c r="V17" s="71">
        <f>U17*(天气!B6+273.15)/217</f>
        <v>1.29385493087558</v>
      </c>
      <c r="W17" s="71">
        <f t="shared" si="11"/>
        <v>0.0373482357438898</v>
      </c>
      <c r="X17" s="74">
        <f t="shared" si="12"/>
        <v>0.57734823574389</v>
      </c>
      <c r="Y17" s="71">
        <f t="shared" si="13"/>
        <v>2.11199293864908</v>
      </c>
      <c r="Z17" s="71">
        <f t="shared" si="14"/>
        <v>40.5708427371605</v>
      </c>
      <c r="AA17" s="44">
        <f t="shared" si="15"/>
        <v>30.4806612554384</v>
      </c>
      <c r="AB17" s="46">
        <f>AVERAGE(AA17:AA24)</f>
        <v>30.4881323557302</v>
      </c>
    </row>
    <row r="18" s="44" customFormat="1" spans="1:28">
      <c r="A18" s="70"/>
      <c r="B18" s="71"/>
      <c r="C18" s="72" t="s">
        <v>40</v>
      </c>
      <c r="D18" s="71">
        <v>40</v>
      </c>
      <c r="E18" s="71">
        <v>3.11</v>
      </c>
      <c r="F18" s="71">
        <v>0.8</v>
      </c>
      <c r="G18" s="74">
        <f t="shared" si="0"/>
        <v>0.502654816</v>
      </c>
      <c r="H18" s="71">
        <v>13.51</v>
      </c>
      <c r="I18" s="71">
        <v>9.83</v>
      </c>
      <c r="J18" s="96">
        <v>132.149</v>
      </c>
      <c r="K18" s="95">
        <f t="shared" si="1"/>
        <v>42.0161</v>
      </c>
      <c r="L18" s="74">
        <f t="shared" si="2"/>
        <v>30.5713</v>
      </c>
      <c r="M18" s="74">
        <f t="shared" si="3"/>
        <v>21.1195950145376</v>
      </c>
      <c r="N18" s="74">
        <f t="shared" si="4"/>
        <v>15.3668111763808</v>
      </c>
      <c r="O18" s="71">
        <f t="shared" si="5"/>
        <v>844.783800581504</v>
      </c>
      <c r="P18" s="71">
        <f t="shared" si="6"/>
        <v>614.672447055232</v>
      </c>
      <c r="Q18" s="71">
        <f t="shared" si="7"/>
        <v>2378.682</v>
      </c>
      <c r="R18" s="71">
        <f>Q18*4.18*天气!D9</f>
        <v>5751283.00636328</v>
      </c>
      <c r="S18" s="71">
        <f t="shared" si="8"/>
        <v>0.38158724829905</v>
      </c>
      <c r="T18" s="74">
        <f t="shared" si="9"/>
        <v>32.188412751701</v>
      </c>
      <c r="U18" s="71">
        <f t="shared" si="10"/>
        <v>2.378682</v>
      </c>
      <c r="V18" s="71">
        <f>U18*(天气!B6+273.15)/217</f>
        <v>3.36578022165899</v>
      </c>
      <c r="W18" s="71">
        <f t="shared" si="11"/>
        <v>0.0971561418369941</v>
      </c>
      <c r="X18" s="74">
        <f t="shared" si="12"/>
        <v>0.637156141836994</v>
      </c>
      <c r="Y18" s="71">
        <f t="shared" si="13"/>
        <v>1.95344010393377</v>
      </c>
      <c r="Z18" s="71">
        <f t="shared" si="14"/>
        <v>41.4113789140708</v>
      </c>
      <c r="AA18" s="44">
        <f t="shared" si="15"/>
        <v>31.0542264481439</v>
      </c>
      <c r="AB18" s="46"/>
    </row>
    <row r="19" s="44" customFormat="1" spans="1:28">
      <c r="A19" s="75"/>
      <c r="B19" s="75" t="s">
        <v>36</v>
      </c>
      <c r="C19" s="76" t="s">
        <v>38</v>
      </c>
      <c r="D19" s="73">
        <v>45</v>
      </c>
      <c r="E19" s="75">
        <v>2.98</v>
      </c>
      <c r="F19" s="75">
        <v>1.2</v>
      </c>
      <c r="G19" s="77">
        <f t="shared" si="0"/>
        <v>1.130973336</v>
      </c>
      <c r="H19" s="75">
        <v>7.3</v>
      </c>
      <c r="I19" s="75">
        <v>5.31</v>
      </c>
      <c r="J19" s="97">
        <v>51.56</v>
      </c>
      <c r="K19" s="98">
        <f t="shared" si="1"/>
        <v>21.754</v>
      </c>
      <c r="L19" s="77">
        <f t="shared" si="2"/>
        <v>15.8238</v>
      </c>
      <c r="M19" s="77">
        <f t="shared" si="3"/>
        <v>24.603193951344</v>
      </c>
      <c r="N19" s="74">
        <f t="shared" si="4"/>
        <v>17.8962958741968</v>
      </c>
      <c r="O19" s="71">
        <f t="shared" si="5"/>
        <v>1107.14372781048</v>
      </c>
      <c r="P19" s="71">
        <f t="shared" si="6"/>
        <v>805.333314338856</v>
      </c>
      <c r="Q19" s="71">
        <f t="shared" si="7"/>
        <v>928.08</v>
      </c>
      <c r="R19" s="71">
        <f>Q19*4.18*天气!D9</f>
        <v>2243953.05154099</v>
      </c>
      <c r="S19" s="71">
        <f t="shared" si="8"/>
        <v>0.148882235372943</v>
      </c>
      <c r="T19" s="74">
        <f t="shared" si="9"/>
        <v>32.4211177646271</v>
      </c>
      <c r="U19" s="71">
        <f t="shared" si="10"/>
        <v>0.92808</v>
      </c>
      <c r="V19" s="71">
        <f>U19*(天气!B6+273.15)/217</f>
        <v>1.3132118156682</v>
      </c>
      <c r="W19" s="71">
        <f t="shared" si="11"/>
        <v>0.0379069888770662</v>
      </c>
      <c r="X19" s="74">
        <f t="shared" si="12"/>
        <v>0.577906988877066</v>
      </c>
      <c r="Y19" s="71">
        <f t="shared" si="13"/>
        <v>1.92923071506047</v>
      </c>
      <c r="Z19" s="71">
        <f t="shared" si="14"/>
        <v>40.5786954150601</v>
      </c>
      <c r="AA19" s="44">
        <f t="shared" si="15"/>
        <v>30.4860577340693</v>
      </c>
      <c r="AB19" s="46"/>
    </row>
    <row r="20" s="44" customFormat="1" spans="1:28">
      <c r="A20" s="75"/>
      <c r="B20" s="75"/>
      <c r="C20" s="76" t="s">
        <v>39</v>
      </c>
      <c r="D20" s="73">
        <v>45</v>
      </c>
      <c r="E20" s="75">
        <v>2.75</v>
      </c>
      <c r="F20" s="75">
        <v>0.8</v>
      </c>
      <c r="G20" s="77">
        <f t="shared" si="0"/>
        <v>0.502654816</v>
      </c>
      <c r="H20" s="75">
        <v>3.64</v>
      </c>
      <c r="I20" s="75">
        <v>2.91</v>
      </c>
      <c r="J20" s="97">
        <v>56.27</v>
      </c>
      <c r="K20" s="98">
        <f t="shared" si="1"/>
        <v>10.01</v>
      </c>
      <c r="L20" s="77">
        <f t="shared" si="2"/>
        <v>8.0025</v>
      </c>
      <c r="M20" s="77">
        <f t="shared" si="3"/>
        <v>5.03157470816</v>
      </c>
      <c r="N20" s="74">
        <f t="shared" si="4"/>
        <v>4.02249516504</v>
      </c>
      <c r="O20" s="71">
        <f t="shared" si="5"/>
        <v>226.4208618672</v>
      </c>
      <c r="P20" s="71">
        <f t="shared" si="6"/>
        <v>181.0122824268</v>
      </c>
      <c r="Q20" s="71">
        <f t="shared" si="7"/>
        <v>1012.86</v>
      </c>
      <c r="R20" s="71">
        <f>Q20*4.18*天气!D9</f>
        <v>2448937.90167206</v>
      </c>
      <c r="S20" s="71">
        <f t="shared" si="8"/>
        <v>0.162482610248943</v>
      </c>
      <c r="T20" s="74">
        <f t="shared" si="9"/>
        <v>32.4075173897511</v>
      </c>
      <c r="U20" s="71">
        <f t="shared" si="10"/>
        <v>1.01286</v>
      </c>
      <c r="V20" s="71">
        <f>U20*(天气!B6+273.15)/217</f>
        <v>1.43317356221198</v>
      </c>
      <c r="W20" s="71">
        <f t="shared" si="11"/>
        <v>0.0413697878997772</v>
      </c>
      <c r="X20" s="74">
        <f t="shared" si="12"/>
        <v>0.581369787899777</v>
      </c>
      <c r="Y20" s="71">
        <f t="shared" si="13"/>
        <v>0.935762540612469</v>
      </c>
      <c r="Z20" s="71">
        <f t="shared" si="14"/>
        <v>40.6273613530956</v>
      </c>
      <c r="AA20" s="44">
        <f t="shared" si="15"/>
        <v>30.5194857294937</v>
      </c>
      <c r="AB20" s="46"/>
    </row>
    <row r="21" s="44" customFormat="1" spans="1:28">
      <c r="A21" s="75"/>
      <c r="B21" s="75"/>
      <c r="C21" s="76" t="s">
        <v>62</v>
      </c>
      <c r="D21" s="75">
        <v>35</v>
      </c>
      <c r="E21" s="75">
        <v>3.18</v>
      </c>
      <c r="F21" s="75">
        <v>2.55</v>
      </c>
      <c r="G21" s="77">
        <f t="shared" si="0"/>
        <v>5.107051470375</v>
      </c>
      <c r="H21" s="75">
        <v>8.48</v>
      </c>
      <c r="I21" s="75">
        <v>6.17</v>
      </c>
      <c r="J21" s="97">
        <v>103.22</v>
      </c>
      <c r="K21" s="98">
        <f t="shared" si="1"/>
        <v>26.9664</v>
      </c>
      <c r="L21" s="77">
        <f t="shared" si="2"/>
        <v>19.6206</v>
      </c>
      <c r="M21" s="77">
        <f t="shared" si="3"/>
        <v>137.71879277072</v>
      </c>
      <c r="N21" s="74">
        <f t="shared" si="4"/>
        <v>100.20341407964</v>
      </c>
      <c r="O21" s="71">
        <f t="shared" si="5"/>
        <v>4820.15774697521</v>
      </c>
      <c r="P21" s="71">
        <f t="shared" si="6"/>
        <v>3507.11949278739</v>
      </c>
      <c r="Q21" s="71">
        <f t="shared" si="7"/>
        <v>1857.96</v>
      </c>
      <c r="R21" s="71">
        <f>Q21*4.18*天气!D9</f>
        <v>4492258.2230423</v>
      </c>
      <c r="S21" s="71">
        <f t="shared" si="8"/>
        <v>0.298053226051108</v>
      </c>
      <c r="T21" s="74">
        <f t="shared" si="9"/>
        <v>32.2719467739489</v>
      </c>
      <c r="U21" s="71">
        <f t="shared" si="10"/>
        <v>1.85796</v>
      </c>
      <c r="V21" s="71">
        <f>U21*(天气!B6+273.15)/217</f>
        <v>2.62897058986175</v>
      </c>
      <c r="W21" s="71">
        <f t="shared" si="11"/>
        <v>0.0758874979032344</v>
      </c>
      <c r="X21" s="74">
        <f t="shared" si="12"/>
        <v>0.615887497903234</v>
      </c>
      <c r="Y21" s="71">
        <f t="shared" si="13"/>
        <v>13.5646475212428</v>
      </c>
      <c r="Z21" s="71">
        <f t="shared" si="14"/>
        <v>41.1124708628122</v>
      </c>
      <c r="AA21" s="44">
        <f t="shared" si="15"/>
        <v>30.8511975779241</v>
      </c>
      <c r="AB21" s="46"/>
    </row>
    <row r="22" s="44" customFormat="1" spans="1:28">
      <c r="A22" s="75"/>
      <c r="B22" s="75"/>
      <c r="C22" s="76" t="s">
        <v>41</v>
      </c>
      <c r="D22" s="75">
        <v>40</v>
      </c>
      <c r="E22" s="75">
        <v>3.14</v>
      </c>
      <c r="F22" s="75">
        <v>0.6</v>
      </c>
      <c r="G22" s="77">
        <f t="shared" si="0"/>
        <v>0.282743334</v>
      </c>
      <c r="H22" s="75">
        <v>2.89</v>
      </c>
      <c r="I22" s="75">
        <v>2.1</v>
      </c>
      <c r="J22" s="97">
        <v>22.1</v>
      </c>
      <c r="K22" s="98">
        <f t="shared" si="1"/>
        <v>9.0746</v>
      </c>
      <c r="L22" s="77">
        <f t="shared" si="2"/>
        <v>6.594</v>
      </c>
      <c r="M22" s="77">
        <f t="shared" si="3"/>
        <v>2.5657826587164</v>
      </c>
      <c r="N22" s="74">
        <f t="shared" si="4"/>
        <v>1.864409544396</v>
      </c>
      <c r="O22" s="71">
        <f t="shared" si="5"/>
        <v>102.631306348656</v>
      </c>
      <c r="P22" s="71">
        <f t="shared" si="6"/>
        <v>74.57638177584</v>
      </c>
      <c r="Q22" s="71">
        <f t="shared" si="7"/>
        <v>397.8</v>
      </c>
      <c r="R22" s="71">
        <f>Q22*4.18*天气!D9</f>
        <v>961818.51123072</v>
      </c>
      <c r="S22" s="71">
        <f t="shared" si="8"/>
        <v>0.0638149224542675</v>
      </c>
      <c r="T22" s="74">
        <f t="shared" si="9"/>
        <v>32.5061850775457</v>
      </c>
      <c r="U22" s="71">
        <f t="shared" si="10"/>
        <v>0.3978</v>
      </c>
      <c r="V22" s="71">
        <f>U22*(天气!B6+273.15)/217</f>
        <v>0.562877834101382</v>
      </c>
      <c r="W22" s="71">
        <f t="shared" si="11"/>
        <v>0.0162479529515741</v>
      </c>
      <c r="X22" s="74">
        <f t="shared" si="12"/>
        <v>0.556247952951574</v>
      </c>
      <c r="Y22" s="71">
        <f t="shared" si="13"/>
        <v>0.183760015528128</v>
      </c>
      <c r="Z22" s="71">
        <f t="shared" si="14"/>
        <v>40.2743008217427</v>
      </c>
      <c r="AA22" s="44">
        <f t="shared" si="15"/>
        <v>30.2763490570687</v>
      </c>
      <c r="AB22" s="46"/>
    </row>
    <row r="23" s="44" customFormat="1" spans="1:28">
      <c r="A23" s="78"/>
      <c r="B23" s="78" t="s">
        <v>102</v>
      </c>
      <c r="C23" s="79" t="s">
        <v>44</v>
      </c>
      <c r="D23" s="78">
        <v>1200</v>
      </c>
      <c r="E23" s="78">
        <v>4.11</v>
      </c>
      <c r="F23" s="78">
        <v>0.15</v>
      </c>
      <c r="G23" s="80">
        <f t="shared" si="0"/>
        <v>0.017671458375</v>
      </c>
      <c r="H23" s="78">
        <v>6.34</v>
      </c>
      <c r="I23" s="78">
        <v>4.61</v>
      </c>
      <c r="J23" s="99">
        <v>0.04</v>
      </c>
      <c r="K23" s="100">
        <f t="shared" si="1"/>
        <v>26.0574</v>
      </c>
      <c r="L23" s="80">
        <f t="shared" si="2"/>
        <v>18.9471</v>
      </c>
      <c r="M23" s="80">
        <f t="shared" si="3"/>
        <v>0.460472259460725</v>
      </c>
      <c r="N23" s="74">
        <f t="shared" si="4"/>
        <v>0.334822888976962</v>
      </c>
      <c r="O23" s="71">
        <f t="shared" si="5"/>
        <v>552.56671135287</v>
      </c>
      <c r="P23" s="71">
        <f t="shared" si="6"/>
        <v>401.787466772355</v>
      </c>
      <c r="Q23" s="71">
        <f t="shared" si="7"/>
        <v>0.72</v>
      </c>
      <c r="R23" s="71">
        <f>Q23*4.18*天气!D9</f>
        <v>1740.847984128</v>
      </c>
      <c r="S23" s="71">
        <f t="shared" si="8"/>
        <v>0.000115502122089172</v>
      </c>
      <c r="T23" s="74">
        <f t="shared" si="9"/>
        <v>32.5698844978779</v>
      </c>
      <c r="U23" s="71">
        <f t="shared" si="10"/>
        <v>0.00072</v>
      </c>
      <c r="V23" s="71">
        <f>U23*(天气!B6+273.15)/217</f>
        <v>0.00101878341013825</v>
      </c>
      <c r="W23" s="71">
        <f t="shared" si="11"/>
        <v>2.94080596408581e-5</v>
      </c>
      <c r="X23" s="74">
        <f t="shared" si="12"/>
        <v>0.540029408059641</v>
      </c>
      <c r="Y23" s="71">
        <f t="shared" si="13"/>
        <v>0.000623619962199531</v>
      </c>
      <c r="Z23" s="71">
        <f t="shared" si="14"/>
        <v>40.0463665132368</v>
      </c>
      <c r="AA23" s="44">
        <f t="shared" si="15"/>
        <v>30.1186121623036</v>
      </c>
      <c r="AB23" s="46"/>
    </row>
    <row r="24" s="44" customFormat="1" spans="1:28">
      <c r="A24" s="78"/>
      <c r="B24" s="78"/>
      <c r="C24" s="79" t="s">
        <v>66</v>
      </c>
      <c r="D24" s="73">
        <v>1600</v>
      </c>
      <c r="E24" s="78">
        <v>5.02</v>
      </c>
      <c r="F24" s="78">
        <v>0.2</v>
      </c>
      <c r="G24" s="80">
        <f t="shared" si="0"/>
        <v>0.031415926</v>
      </c>
      <c r="H24" s="78">
        <v>6.14</v>
      </c>
      <c r="I24" s="78">
        <v>4.45</v>
      </c>
      <c r="J24" s="99">
        <v>0.02</v>
      </c>
      <c r="K24" s="100">
        <f t="shared" si="1"/>
        <v>30.8228</v>
      </c>
      <c r="L24" s="80">
        <f t="shared" si="2"/>
        <v>22.339</v>
      </c>
      <c r="M24" s="80">
        <f t="shared" si="3"/>
        <v>0.9683268039128</v>
      </c>
      <c r="N24" s="74">
        <f t="shared" si="4"/>
        <v>0.701800370914</v>
      </c>
      <c r="O24" s="71">
        <f t="shared" si="5"/>
        <v>1549.32288626048</v>
      </c>
      <c r="P24" s="71">
        <f t="shared" si="6"/>
        <v>1122.8805934624</v>
      </c>
      <c r="Q24" s="71">
        <f t="shared" si="7"/>
        <v>0.36</v>
      </c>
      <c r="R24" s="71">
        <f>Q24*4.18*天气!D9</f>
        <v>870.423992064</v>
      </c>
      <c r="S24" s="71">
        <f t="shared" si="8"/>
        <v>5.7751061044586e-5</v>
      </c>
      <c r="T24" s="74">
        <f t="shared" si="9"/>
        <v>32.569942248939</v>
      </c>
      <c r="U24" s="71">
        <f t="shared" si="10"/>
        <v>0.00036</v>
      </c>
      <c r="V24" s="71">
        <f>U24*(天气!B6+273.15)/217</f>
        <v>0.000509391705069124</v>
      </c>
      <c r="W24" s="71">
        <f t="shared" si="11"/>
        <v>1.47040298204291e-5</v>
      </c>
      <c r="X24" s="74">
        <f t="shared" si="12"/>
        <v>0.54001470402982</v>
      </c>
      <c r="Y24" s="71">
        <f t="shared" si="13"/>
        <v>0.000739105140384629</v>
      </c>
      <c r="Z24" s="71">
        <f t="shared" si="14"/>
        <v>40.0461598638184</v>
      </c>
      <c r="AA24" s="44">
        <f t="shared" si="15"/>
        <v>30.1184688813998</v>
      </c>
      <c r="AB24" s="46"/>
    </row>
    <row r="25" spans="1:26">
      <c r="A25" s="20"/>
      <c r="B25" s="20"/>
      <c r="C25" s="7"/>
      <c r="D25" s="20"/>
      <c r="E25" s="20"/>
      <c r="F25" s="20"/>
      <c r="G25" s="21"/>
      <c r="H25" s="20"/>
      <c r="I25" s="20"/>
      <c r="J25" s="20"/>
      <c r="K25" s="20"/>
      <c r="L25" s="20"/>
      <c r="M25" s="21"/>
      <c r="N25" s="21"/>
      <c r="O25" s="20"/>
      <c r="P25" s="20"/>
      <c r="Q25" s="20"/>
      <c r="R25" s="20"/>
      <c r="S25" s="20">
        <f>AVERAGE(S2:S24)</f>
        <v>0.155533274418506</v>
      </c>
      <c r="T25" s="32">
        <f>AVERAGE(T2:T24)</f>
        <v>32.4144667255815</v>
      </c>
      <c r="U25" s="20"/>
      <c r="V25" s="20"/>
      <c r="W25" s="20">
        <f>AVERAGE(W2:W24)</f>
        <v>0.0396004136331463</v>
      </c>
      <c r="X25" s="33"/>
      <c r="Y25" s="20">
        <f>AVERAGE(Y2:Y24)</f>
        <v>4.6606884829352</v>
      </c>
      <c r="Z25" s="20"/>
    </row>
  </sheetData>
  <mergeCells count="12">
    <mergeCell ref="A7:A10"/>
    <mergeCell ref="A11:A16"/>
    <mergeCell ref="A17:A24"/>
    <mergeCell ref="B7:B8"/>
    <mergeCell ref="B9:B10"/>
    <mergeCell ref="B11:B12"/>
    <mergeCell ref="B13:B16"/>
    <mergeCell ref="B17:B18"/>
    <mergeCell ref="B19:B22"/>
    <mergeCell ref="B23:B24"/>
    <mergeCell ref="A2:B3"/>
    <mergeCell ref="A4:B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B4" sqref="B4"/>
    </sheetView>
  </sheetViews>
  <sheetFormatPr defaultColWidth="8.73333333333333" defaultRowHeight="13.5" outlineLevelRow="5"/>
  <cols>
    <col min="2" max="2" width="12.8166666666667" style="34"/>
    <col min="3" max="3" width="8.73333333333333" style="35"/>
    <col min="4" max="5" width="12.8166666666667" style="34"/>
    <col min="15" max="15" width="8.73333333333333" style="1"/>
  </cols>
  <sheetData>
    <row r="1" spans="1:12">
      <c r="A1" t="s">
        <v>71</v>
      </c>
      <c r="B1" s="36" t="s">
        <v>338</v>
      </c>
      <c r="C1" s="35" t="s">
        <v>97</v>
      </c>
      <c r="D1" s="34" t="s">
        <v>339</v>
      </c>
      <c r="E1" s="34" t="s">
        <v>340</v>
      </c>
      <c r="H1" t="s">
        <v>341</v>
      </c>
      <c r="I1" t="s">
        <v>342</v>
      </c>
      <c r="L1" s="39" t="s">
        <v>97</v>
      </c>
    </row>
    <row r="2" spans="1:15">
      <c r="A2" t="s">
        <v>343</v>
      </c>
      <c r="B2" s="37">
        <v>1.57</v>
      </c>
      <c r="C2" s="38">
        <v>25.1669807821097</v>
      </c>
      <c r="D2" s="34">
        <f>固碳释氧量!F4</f>
        <v>12.3471541587256</v>
      </c>
      <c r="E2" s="34">
        <f>固碳释氧量!G4</f>
        <v>9.1467281749904</v>
      </c>
      <c r="H2">
        <v>4</v>
      </c>
      <c r="I2">
        <v>2</v>
      </c>
      <c r="L2" s="39">
        <v>33.47</v>
      </c>
      <c r="O2" s="1">
        <v>25.1669807821097</v>
      </c>
    </row>
    <row r="3" spans="1:15">
      <c r="A3" t="s">
        <v>344</v>
      </c>
      <c r="B3" s="37">
        <v>1.12</v>
      </c>
      <c r="C3" s="38">
        <v>24.8341142365398</v>
      </c>
      <c r="D3" s="34">
        <f>固碳释氧量!F8</f>
        <v>14.6773852638288</v>
      </c>
      <c r="E3" s="34">
        <f>固碳释氧量!G8</f>
        <v>10.683997719991</v>
      </c>
      <c r="H3">
        <v>1</v>
      </c>
      <c r="I3">
        <v>1</v>
      </c>
      <c r="L3" s="39">
        <v>32.89</v>
      </c>
      <c r="O3" s="1">
        <v>24.8341142365398</v>
      </c>
    </row>
    <row r="4" spans="1:15">
      <c r="A4" t="s">
        <v>345</v>
      </c>
      <c r="B4" s="37">
        <v>1.31</v>
      </c>
      <c r="C4" s="38">
        <v>25.0183094909431</v>
      </c>
      <c r="D4" s="34">
        <f>固碳释氧量!F13</f>
        <v>13.6101172739688</v>
      </c>
      <c r="E4" s="34">
        <f>固碳释氧量!G13</f>
        <v>9.51959780519054</v>
      </c>
      <c r="H4">
        <v>2</v>
      </c>
      <c r="I4">
        <v>3</v>
      </c>
      <c r="L4" s="39">
        <v>33.21</v>
      </c>
      <c r="O4" s="1">
        <v>25.0183094909431</v>
      </c>
    </row>
    <row r="5" spans="1:15">
      <c r="A5" t="s">
        <v>346</v>
      </c>
      <c r="B5" s="37">
        <v>2.11</v>
      </c>
      <c r="C5" s="38">
        <v>25.3691368808673</v>
      </c>
      <c r="D5" s="34">
        <f>固碳释氧量!F20</f>
        <v>11.5945481332401</v>
      </c>
      <c r="E5" s="34">
        <f>固碳释氧量!G20</f>
        <v>8.65166144111929</v>
      </c>
      <c r="H5">
        <v>5</v>
      </c>
      <c r="I5">
        <v>5</v>
      </c>
      <c r="L5" s="39">
        <v>33.83</v>
      </c>
      <c r="O5" s="1">
        <v>25.3691368808673</v>
      </c>
    </row>
    <row r="6" spans="1:15">
      <c r="A6" t="s">
        <v>347</v>
      </c>
      <c r="B6" s="37">
        <v>1.99</v>
      </c>
      <c r="C6" s="38">
        <v>25.1262146061132</v>
      </c>
      <c r="D6" s="34">
        <f>固碳释氧量!F29</f>
        <v>12.7952019315329</v>
      </c>
      <c r="E6" s="34">
        <f>固碳释氧量!G29</f>
        <v>9.32034884491319</v>
      </c>
      <c r="H6">
        <v>3</v>
      </c>
      <c r="I6">
        <v>4</v>
      </c>
      <c r="L6" s="34">
        <v>33.4</v>
      </c>
      <c r="O6" s="1">
        <v>25.1262146061132</v>
      </c>
    </row>
  </sheetData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workbookViewId="0">
      <selection activeCell="AA23" sqref="AA23"/>
    </sheetView>
  </sheetViews>
  <sheetFormatPr defaultColWidth="8.73333333333333" defaultRowHeight="13.5"/>
  <cols>
    <col min="5" max="12" width="8.73333333333333" hidden="1" customWidth="1"/>
  </cols>
  <sheetData>
    <row r="1" ht="45" spans="1:26">
      <c r="A1" s="2" t="s">
        <v>71</v>
      </c>
      <c r="B1" s="2" t="s">
        <v>72</v>
      </c>
      <c r="C1" s="3" t="s">
        <v>48</v>
      </c>
      <c r="D1" s="2" t="s">
        <v>73</v>
      </c>
      <c r="E1" s="2" t="s">
        <v>74</v>
      </c>
      <c r="F1" s="2" t="s">
        <v>76</v>
      </c>
      <c r="G1" s="15" t="s">
        <v>77</v>
      </c>
      <c r="H1" s="2" t="s">
        <v>78</v>
      </c>
      <c r="I1" s="2" t="s">
        <v>79</v>
      </c>
      <c r="J1" s="2" t="s">
        <v>80</v>
      </c>
      <c r="K1" s="2" t="s">
        <v>82</v>
      </c>
      <c r="L1" s="2" t="s">
        <v>83</v>
      </c>
      <c r="M1" s="15" t="s">
        <v>84</v>
      </c>
      <c r="N1" s="15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8" t="s">
        <v>91</v>
      </c>
      <c r="U1" s="2" t="s">
        <v>92</v>
      </c>
      <c r="V1" s="2" t="s">
        <v>93</v>
      </c>
      <c r="W1" s="2" t="s">
        <v>94</v>
      </c>
      <c r="X1" s="29" t="s">
        <v>95</v>
      </c>
      <c r="Y1" s="2" t="s">
        <v>96</v>
      </c>
      <c r="Z1" s="2" t="s">
        <v>97</v>
      </c>
    </row>
    <row r="2" spans="1:26">
      <c r="A2" s="4" t="s">
        <v>17</v>
      </c>
      <c r="B2" s="4"/>
      <c r="C2" s="5" t="s">
        <v>18</v>
      </c>
      <c r="D2" s="16">
        <v>5</v>
      </c>
      <c r="E2" s="4">
        <v>1.46</v>
      </c>
      <c r="F2" s="4">
        <v>3.5</v>
      </c>
      <c r="G2" s="17">
        <f t="shared" ref="G2:G24" si="0">3.1415926*F2*F2/4</f>
        <v>9.6211273375</v>
      </c>
      <c r="H2" s="4">
        <v>3.67</v>
      </c>
      <c r="I2" s="4">
        <v>3.27</v>
      </c>
      <c r="J2" s="22">
        <v>54.44</v>
      </c>
      <c r="K2" s="23">
        <f t="shared" ref="K2:K24" si="1">H2*E2</f>
        <v>5.3582</v>
      </c>
      <c r="L2" s="17">
        <f t="shared" ref="L2:L24" si="2">I2*E2</f>
        <v>4.7742</v>
      </c>
      <c r="M2" s="17">
        <f t="shared" ref="M2:M24" si="3">K2*G2</f>
        <v>51.5519244997925</v>
      </c>
      <c r="N2" s="17">
        <f t="shared" ref="N2:N24" si="4">L2*G2</f>
        <v>45.9331861346925</v>
      </c>
      <c r="O2" s="4">
        <f t="shared" ref="O2:O24" si="5">M2*D2</f>
        <v>257.759622498963</v>
      </c>
      <c r="P2" s="4">
        <f t="shared" ref="P2:P24" si="6">N2*D2</f>
        <v>229.665930673462</v>
      </c>
      <c r="Q2" s="4">
        <f t="shared" ref="Q2:Q24" si="7">18*J2</f>
        <v>979.92</v>
      </c>
      <c r="R2" s="4">
        <f>Q2*4.18*天气!D9</f>
        <v>2369294.10639821</v>
      </c>
      <c r="S2" s="4">
        <f t="shared" ref="S2:S24" si="8">R2/12/1256/1000</f>
        <v>0.157198388163363</v>
      </c>
      <c r="T2" s="30">
        <f>32.58-S2</f>
        <v>32.4228016118366</v>
      </c>
      <c r="U2" s="4">
        <f t="shared" ref="U2:U24" si="9">Q2/1000</f>
        <v>0.97992</v>
      </c>
      <c r="V2" s="4">
        <f>U2*(天气!B6+273.15)/217</f>
        <v>1.38656422119816</v>
      </c>
      <c r="W2" s="4">
        <f t="shared" ref="W2:W24" si="10">V2/34.643</f>
        <v>0.0400243691712079</v>
      </c>
      <c r="X2" s="31">
        <f t="shared" ref="X2:X24" si="11">0.54+W2</f>
        <v>0.580024369171208</v>
      </c>
      <c r="Y2" s="4">
        <f t="shared" ref="Y2:Y24" si="12">W2*G2*D2</f>
        <v>1.9253977619965</v>
      </c>
      <c r="Z2" s="4">
        <f t="shared" ref="Z2:Z24" si="13">(0.8288*T2+0.0613*T2+0.007377*238.02+13.8297*X2-8.7284)*1.36-0.0551</f>
        <v>40.6205582913111</v>
      </c>
    </row>
    <row r="3" spans="1:26">
      <c r="A3" s="4"/>
      <c r="B3" s="4"/>
      <c r="C3" s="5" t="s">
        <v>20</v>
      </c>
      <c r="D3" s="4">
        <v>3</v>
      </c>
      <c r="E3" s="4">
        <v>4.56</v>
      </c>
      <c r="F3" s="4">
        <v>2.8</v>
      </c>
      <c r="G3" s="17">
        <f t="shared" si="0"/>
        <v>6.157521496</v>
      </c>
      <c r="H3" s="4">
        <v>22.39</v>
      </c>
      <c r="I3" s="4">
        <v>16.28</v>
      </c>
      <c r="J3" s="4">
        <v>63.72</v>
      </c>
      <c r="K3" s="23">
        <f t="shared" si="1"/>
        <v>102.0984</v>
      </c>
      <c r="L3" s="17">
        <f t="shared" si="2"/>
        <v>74.2368</v>
      </c>
      <c r="M3" s="17">
        <f t="shared" si="3"/>
        <v>628.673092707206</v>
      </c>
      <c r="N3" s="17">
        <f t="shared" si="4"/>
        <v>457.114691794253</v>
      </c>
      <c r="O3" s="4">
        <f t="shared" si="5"/>
        <v>1886.01927812162</v>
      </c>
      <c r="P3" s="4">
        <f t="shared" si="6"/>
        <v>1371.34407538276</v>
      </c>
      <c r="Q3" s="4">
        <f t="shared" si="7"/>
        <v>1146.96</v>
      </c>
      <c r="R3" s="4">
        <f>Q3*4.18*天气!D9</f>
        <v>2773170.8387159</v>
      </c>
      <c r="S3" s="4">
        <f t="shared" si="8"/>
        <v>0.183994880488051</v>
      </c>
      <c r="T3" s="30">
        <f t="shared" ref="T3:T24" si="14">32.58-S3</f>
        <v>32.3960051195119</v>
      </c>
      <c r="U3" s="4">
        <f t="shared" si="9"/>
        <v>1.14696</v>
      </c>
      <c r="V3" s="4">
        <f>U3*(天气!B6+273.15)/217</f>
        <v>1.62292197235023</v>
      </c>
      <c r="W3" s="4">
        <f t="shared" si="10"/>
        <v>0.046847039007887</v>
      </c>
      <c r="X3" s="31">
        <f t="shared" si="11"/>
        <v>0.586847039007887</v>
      </c>
      <c r="Y3" s="4">
        <f t="shared" si="12"/>
        <v>0.865384949145044</v>
      </c>
      <c r="Z3" s="4">
        <f t="shared" si="13"/>
        <v>40.7164436214531</v>
      </c>
    </row>
    <row r="4" spans="1:26">
      <c r="A4" s="6" t="s">
        <v>102</v>
      </c>
      <c r="B4" s="6"/>
      <c r="C4" s="7" t="s">
        <v>44</v>
      </c>
      <c r="D4" s="6">
        <v>0</v>
      </c>
      <c r="E4" s="6">
        <v>4.11</v>
      </c>
      <c r="F4" s="6">
        <v>0.15</v>
      </c>
      <c r="G4" s="18">
        <f t="shared" si="0"/>
        <v>0.017671458375</v>
      </c>
      <c r="H4" s="6">
        <v>6.34</v>
      </c>
      <c r="I4" s="6">
        <v>4.61</v>
      </c>
      <c r="J4" s="24">
        <v>0.04</v>
      </c>
      <c r="K4" s="25">
        <f t="shared" si="1"/>
        <v>26.0574</v>
      </c>
      <c r="L4" s="18">
        <f t="shared" si="2"/>
        <v>18.9471</v>
      </c>
      <c r="M4" s="18">
        <f t="shared" si="3"/>
        <v>0.460472259460725</v>
      </c>
      <c r="N4" s="17">
        <f t="shared" si="4"/>
        <v>0.334822888976962</v>
      </c>
      <c r="O4" s="4">
        <f t="shared" si="5"/>
        <v>0</v>
      </c>
      <c r="P4" s="4">
        <f t="shared" si="6"/>
        <v>0</v>
      </c>
      <c r="Q4" s="4">
        <f t="shared" si="7"/>
        <v>0.72</v>
      </c>
      <c r="R4" s="4">
        <f>Q4*4.18*天气!D9</f>
        <v>1740.847984128</v>
      </c>
      <c r="S4" s="4">
        <f t="shared" si="8"/>
        <v>0.000115502122089172</v>
      </c>
      <c r="T4" s="30">
        <f t="shared" si="14"/>
        <v>32.5798844978779</v>
      </c>
      <c r="U4" s="4">
        <f t="shared" si="9"/>
        <v>0.00072</v>
      </c>
      <c r="V4" s="4">
        <f>U4*(天气!B6+273.15)/217</f>
        <v>0.00101878341013825</v>
      </c>
      <c r="W4" s="4">
        <f t="shared" si="10"/>
        <v>2.94080596408581e-5</v>
      </c>
      <c r="X4" s="31">
        <f t="shared" si="11"/>
        <v>0.540029408059641</v>
      </c>
      <c r="Y4" s="4">
        <f t="shared" si="12"/>
        <v>0</v>
      </c>
      <c r="Z4" s="4">
        <f t="shared" si="13"/>
        <v>40.0584718732368</v>
      </c>
    </row>
    <row r="5" spans="1:26">
      <c r="A5" s="6"/>
      <c r="B5" s="6"/>
      <c r="C5" s="7" t="s">
        <v>66</v>
      </c>
      <c r="D5" s="16">
        <v>200</v>
      </c>
      <c r="E5" s="6">
        <v>5.02</v>
      </c>
      <c r="F5" s="6">
        <v>0.2</v>
      </c>
      <c r="G5" s="18">
        <f t="shared" si="0"/>
        <v>0.031415926</v>
      </c>
      <c r="H5" s="6">
        <v>6.14</v>
      </c>
      <c r="I5" s="6">
        <v>4.45</v>
      </c>
      <c r="J5" s="24">
        <v>0.02</v>
      </c>
      <c r="K5" s="25">
        <f t="shared" si="1"/>
        <v>30.8228</v>
      </c>
      <c r="L5" s="18">
        <f t="shared" si="2"/>
        <v>22.339</v>
      </c>
      <c r="M5" s="18">
        <f t="shared" si="3"/>
        <v>0.9683268039128</v>
      </c>
      <c r="N5" s="17">
        <f t="shared" si="4"/>
        <v>0.701800370914</v>
      </c>
      <c r="O5" s="4">
        <f t="shared" si="5"/>
        <v>193.66536078256</v>
      </c>
      <c r="P5" s="4">
        <f t="shared" si="6"/>
        <v>140.3600741828</v>
      </c>
      <c r="Q5" s="4">
        <f t="shared" si="7"/>
        <v>0.36</v>
      </c>
      <c r="R5" s="4">
        <f>Q5*4.18*天气!D9</f>
        <v>870.423992064</v>
      </c>
      <c r="S5" s="4">
        <f t="shared" si="8"/>
        <v>5.7751061044586e-5</v>
      </c>
      <c r="T5" s="30">
        <f t="shared" si="14"/>
        <v>32.579942248939</v>
      </c>
      <c r="U5" s="4">
        <f t="shared" si="9"/>
        <v>0.00036</v>
      </c>
      <c r="V5" s="4">
        <f>U5*(天气!B6+273.15)/217</f>
        <v>0.000509391705069124</v>
      </c>
      <c r="W5" s="4">
        <f t="shared" si="10"/>
        <v>1.47040298204291e-5</v>
      </c>
      <c r="X5" s="31">
        <f t="shared" si="11"/>
        <v>0.54001470402982</v>
      </c>
      <c r="Y5" s="4">
        <f t="shared" si="12"/>
        <v>9.23881425480786e-5</v>
      </c>
      <c r="Z5" s="4">
        <f t="shared" si="13"/>
        <v>40.0582652238184</v>
      </c>
    </row>
    <row r="6" spans="1:26">
      <c r="A6" s="6"/>
      <c r="B6" s="6"/>
      <c r="C6" s="7" t="s">
        <v>67</v>
      </c>
      <c r="D6" s="6">
        <v>0</v>
      </c>
      <c r="E6" s="6">
        <v>10.24</v>
      </c>
      <c r="F6" s="6">
        <v>0.35</v>
      </c>
      <c r="G6" s="18">
        <f t="shared" si="0"/>
        <v>0.096211273375</v>
      </c>
      <c r="H6" s="6">
        <v>4.53</v>
      </c>
      <c r="I6" s="6">
        <v>3.3</v>
      </c>
      <c r="J6" s="24">
        <v>0.18</v>
      </c>
      <c r="K6" s="25">
        <f t="shared" si="1"/>
        <v>46.3872</v>
      </c>
      <c r="L6" s="18">
        <f t="shared" si="2"/>
        <v>33.792</v>
      </c>
      <c r="M6" s="18">
        <f t="shared" si="3"/>
        <v>4.4629715803008</v>
      </c>
      <c r="N6" s="17">
        <f t="shared" si="4"/>
        <v>3.251171349888</v>
      </c>
      <c r="O6" s="4">
        <f t="shared" si="5"/>
        <v>0</v>
      </c>
      <c r="P6" s="4">
        <f t="shared" si="6"/>
        <v>0</v>
      </c>
      <c r="Q6" s="4">
        <f t="shared" si="7"/>
        <v>3.24</v>
      </c>
      <c r="R6" s="4">
        <f>Q6*4.18*天气!D9</f>
        <v>7833.815928576</v>
      </c>
      <c r="S6" s="4">
        <f t="shared" si="8"/>
        <v>0.000519759549401274</v>
      </c>
      <c r="T6" s="30">
        <f t="shared" si="14"/>
        <v>32.5794802404506</v>
      </c>
      <c r="U6" s="4">
        <f t="shared" si="9"/>
        <v>0.00324</v>
      </c>
      <c r="V6" s="4">
        <f>U6*(天气!B6+273.15)/217</f>
        <v>0.00458452534562212</v>
      </c>
      <c r="W6" s="4">
        <f t="shared" si="10"/>
        <v>0.000132336268383862</v>
      </c>
      <c r="X6" s="31">
        <f t="shared" si="11"/>
        <v>0.540132336268384</v>
      </c>
      <c r="Y6" s="4">
        <f t="shared" si="12"/>
        <v>0</v>
      </c>
      <c r="Z6" s="4">
        <f t="shared" si="13"/>
        <v>40.0599184191657</v>
      </c>
    </row>
    <row r="7" spans="1:26">
      <c r="A7" s="8" t="s">
        <v>108</v>
      </c>
      <c r="B7" s="4" t="s">
        <v>17</v>
      </c>
      <c r="C7" s="5" t="s">
        <v>28</v>
      </c>
      <c r="D7" s="16">
        <v>5</v>
      </c>
      <c r="E7" s="4">
        <v>3.17</v>
      </c>
      <c r="F7" s="4">
        <v>3.27</v>
      </c>
      <c r="G7" s="17">
        <f t="shared" si="0"/>
        <v>8.398183878135</v>
      </c>
      <c r="H7" s="4">
        <v>6.61</v>
      </c>
      <c r="I7" s="4">
        <v>4.41</v>
      </c>
      <c r="J7" s="22">
        <v>44.267</v>
      </c>
      <c r="K7" s="23">
        <f t="shared" si="1"/>
        <v>20.9537</v>
      </c>
      <c r="L7" s="17">
        <f t="shared" si="2"/>
        <v>13.9797</v>
      </c>
      <c r="M7" s="17">
        <f t="shared" si="3"/>
        <v>175.973025527277</v>
      </c>
      <c r="N7" s="17">
        <f t="shared" si="4"/>
        <v>117.404091161164</v>
      </c>
      <c r="O7" s="4">
        <f t="shared" si="5"/>
        <v>879.865127636387</v>
      </c>
      <c r="P7" s="4">
        <f t="shared" si="6"/>
        <v>587.020455805819</v>
      </c>
      <c r="Q7" s="4">
        <f t="shared" si="7"/>
        <v>796.806</v>
      </c>
      <c r="R7" s="4">
        <f>Q7*4.18*天气!D9</f>
        <v>1926552.94283485</v>
      </c>
      <c r="S7" s="4">
        <f t="shared" si="8"/>
        <v>0.127823310963034</v>
      </c>
      <c r="T7" s="30">
        <f t="shared" si="14"/>
        <v>32.452176689037</v>
      </c>
      <c r="U7" s="4">
        <f t="shared" si="9"/>
        <v>0.796806</v>
      </c>
      <c r="V7" s="4">
        <f>U7*(天气!B6+273.15)/217</f>
        <v>1.12746213041475</v>
      </c>
      <c r="W7" s="4">
        <f t="shared" si="10"/>
        <v>0.0325451644030467</v>
      </c>
      <c r="X7" s="31">
        <f t="shared" si="11"/>
        <v>0.572545164403047</v>
      </c>
      <c r="Y7" s="4">
        <f t="shared" si="12"/>
        <v>1.3666013750046</v>
      </c>
      <c r="Z7" s="4">
        <f t="shared" si="13"/>
        <v>40.515446064637</v>
      </c>
    </row>
    <row r="8" spans="1:26">
      <c r="A8" s="8"/>
      <c r="B8" s="4"/>
      <c r="C8" s="5" t="s">
        <v>55</v>
      </c>
      <c r="D8" s="5">
        <v>0</v>
      </c>
      <c r="E8" s="5">
        <v>2.83</v>
      </c>
      <c r="F8" s="5">
        <v>3.89</v>
      </c>
      <c r="G8" s="17">
        <f t="shared" si="0"/>
        <v>11.884723345615</v>
      </c>
      <c r="H8" s="5">
        <v>6.29</v>
      </c>
      <c r="I8" s="5">
        <v>4.57</v>
      </c>
      <c r="J8" s="22">
        <v>86.77</v>
      </c>
      <c r="K8" s="23">
        <f t="shared" si="1"/>
        <v>17.8007</v>
      </c>
      <c r="L8" s="17">
        <f t="shared" si="2"/>
        <v>12.9331</v>
      </c>
      <c r="M8" s="17">
        <f t="shared" si="3"/>
        <v>211.556394858289</v>
      </c>
      <c r="N8" s="17">
        <f t="shared" si="4"/>
        <v>153.706315501173</v>
      </c>
      <c r="O8" s="4">
        <f t="shared" si="5"/>
        <v>0</v>
      </c>
      <c r="P8" s="4">
        <f t="shared" si="6"/>
        <v>0</v>
      </c>
      <c r="Q8" s="4">
        <f t="shared" si="7"/>
        <v>1561.86</v>
      </c>
      <c r="R8" s="4">
        <f>Q8*4.18*天气!D9</f>
        <v>3776334.48956966</v>
      </c>
      <c r="S8" s="4">
        <f t="shared" si="8"/>
        <v>0.250552978341936</v>
      </c>
      <c r="T8" s="30">
        <f t="shared" si="14"/>
        <v>32.3294470216581</v>
      </c>
      <c r="U8" s="4">
        <f t="shared" si="9"/>
        <v>1.56186</v>
      </c>
      <c r="V8" s="4">
        <f>U8*(天气!B6+273.15)/217</f>
        <v>2.2099959124424</v>
      </c>
      <c r="W8" s="4">
        <f t="shared" si="10"/>
        <v>0.0637934333759315</v>
      </c>
      <c r="X8" s="31">
        <f t="shared" si="11"/>
        <v>0.603793433375932</v>
      </c>
      <c r="Y8" s="4">
        <f t="shared" si="12"/>
        <v>0</v>
      </c>
      <c r="Z8" s="4">
        <f t="shared" si="13"/>
        <v>40.9546070761703</v>
      </c>
    </row>
    <row r="9" spans="1:26">
      <c r="A9" s="6"/>
      <c r="B9" s="6" t="s">
        <v>102</v>
      </c>
      <c r="C9" s="7" t="s">
        <v>44</v>
      </c>
      <c r="D9" s="6">
        <v>0</v>
      </c>
      <c r="E9" s="6">
        <v>4.11</v>
      </c>
      <c r="F9" s="6">
        <v>0.15</v>
      </c>
      <c r="G9" s="18">
        <f t="shared" si="0"/>
        <v>0.017671458375</v>
      </c>
      <c r="H9" s="6">
        <v>6.34</v>
      </c>
      <c r="I9" s="6">
        <v>4.61</v>
      </c>
      <c r="J9" s="24">
        <v>0.04</v>
      </c>
      <c r="K9" s="25">
        <f t="shared" si="1"/>
        <v>26.0574</v>
      </c>
      <c r="L9" s="18">
        <f t="shared" si="2"/>
        <v>18.9471</v>
      </c>
      <c r="M9" s="18">
        <f t="shared" si="3"/>
        <v>0.460472259460725</v>
      </c>
      <c r="N9" s="17">
        <f t="shared" si="4"/>
        <v>0.334822888976962</v>
      </c>
      <c r="O9" s="4">
        <f t="shared" si="5"/>
        <v>0</v>
      </c>
      <c r="P9" s="4">
        <f t="shared" si="6"/>
        <v>0</v>
      </c>
      <c r="Q9" s="4">
        <f t="shared" si="7"/>
        <v>0.72</v>
      </c>
      <c r="R9" s="4">
        <f>Q9*4.18*天气!D9</f>
        <v>1740.847984128</v>
      </c>
      <c r="S9" s="4">
        <f t="shared" si="8"/>
        <v>0.000115502122089172</v>
      </c>
      <c r="T9" s="30">
        <f t="shared" si="14"/>
        <v>32.5798844978779</v>
      </c>
      <c r="U9" s="4">
        <f t="shared" si="9"/>
        <v>0.00072</v>
      </c>
      <c r="V9" s="4">
        <f>U9*(天气!B6+273.15)/217</f>
        <v>0.00101878341013825</v>
      </c>
      <c r="W9" s="4">
        <f t="shared" si="10"/>
        <v>2.94080596408581e-5</v>
      </c>
      <c r="X9" s="31">
        <f t="shared" si="11"/>
        <v>0.540029408059641</v>
      </c>
      <c r="Y9" s="4">
        <f t="shared" si="12"/>
        <v>0</v>
      </c>
      <c r="Z9" s="4">
        <f t="shared" si="13"/>
        <v>40.0584718732368</v>
      </c>
    </row>
    <row r="10" spans="1:26">
      <c r="A10" s="6"/>
      <c r="B10" s="6"/>
      <c r="C10" s="7" t="s">
        <v>66</v>
      </c>
      <c r="D10" s="16">
        <v>300</v>
      </c>
      <c r="E10" s="6">
        <v>5.02</v>
      </c>
      <c r="F10" s="6">
        <v>0.2</v>
      </c>
      <c r="G10" s="18">
        <f t="shared" si="0"/>
        <v>0.031415926</v>
      </c>
      <c r="H10" s="6">
        <v>6.14</v>
      </c>
      <c r="I10" s="6">
        <v>4.45</v>
      </c>
      <c r="J10" s="24">
        <v>0.02</v>
      </c>
      <c r="K10" s="25">
        <f t="shared" si="1"/>
        <v>30.8228</v>
      </c>
      <c r="L10" s="18">
        <f t="shared" si="2"/>
        <v>22.339</v>
      </c>
      <c r="M10" s="18">
        <f t="shared" si="3"/>
        <v>0.9683268039128</v>
      </c>
      <c r="N10" s="17">
        <f t="shared" si="4"/>
        <v>0.701800370914</v>
      </c>
      <c r="O10" s="4">
        <f t="shared" si="5"/>
        <v>290.49804117384</v>
      </c>
      <c r="P10" s="4">
        <f t="shared" si="6"/>
        <v>210.5401112742</v>
      </c>
      <c r="Q10" s="4">
        <f t="shared" si="7"/>
        <v>0.36</v>
      </c>
      <c r="R10" s="4">
        <f>Q10*4.18*天气!D9</f>
        <v>870.423992064</v>
      </c>
      <c r="S10" s="4">
        <f t="shared" si="8"/>
        <v>5.7751061044586e-5</v>
      </c>
      <c r="T10" s="30">
        <f t="shared" si="14"/>
        <v>32.579942248939</v>
      </c>
      <c r="U10" s="4">
        <f t="shared" si="9"/>
        <v>0.00036</v>
      </c>
      <c r="V10" s="4">
        <f>U10*(天气!B6+273.15)/217</f>
        <v>0.000509391705069124</v>
      </c>
      <c r="W10" s="4">
        <f t="shared" si="10"/>
        <v>1.47040298204291e-5</v>
      </c>
      <c r="X10" s="31">
        <f t="shared" si="11"/>
        <v>0.54001470402982</v>
      </c>
      <c r="Y10" s="4">
        <f t="shared" si="12"/>
        <v>0.000138582213822118</v>
      </c>
      <c r="Z10" s="4">
        <f t="shared" si="13"/>
        <v>40.0582652238184</v>
      </c>
    </row>
    <row r="11" spans="1:26">
      <c r="A11" s="8" t="s">
        <v>110</v>
      </c>
      <c r="B11" s="4" t="s">
        <v>17</v>
      </c>
      <c r="C11" s="5" t="s">
        <v>18</v>
      </c>
      <c r="D11" s="4">
        <v>0</v>
      </c>
      <c r="E11" s="4">
        <v>1.46</v>
      </c>
      <c r="F11" s="4">
        <v>4</v>
      </c>
      <c r="G11" s="17">
        <f t="shared" si="0"/>
        <v>12.5663704</v>
      </c>
      <c r="H11" s="4">
        <v>3.67</v>
      </c>
      <c r="I11" s="4">
        <v>3.27</v>
      </c>
      <c r="J11" s="22">
        <v>54.44</v>
      </c>
      <c r="K11" s="23">
        <f t="shared" si="1"/>
        <v>5.3582</v>
      </c>
      <c r="L11" s="17">
        <f t="shared" si="2"/>
        <v>4.7742</v>
      </c>
      <c r="M11" s="17">
        <f t="shared" si="3"/>
        <v>67.33312587728</v>
      </c>
      <c r="N11" s="17">
        <f t="shared" si="4"/>
        <v>59.99436556368</v>
      </c>
      <c r="O11" s="4">
        <f t="shared" si="5"/>
        <v>0</v>
      </c>
      <c r="P11" s="4">
        <f t="shared" si="6"/>
        <v>0</v>
      </c>
      <c r="Q11" s="4">
        <f t="shared" si="7"/>
        <v>979.92</v>
      </c>
      <c r="R11" s="4">
        <f>Q11*4.18*天气!D9</f>
        <v>2369294.10639821</v>
      </c>
      <c r="S11" s="4">
        <f t="shared" si="8"/>
        <v>0.157198388163363</v>
      </c>
      <c r="T11" s="30">
        <f t="shared" si="14"/>
        <v>32.4228016118366</v>
      </c>
      <c r="U11" s="4">
        <f t="shared" si="9"/>
        <v>0.97992</v>
      </c>
      <c r="V11" s="4">
        <f>U11*(天气!B6+273.15)/217</f>
        <v>1.38656422119816</v>
      </c>
      <c r="W11" s="4">
        <f t="shared" si="10"/>
        <v>0.0400243691712079</v>
      </c>
      <c r="X11" s="31">
        <f t="shared" si="11"/>
        <v>0.580024369171208</v>
      </c>
      <c r="Y11" s="4">
        <f t="shared" si="12"/>
        <v>0</v>
      </c>
      <c r="Z11" s="4">
        <f t="shared" si="13"/>
        <v>40.6205582913111</v>
      </c>
    </row>
    <row r="12" spans="1:26">
      <c r="A12" s="8"/>
      <c r="B12" s="4"/>
      <c r="C12" s="5" t="s">
        <v>60</v>
      </c>
      <c r="D12" s="5">
        <v>0</v>
      </c>
      <c r="E12" s="5">
        <v>2.64</v>
      </c>
      <c r="F12" s="5">
        <v>3.22</v>
      </c>
      <c r="G12" s="17">
        <f t="shared" si="0"/>
        <v>8.14332217846</v>
      </c>
      <c r="H12" s="5">
        <v>10.23</v>
      </c>
      <c r="I12" s="5">
        <v>7.44</v>
      </c>
      <c r="J12" s="22">
        <v>128.14</v>
      </c>
      <c r="K12" s="23">
        <f t="shared" si="1"/>
        <v>27.0072</v>
      </c>
      <c r="L12" s="17">
        <f t="shared" si="2"/>
        <v>19.6416</v>
      </c>
      <c r="M12" s="17">
        <f t="shared" si="3"/>
        <v>219.928330738105</v>
      </c>
      <c r="N12" s="17">
        <f t="shared" si="4"/>
        <v>159.94787690044</v>
      </c>
      <c r="O12" s="4">
        <f t="shared" si="5"/>
        <v>0</v>
      </c>
      <c r="P12" s="4">
        <f t="shared" si="6"/>
        <v>0</v>
      </c>
      <c r="Q12" s="4">
        <f t="shared" si="7"/>
        <v>2306.52</v>
      </c>
      <c r="R12" s="4">
        <f>Q12*4.18*天气!D9</f>
        <v>5576806.51715405</v>
      </c>
      <c r="S12" s="4">
        <f t="shared" si="8"/>
        <v>0.370011048112662</v>
      </c>
      <c r="T12" s="30">
        <f t="shared" si="14"/>
        <v>32.2099889518873</v>
      </c>
      <c r="U12" s="4">
        <f t="shared" si="9"/>
        <v>2.30652</v>
      </c>
      <c r="V12" s="4">
        <f>U12*(天气!B6+273.15)/217</f>
        <v>3.26367265437788</v>
      </c>
      <c r="W12" s="4">
        <f t="shared" si="10"/>
        <v>0.0942087190594891</v>
      </c>
      <c r="X12" s="31">
        <f t="shared" si="11"/>
        <v>0.634208719059489</v>
      </c>
      <c r="Y12" s="4">
        <f t="shared" si="12"/>
        <v>0</v>
      </c>
      <c r="Z12" s="4">
        <f t="shared" si="13"/>
        <v>41.3820613981506</v>
      </c>
    </row>
    <row r="13" spans="1:26">
      <c r="A13" s="9"/>
      <c r="B13" s="9" t="s">
        <v>36</v>
      </c>
      <c r="C13" s="10" t="s">
        <v>111</v>
      </c>
      <c r="D13" s="9">
        <v>0</v>
      </c>
      <c r="E13" s="9">
        <v>2.49</v>
      </c>
      <c r="F13" s="9">
        <v>1</v>
      </c>
      <c r="G13" s="19">
        <f t="shared" si="0"/>
        <v>0.78539815</v>
      </c>
      <c r="H13" s="9">
        <v>3.23</v>
      </c>
      <c r="I13" s="9">
        <v>2.35</v>
      </c>
      <c r="J13" s="26">
        <v>185.861</v>
      </c>
      <c r="K13" s="27">
        <f t="shared" si="1"/>
        <v>8.0427</v>
      </c>
      <c r="L13" s="19">
        <f t="shared" si="2"/>
        <v>5.8515</v>
      </c>
      <c r="M13" s="19">
        <f t="shared" si="3"/>
        <v>6.316721701005</v>
      </c>
      <c r="N13" s="17">
        <f t="shared" si="4"/>
        <v>4.595757274725</v>
      </c>
      <c r="O13" s="4">
        <f t="shared" si="5"/>
        <v>0</v>
      </c>
      <c r="P13" s="4">
        <f t="shared" si="6"/>
        <v>0</v>
      </c>
      <c r="Q13" s="4">
        <f t="shared" si="7"/>
        <v>3345.498</v>
      </c>
      <c r="R13" s="4">
        <f>Q13*4.18*天气!D9</f>
        <v>8088893.67945035</v>
      </c>
      <c r="S13" s="4">
        <f t="shared" si="8"/>
        <v>0.53668349784039</v>
      </c>
      <c r="T13" s="30">
        <f t="shared" si="14"/>
        <v>32.0433165021596</v>
      </c>
      <c r="U13" s="4">
        <f t="shared" si="9"/>
        <v>3.345498</v>
      </c>
      <c r="V13" s="4">
        <f>U13*(天气!B6+273.15)/217</f>
        <v>4.73380258479263</v>
      </c>
      <c r="W13" s="4">
        <f t="shared" si="10"/>
        <v>0.136645284322738</v>
      </c>
      <c r="X13" s="31">
        <f t="shared" si="11"/>
        <v>0.676645284322738</v>
      </c>
      <c r="Y13" s="4">
        <f t="shared" si="12"/>
        <v>0</v>
      </c>
      <c r="Z13" s="4">
        <f t="shared" si="13"/>
        <v>41.9784619521518</v>
      </c>
    </row>
    <row r="14" spans="1:26">
      <c r="A14" s="9"/>
      <c r="B14" s="9"/>
      <c r="C14" s="10" t="s">
        <v>38</v>
      </c>
      <c r="D14" s="16">
        <v>25</v>
      </c>
      <c r="E14" s="9">
        <v>2.98</v>
      </c>
      <c r="F14" s="9">
        <v>1.2</v>
      </c>
      <c r="G14" s="19">
        <f t="shared" si="0"/>
        <v>1.130973336</v>
      </c>
      <c r="H14" s="9">
        <v>7.3</v>
      </c>
      <c r="I14" s="9">
        <v>5.31</v>
      </c>
      <c r="J14" s="26">
        <v>51.56</v>
      </c>
      <c r="K14" s="27">
        <f t="shared" si="1"/>
        <v>21.754</v>
      </c>
      <c r="L14" s="19">
        <f t="shared" si="2"/>
        <v>15.8238</v>
      </c>
      <c r="M14" s="19">
        <f t="shared" si="3"/>
        <v>24.603193951344</v>
      </c>
      <c r="N14" s="17">
        <f t="shared" si="4"/>
        <v>17.8962958741968</v>
      </c>
      <c r="O14" s="4">
        <f t="shared" si="5"/>
        <v>615.0798487836</v>
      </c>
      <c r="P14" s="4">
        <f t="shared" si="6"/>
        <v>447.40739685492</v>
      </c>
      <c r="Q14" s="4">
        <f t="shared" si="7"/>
        <v>928.08</v>
      </c>
      <c r="R14" s="4">
        <f>Q14*4.18*天气!D9</f>
        <v>2243953.05154099</v>
      </c>
      <c r="S14" s="4">
        <f t="shared" si="8"/>
        <v>0.148882235372943</v>
      </c>
      <c r="T14" s="30">
        <f t="shared" si="14"/>
        <v>32.4311177646271</v>
      </c>
      <c r="U14" s="4">
        <f t="shared" si="9"/>
        <v>0.92808</v>
      </c>
      <c r="V14" s="4">
        <f>U14*(天气!B6+273.15)/217</f>
        <v>1.3132118156682</v>
      </c>
      <c r="W14" s="4">
        <f t="shared" si="10"/>
        <v>0.0379069888770662</v>
      </c>
      <c r="X14" s="31">
        <f t="shared" si="11"/>
        <v>0.577906988877066</v>
      </c>
      <c r="Y14" s="4">
        <f t="shared" si="12"/>
        <v>1.07179484170026</v>
      </c>
      <c r="Z14" s="4">
        <f t="shared" si="13"/>
        <v>40.5908007750601</v>
      </c>
    </row>
    <row r="15" spans="1:26">
      <c r="A15" s="9"/>
      <c r="B15" s="9"/>
      <c r="C15" s="10" t="s">
        <v>61</v>
      </c>
      <c r="D15" s="16">
        <v>5</v>
      </c>
      <c r="E15" s="9">
        <v>2.82</v>
      </c>
      <c r="F15" s="9">
        <v>1.88</v>
      </c>
      <c r="G15" s="19">
        <f t="shared" si="0"/>
        <v>2.77591122136</v>
      </c>
      <c r="H15" s="9">
        <v>4.83</v>
      </c>
      <c r="I15" s="9">
        <v>3.51</v>
      </c>
      <c r="J15" s="26">
        <v>63.6</v>
      </c>
      <c r="K15" s="27">
        <f t="shared" si="1"/>
        <v>13.6206</v>
      </c>
      <c r="L15" s="19">
        <f t="shared" si="2"/>
        <v>9.8982</v>
      </c>
      <c r="M15" s="19">
        <f t="shared" si="3"/>
        <v>37.809576381656</v>
      </c>
      <c r="N15" s="17">
        <f t="shared" si="4"/>
        <v>27.4765244512655</v>
      </c>
      <c r="O15" s="4">
        <f t="shared" si="5"/>
        <v>189.04788190828</v>
      </c>
      <c r="P15" s="4">
        <f t="shared" si="6"/>
        <v>137.382622256328</v>
      </c>
      <c r="Q15" s="4">
        <f t="shared" si="7"/>
        <v>1144.8</v>
      </c>
      <c r="R15" s="4">
        <f>Q15*4.18*天气!D9</f>
        <v>2767948.29476352</v>
      </c>
      <c r="S15" s="4">
        <f t="shared" si="8"/>
        <v>0.183648374121783</v>
      </c>
      <c r="T15" s="30">
        <f t="shared" si="14"/>
        <v>32.3963516258782</v>
      </c>
      <c r="U15" s="4">
        <f t="shared" si="9"/>
        <v>1.1448</v>
      </c>
      <c r="V15" s="4">
        <f>U15*(天气!B6+273.15)/217</f>
        <v>1.61986562211982</v>
      </c>
      <c r="W15" s="4">
        <f t="shared" si="10"/>
        <v>0.0467588148289645</v>
      </c>
      <c r="X15" s="31">
        <f t="shared" si="11"/>
        <v>0.586758814828965</v>
      </c>
      <c r="Y15" s="4">
        <f t="shared" si="12"/>
        <v>0.648991593906084</v>
      </c>
      <c r="Z15" s="4">
        <f t="shared" si="13"/>
        <v>40.7152037249427</v>
      </c>
    </row>
    <row r="16" spans="1:26">
      <c r="A16" s="9"/>
      <c r="B16" s="9"/>
      <c r="C16" s="10" t="s">
        <v>43</v>
      </c>
      <c r="D16" s="9">
        <v>0</v>
      </c>
      <c r="E16" s="9">
        <v>3.45</v>
      </c>
      <c r="F16" s="9">
        <v>0.8</v>
      </c>
      <c r="G16" s="19">
        <f t="shared" si="0"/>
        <v>0.502654816</v>
      </c>
      <c r="H16" s="9">
        <v>1.89</v>
      </c>
      <c r="I16" s="9">
        <v>1.37</v>
      </c>
      <c r="J16" s="26">
        <v>89.6</v>
      </c>
      <c r="K16" s="27">
        <f t="shared" si="1"/>
        <v>6.5205</v>
      </c>
      <c r="L16" s="19">
        <f t="shared" si="2"/>
        <v>4.7265</v>
      </c>
      <c r="M16" s="19">
        <f t="shared" si="3"/>
        <v>3.277560727728</v>
      </c>
      <c r="N16" s="17">
        <f t="shared" si="4"/>
        <v>2.375797987824</v>
      </c>
      <c r="O16" s="4">
        <f t="shared" si="5"/>
        <v>0</v>
      </c>
      <c r="P16" s="4">
        <f t="shared" si="6"/>
        <v>0</v>
      </c>
      <c r="Q16" s="4">
        <f t="shared" si="7"/>
        <v>1612.8</v>
      </c>
      <c r="R16" s="4">
        <f>Q16*4.18*天气!D9</f>
        <v>3899499.48444672</v>
      </c>
      <c r="S16" s="4">
        <f t="shared" si="8"/>
        <v>0.258724753479745</v>
      </c>
      <c r="T16" s="30">
        <f t="shared" si="14"/>
        <v>32.3212752465203</v>
      </c>
      <c r="U16" s="4">
        <f t="shared" si="9"/>
        <v>1.6128</v>
      </c>
      <c r="V16" s="4">
        <f>U16*(天气!B6+273.15)/217</f>
        <v>2.28207483870968</v>
      </c>
      <c r="W16" s="4">
        <f t="shared" si="10"/>
        <v>0.0658740535955222</v>
      </c>
      <c r="X16" s="31">
        <f t="shared" si="11"/>
        <v>0.605874053595522</v>
      </c>
      <c r="Y16" s="4">
        <f t="shared" si="12"/>
        <v>0</v>
      </c>
      <c r="Z16" s="4">
        <f t="shared" si="13"/>
        <v>40.9838479688752</v>
      </c>
    </row>
    <row r="17" spans="1:26">
      <c r="A17" s="8" t="s">
        <v>116</v>
      </c>
      <c r="B17" s="4" t="s">
        <v>17</v>
      </c>
      <c r="C17" s="5" t="s">
        <v>22</v>
      </c>
      <c r="D17" s="16">
        <v>2</v>
      </c>
      <c r="E17" s="4">
        <v>9.26</v>
      </c>
      <c r="F17" s="4">
        <v>3</v>
      </c>
      <c r="G17" s="17">
        <f t="shared" si="0"/>
        <v>7.06858335</v>
      </c>
      <c r="H17" s="4">
        <v>6.86</v>
      </c>
      <c r="I17" s="4">
        <v>4.99</v>
      </c>
      <c r="J17" s="4">
        <v>50.8</v>
      </c>
      <c r="K17" s="23">
        <f t="shared" si="1"/>
        <v>63.5236</v>
      </c>
      <c r="L17" s="17">
        <f t="shared" si="2"/>
        <v>46.2074</v>
      </c>
      <c r="M17" s="17">
        <f t="shared" si="3"/>
        <v>449.02186129206</v>
      </c>
      <c r="N17" s="17">
        <f t="shared" si="4"/>
        <v>326.62085828679</v>
      </c>
      <c r="O17" s="4">
        <f t="shared" si="5"/>
        <v>898.04372258412</v>
      </c>
      <c r="P17" s="4">
        <f t="shared" si="6"/>
        <v>653.24171657358</v>
      </c>
      <c r="Q17" s="4">
        <f t="shared" si="7"/>
        <v>914.4</v>
      </c>
      <c r="R17" s="4">
        <f>Q17*4.18*天气!D9</f>
        <v>2210876.93984256</v>
      </c>
      <c r="S17" s="4">
        <f t="shared" si="8"/>
        <v>0.146687695053248</v>
      </c>
      <c r="T17" s="30">
        <f t="shared" si="14"/>
        <v>32.4333123049468</v>
      </c>
      <c r="U17" s="4">
        <f t="shared" si="9"/>
        <v>0.9144</v>
      </c>
      <c r="V17" s="4">
        <f>U17*(天气!B6+273.15)/217</f>
        <v>1.29385493087558</v>
      </c>
      <c r="W17" s="4">
        <f t="shared" si="10"/>
        <v>0.0373482357438898</v>
      </c>
      <c r="X17" s="31">
        <f t="shared" si="11"/>
        <v>0.57734823574389</v>
      </c>
      <c r="Y17" s="4">
        <f t="shared" si="12"/>
        <v>0.527998234662269</v>
      </c>
      <c r="Z17" s="4">
        <f t="shared" si="13"/>
        <v>40.5829480971605</v>
      </c>
    </row>
    <row r="18" spans="1:26">
      <c r="A18" s="8"/>
      <c r="B18" s="4"/>
      <c r="C18" s="5" t="s">
        <v>40</v>
      </c>
      <c r="D18" s="4">
        <v>0</v>
      </c>
      <c r="E18" s="4">
        <v>3.11</v>
      </c>
      <c r="F18" s="4">
        <v>0.8</v>
      </c>
      <c r="G18" s="17">
        <f t="shared" si="0"/>
        <v>0.502654816</v>
      </c>
      <c r="H18" s="4">
        <v>13.51</v>
      </c>
      <c r="I18" s="4">
        <v>9.83</v>
      </c>
      <c r="J18" s="22">
        <v>132.149</v>
      </c>
      <c r="K18" s="23">
        <f t="shared" si="1"/>
        <v>42.0161</v>
      </c>
      <c r="L18" s="17">
        <f t="shared" si="2"/>
        <v>30.5713</v>
      </c>
      <c r="M18" s="17">
        <f t="shared" si="3"/>
        <v>21.1195950145376</v>
      </c>
      <c r="N18" s="17">
        <f t="shared" si="4"/>
        <v>15.3668111763808</v>
      </c>
      <c r="O18" s="4">
        <f t="shared" si="5"/>
        <v>0</v>
      </c>
      <c r="P18" s="4">
        <f t="shared" si="6"/>
        <v>0</v>
      </c>
      <c r="Q18" s="4">
        <f t="shared" si="7"/>
        <v>2378.682</v>
      </c>
      <c r="R18" s="4">
        <f>Q18*4.18*天气!D9</f>
        <v>5751283.00636328</v>
      </c>
      <c r="S18" s="4">
        <f t="shared" si="8"/>
        <v>0.38158724829905</v>
      </c>
      <c r="T18" s="30">
        <f t="shared" si="14"/>
        <v>32.1984127517009</v>
      </c>
      <c r="U18" s="4">
        <f t="shared" si="9"/>
        <v>2.378682</v>
      </c>
      <c r="V18" s="4">
        <f>U18*(天气!B6+273.15)/217</f>
        <v>3.36578022165899</v>
      </c>
      <c r="W18" s="4">
        <f t="shared" si="10"/>
        <v>0.0971561418369941</v>
      </c>
      <c r="X18" s="31">
        <f t="shared" si="11"/>
        <v>0.637156141836994</v>
      </c>
      <c r="Y18" s="4">
        <f t="shared" si="12"/>
        <v>0</v>
      </c>
      <c r="Z18" s="4">
        <f t="shared" si="13"/>
        <v>41.4234842740709</v>
      </c>
    </row>
    <row r="19" spans="1:26">
      <c r="A19" s="9"/>
      <c r="B19" s="9" t="s">
        <v>36</v>
      </c>
      <c r="C19" s="10" t="s">
        <v>38</v>
      </c>
      <c r="D19" s="16">
        <v>5</v>
      </c>
      <c r="E19" s="9">
        <v>2.98</v>
      </c>
      <c r="F19" s="9">
        <v>1.2</v>
      </c>
      <c r="G19" s="19">
        <f t="shared" si="0"/>
        <v>1.130973336</v>
      </c>
      <c r="H19" s="9">
        <v>7.3</v>
      </c>
      <c r="I19" s="9">
        <v>5.31</v>
      </c>
      <c r="J19" s="26">
        <v>51.56</v>
      </c>
      <c r="K19" s="27">
        <f t="shared" si="1"/>
        <v>21.754</v>
      </c>
      <c r="L19" s="19">
        <f t="shared" si="2"/>
        <v>15.8238</v>
      </c>
      <c r="M19" s="19">
        <f t="shared" si="3"/>
        <v>24.603193951344</v>
      </c>
      <c r="N19" s="17">
        <f t="shared" si="4"/>
        <v>17.8962958741968</v>
      </c>
      <c r="O19" s="4">
        <f t="shared" si="5"/>
        <v>123.01596975672</v>
      </c>
      <c r="P19" s="4">
        <f t="shared" si="6"/>
        <v>89.481479370984</v>
      </c>
      <c r="Q19" s="4">
        <f t="shared" si="7"/>
        <v>928.08</v>
      </c>
      <c r="R19" s="4">
        <f>Q19*4.18*天气!D9</f>
        <v>2243953.05154099</v>
      </c>
      <c r="S19" s="4">
        <f t="shared" si="8"/>
        <v>0.148882235372943</v>
      </c>
      <c r="T19" s="30">
        <f t="shared" si="14"/>
        <v>32.4311177646271</v>
      </c>
      <c r="U19" s="4">
        <f t="shared" si="9"/>
        <v>0.92808</v>
      </c>
      <c r="V19" s="4">
        <f>U19*(天气!B6+273.15)/217</f>
        <v>1.3132118156682</v>
      </c>
      <c r="W19" s="4">
        <f t="shared" si="10"/>
        <v>0.0379069888770662</v>
      </c>
      <c r="X19" s="31">
        <f t="shared" si="11"/>
        <v>0.577906988877066</v>
      </c>
      <c r="Y19" s="4">
        <f t="shared" si="12"/>
        <v>0.214358968340052</v>
      </c>
      <c r="Z19" s="4">
        <f t="shared" si="13"/>
        <v>40.5908007750601</v>
      </c>
    </row>
    <row r="20" spans="1:26">
      <c r="A20" s="9"/>
      <c r="B20" s="9"/>
      <c r="C20" s="10" t="s">
        <v>39</v>
      </c>
      <c r="D20" s="16">
        <v>5</v>
      </c>
      <c r="E20" s="9">
        <v>2.75</v>
      </c>
      <c r="F20" s="9">
        <v>0.8</v>
      </c>
      <c r="G20" s="19">
        <f t="shared" si="0"/>
        <v>0.502654816</v>
      </c>
      <c r="H20" s="9">
        <v>3.64</v>
      </c>
      <c r="I20" s="9">
        <v>2.91</v>
      </c>
      <c r="J20" s="26">
        <v>56.27</v>
      </c>
      <c r="K20" s="27">
        <f t="shared" si="1"/>
        <v>10.01</v>
      </c>
      <c r="L20" s="19">
        <f t="shared" si="2"/>
        <v>8.0025</v>
      </c>
      <c r="M20" s="19">
        <f t="shared" si="3"/>
        <v>5.03157470816</v>
      </c>
      <c r="N20" s="17">
        <f t="shared" si="4"/>
        <v>4.02249516504</v>
      </c>
      <c r="O20" s="4">
        <f t="shared" si="5"/>
        <v>25.1578735408</v>
      </c>
      <c r="P20" s="4">
        <f t="shared" si="6"/>
        <v>20.1124758252</v>
      </c>
      <c r="Q20" s="4">
        <f t="shared" si="7"/>
        <v>1012.86</v>
      </c>
      <c r="R20" s="4">
        <f>Q20*4.18*天气!D9</f>
        <v>2448937.90167206</v>
      </c>
      <c r="S20" s="4">
        <f t="shared" si="8"/>
        <v>0.162482610248943</v>
      </c>
      <c r="T20" s="30">
        <f t="shared" si="14"/>
        <v>32.4175173897511</v>
      </c>
      <c r="U20" s="4">
        <f t="shared" si="9"/>
        <v>1.01286</v>
      </c>
      <c r="V20" s="4">
        <f>U20*(天气!B6+273.15)/217</f>
        <v>1.43317356221198</v>
      </c>
      <c r="W20" s="4">
        <f t="shared" si="10"/>
        <v>0.0413697878997772</v>
      </c>
      <c r="X20" s="31">
        <f t="shared" si="11"/>
        <v>0.581369787899777</v>
      </c>
      <c r="Y20" s="4">
        <f t="shared" si="12"/>
        <v>0.103973615623608</v>
      </c>
      <c r="Z20" s="4">
        <f t="shared" si="13"/>
        <v>40.6394667130956</v>
      </c>
    </row>
    <row r="21" spans="1:26">
      <c r="A21" s="9"/>
      <c r="B21" s="9"/>
      <c r="C21" s="10" t="s">
        <v>62</v>
      </c>
      <c r="D21" s="9">
        <v>0</v>
      </c>
      <c r="E21" s="9">
        <v>3.18</v>
      </c>
      <c r="F21" s="9">
        <v>2.55</v>
      </c>
      <c r="G21" s="19">
        <f t="shared" si="0"/>
        <v>5.107051470375</v>
      </c>
      <c r="H21" s="9">
        <v>8.48</v>
      </c>
      <c r="I21" s="9">
        <v>6.17</v>
      </c>
      <c r="J21" s="26">
        <v>103.22</v>
      </c>
      <c r="K21" s="27">
        <f t="shared" si="1"/>
        <v>26.9664</v>
      </c>
      <c r="L21" s="19">
        <f t="shared" si="2"/>
        <v>19.6206</v>
      </c>
      <c r="M21" s="19">
        <f t="shared" si="3"/>
        <v>137.71879277072</v>
      </c>
      <c r="N21" s="17">
        <f t="shared" si="4"/>
        <v>100.20341407964</v>
      </c>
      <c r="O21" s="4">
        <f t="shared" si="5"/>
        <v>0</v>
      </c>
      <c r="P21" s="4">
        <f t="shared" si="6"/>
        <v>0</v>
      </c>
      <c r="Q21" s="4">
        <f t="shared" si="7"/>
        <v>1857.96</v>
      </c>
      <c r="R21" s="4">
        <f>Q21*4.18*天气!D9</f>
        <v>4492258.2230423</v>
      </c>
      <c r="S21" s="4">
        <f t="shared" si="8"/>
        <v>0.298053226051108</v>
      </c>
      <c r="T21" s="30">
        <f t="shared" si="14"/>
        <v>32.2819467739489</v>
      </c>
      <c r="U21" s="4">
        <f t="shared" si="9"/>
        <v>1.85796</v>
      </c>
      <c r="V21" s="4">
        <f>U21*(天气!B6+273.15)/217</f>
        <v>2.62897058986175</v>
      </c>
      <c r="W21" s="4">
        <f t="shared" si="10"/>
        <v>0.0758874979032344</v>
      </c>
      <c r="X21" s="31">
        <f t="shared" si="11"/>
        <v>0.615887497903234</v>
      </c>
      <c r="Y21" s="4">
        <f t="shared" si="12"/>
        <v>0</v>
      </c>
      <c r="Z21" s="4">
        <f t="shared" si="13"/>
        <v>41.1245762228122</v>
      </c>
    </row>
    <row r="22" spans="1:26">
      <c r="A22" s="9"/>
      <c r="B22" s="9"/>
      <c r="C22" s="10" t="s">
        <v>41</v>
      </c>
      <c r="D22" s="9">
        <v>0</v>
      </c>
      <c r="E22" s="9">
        <v>3.14</v>
      </c>
      <c r="F22" s="9">
        <v>0.6</v>
      </c>
      <c r="G22" s="19">
        <f t="shared" si="0"/>
        <v>0.282743334</v>
      </c>
      <c r="H22" s="9">
        <v>2.89</v>
      </c>
      <c r="I22" s="9">
        <v>2.1</v>
      </c>
      <c r="J22" s="26">
        <v>22.1</v>
      </c>
      <c r="K22" s="27">
        <f t="shared" si="1"/>
        <v>9.0746</v>
      </c>
      <c r="L22" s="19">
        <f t="shared" si="2"/>
        <v>6.594</v>
      </c>
      <c r="M22" s="19">
        <f t="shared" si="3"/>
        <v>2.5657826587164</v>
      </c>
      <c r="N22" s="17">
        <f t="shared" si="4"/>
        <v>1.864409544396</v>
      </c>
      <c r="O22" s="4">
        <f t="shared" si="5"/>
        <v>0</v>
      </c>
      <c r="P22" s="4">
        <f t="shared" si="6"/>
        <v>0</v>
      </c>
      <c r="Q22" s="4">
        <f t="shared" si="7"/>
        <v>397.8</v>
      </c>
      <c r="R22" s="4">
        <f>Q22*4.18*天气!D9</f>
        <v>961818.51123072</v>
      </c>
      <c r="S22" s="4">
        <f t="shared" si="8"/>
        <v>0.0638149224542675</v>
      </c>
      <c r="T22" s="30">
        <f t="shared" si="14"/>
        <v>32.5161850775457</v>
      </c>
      <c r="U22" s="4">
        <f t="shared" si="9"/>
        <v>0.3978</v>
      </c>
      <c r="V22" s="4">
        <f>U22*(天气!B6+273.15)/217</f>
        <v>0.562877834101382</v>
      </c>
      <c r="W22" s="4">
        <f t="shared" si="10"/>
        <v>0.0162479529515741</v>
      </c>
      <c r="X22" s="31">
        <f t="shared" si="11"/>
        <v>0.556247952951574</v>
      </c>
      <c r="Y22" s="4">
        <f t="shared" si="12"/>
        <v>0</v>
      </c>
      <c r="Z22" s="4">
        <f t="shared" si="13"/>
        <v>40.2864061817427</v>
      </c>
    </row>
    <row r="23" spans="1:26">
      <c r="A23" s="6"/>
      <c r="B23" s="6" t="s">
        <v>102</v>
      </c>
      <c r="C23" s="7" t="s">
        <v>44</v>
      </c>
      <c r="D23" s="6">
        <v>0</v>
      </c>
      <c r="E23" s="6">
        <v>4.11</v>
      </c>
      <c r="F23" s="6">
        <v>0.15</v>
      </c>
      <c r="G23" s="18">
        <f t="shared" si="0"/>
        <v>0.017671458375</v>
      </c>
      <c r="H23" s="6">
        <v>6.34</v>
      </c>
      <c r="I23" s="6">
        <v>4.61</v>
      </c>
      <c r="J23" s="24">
        <v>0.04</v>
      </c>
      <c r="K23" s="25">
        <f t="shared" si="1"/>
        <v>26.0574</v>
      </c>
      <c r="L23" s="18">
        <f t="shared" si="2"/>
        <v>18.9471</v>
      </c>
      <c r="M23" s="18">
        <f t="shared" si="3"/>
        <v>0.460472259460725</v>
      </c>
      <c r="N23" s="17">
        <f t="shared" si="4"/>
        <v>0.334822888976962</v>
      </c>
      <c r="O23" s="4">
        <f t="shared" si="5"/>
        <v>0</v>
      </c>
      <c r="P23" s="4">
        <f t="shared" si="6"/>
        <v>0</v>
      </c>
      <c r="Q23" s="4">
        <f t="shared" si="7"/>
        <v>0.72</v>
      </c>
      <c r="R23" s="4">
        <f>Q23*4.18*天气!D9</f>
        <v>1740.847984128</v>
      </c>
      <c r="S23" s="4">
        <f t="shared" si="8"/>
        <v>0.000115502122089172</v>
      </c>
      <c r="T23" s="30">
        <f t="shared" si="14"/>
        <v>32.5798844978779</v>
      </c>
      <c r="U23" s="4">
        <f t="shared" si="9"/>
        <v>0.00072</v>
      </c>
      <c r="V23" s="4">
        <f>U23*(天气!B6+273.15)/217</f>
        <v>0.00101878341013825</v>
      </c>
      <c r="W23" s="4">
        <f t="shared" si="10"/>
        <v>2.94080596408581e-5</v>
      </c>
      <c r="X23" s="31">
        <f t="shared" si="11"/>
        <v>0.540029408059641</v>
      </c>
      <c r="Y23" s="4">
        <f t="shared" si="12"/>
        <v>0</v>
      </c>
      <c r="Z23" s="4">
        <f t="shared" si="13"/>
        <v>40.0584718732368</v>
      </c>
    </row>
    <row r="24" spans="1:26">
      <c r="A24" s="6"/>
      <c r="B24" s="6"/>
      <c r="C24" s="7" t="s">
        <v>66</v>
      </c>
      <c r="D24" s="16">
        <v>100</v>
      </c>
      <c r="E24" s="6">
        <v>5.02</v>
      </c>
      <c r="F24" s="6">
        <v>0.2</v>
      </c>
      <c r="G24" s="18">
        <f t="shared" si="0"/>
        <v>0.031415926</v>
      </c>
      <c r="H24" s="6">
        <v>6.14</v>
      </c>
      <c r="I24" s="6">
        <v>4.45</v>
      </c>
      <c r="J24" s="24">
        <v>0.02</v>
      </c>
      <c r="K24" s="25">
        <f t="shared" si="1"/>
        <v>30.8228</v>
      </c>
      <c r="L24" s="18">
        <f t="shared" si="2"/>
        <v>22.339</v>
      </c>
      <c r="M24" s="18">
        <f t="shared" si="3"/>
        <v>0.9683268039128</v>
      </c>
      <c r="N24" s="17">
        <f t="shared" si="4"/>
        <v>0.701800370914</v>
      </c>
      <c r="O24" s="4">
        <f t="shared" si="5"/>
        <v>96.83268039128</v>
      </c>
      <c r="P24" s="4">
        <f t="shared" si="6"/>
        <v>70.1800370914</v>
      </c>
      <c r="Q24" s="4">
        <f t="shared" si="7"/>
        <v>0.36</v>
      </c>
      <c r="R24" s="4">
        <f>Q24*4.18*天气!D9</f>
        <v>870.423992064</v>
      </c>
      <c r="S24" s="4">
        <f t="shared" si="8"/>
        <v>5.7751061044586e-5</v>
      </c>
      <c r="T24" s="30">
        <f t="shared" si="14"/>
        <v>32.579942248939</v>
      </c>
      <c r="U24" s="4">
        <f t="shared" si="9"/>
        <v>0.00036</v>
      </c>
      <c r="V24" s="4">
        <f>U24*(天气!B6+273.15)/217</f>
        <v>0.000509391705069124</v>
      </c>
      <c r="W24" s="4">
        <f t="shared" si="10"/>
        <v>1.47040298204291e-5</v>
      </c>
      <c r="X24" s="31">
        <f t="shared" si="11"/>
        <v>0.54001470402982</v>
      </c>
      <c r="Y24" s="4">
        <f t="shared" si="12"/>
        <v>4.61940712740393e-5</v>
      </c>
      <c r="Z24" s="4">
        <f t="shared" si="13"/>
        <v>40.0582652238184</v>
      </c>
    </row>
    <row r="25" spans="1:26">
      <c r="A25" s="20"/>
      <c r="B25" s="20"/>
      <c r="C25" s="7"/>
      <c r="D25" s="20"/>
      <c r="E25" s="20"/>
      <c r="F25" s="20"/>
      <c r="G25" s="21"/>
      <c r="H25" s="20"/>
      <c r="I25" s="20"/>
      <c r="J25" s="20"/>
      <c r="K25" s="20"/>
      <c r="L25" s="20"/>
      <c r="M25" s="21"/>
      <c r="N25" s="21"/>
      <c r="O25" s="20"/>
      <c r="P25" s="20"/>
      <c r="Q25" s="20"/>
      <c r="R25" s="20"/>
      <c r="S25" s="20">
        <f>AVERAGE(S2:S24)</f>
        <v>0.155533274418506</v>
      </c>
      <c r="T25" s="32"/>
      <c r="U25" s="20"/>
      <c r="V25" s="20"/>
      <c r="W25" s="20">
        <f>AVERAGE(W2:W24)</f>
        <v>0.0396004136331463</v>
      </c>
      <c r="X25" s="33"/>
      <c r="Y25" s="20">
        <f>AVERAGE(Y2:Y24)</f>
        <v>0.292381674122003</v>
      </c>
      <c r="Z25" s="20"/>
    </row>
  </sheetData>
  <mergeCells count="12">
    <mergeCell ref="A7:A10"/>
    <mergeCell ref="A11:A16"/>
    <mergeCell ref="A17:A24"/>
    <mergeCell ref="B7:B8"/>
    <mergeCell ref="B9:B10"/>
    <mergeCell ref="B11:B12"/>
    <mergeCell ref="B13:B16"/>
    <mergeCell ref="B17:B18"/>
    <mergeCell ref="B19:B22"/>
    <mergeCell ref="B23:B24"/>
    <mergeCell ref="A2:B3"/>
    <mergeCell ref="A4:B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F4" sqref="F4"/>
    </sheetView>
  </sheetViews>
  <sheetFormatPr defaultColWidth="8.73333333333333" defaultRowHeight="13.5" outlineLevelCol="6"/>
  <cols>
    <col min="4" max="5" width="12.8166666666667"/>
    <col min="6" max="7" width="12.8166666666667" style="1"/>
  </cols>
  <sheetData>
    <row r="1" spans="1:5">
      <c r="A1" s="2" t="s">
        <v>71</v>
      </c>
      <c r="B1" s="2" t="s">
        <v>72</v>
      </c>
      <c r="C1" s="3" t="s">
        <v>48</v>
      </c>
      <c r="D1" t="s">
        <v>86</v>
      </c>
      <c r="E1" t="s">
        <v>87</v>
      </c>
    </row>
    <row r="2" spans="1:7">
      <c r="A2" s="4" t="s">
        <v>17</v>
      </c>
      <c r="B2" s="4"/>
      <c r="C2" s="5" t="s">
        <v>18</v>
      </c>
      <c r="D2">
        <f>最后总表!O2</f>
        <v>1031.03848999585</v>
      </c>
      <c r="E2">
        <f>最后总表!P2</f>
        <v>918.66372269385</v>
      </c>
      <c r="F2" s="1">
        <f>D2/1000</f>
        <v>1.03103848999585</v>
      </c>
      <c r="G2" s="1">
        <f>E2/1000</f>
        <v>0.91866372269385</v>
      </c>
    </row>
    <row r="3" spans="1:7">
      <c r="A3" s="4"/>
      <c r="B3" s="4"/>
      <c r="C3" s="5" t="s">
        <v>20</v>
      </c>
      <c r="D3">
        <f>最后总表!O3</f>
        <v>11316.1156687297</v>
      </c>
      <c r="E3">
        <f>最后总表!P3</f>
        <v>8228.06445229655</v>
      </c>
      <c r="F3" s="1">
        <f>D3/1000</f>
        <v>11.3161156687297</v>
      </c>
      <c r="G3" s="1">
        <f>E3/1000</f>
        <v>8.22806445229655</v>
      </c>
    </row>
    <row r="4" s="11" customFormat="1" spans="1:7">
      <c r="A4" s="12"/>
      <c r="B4" s="12"/>
      <c r="C4" s="13"/>
      <c r="F4" s="14">
        <f>SUM(F2:F3)</f>
        <v>12.3471541587256</v>
      </c>
      <c r="G4" s="14">
        <f>SUM(G2:G3)</f>
        <v>9.1467281749904</v>
      </c>
    </row>
    <row r="5" spans="1:7">
      <c r="A5" s="6" t="s">
        <v>102</v>
      </c>
      <c r="B5" s="6"/>
      <c r="C5" s="7" t="s">
        <v>44</v>
      </c>
      <c r="D5">
        <f>最后总表!O4</f>
        <v>690.708389191087</v>
      </c>
      <c r="E5">
        <f>最后总表!P4</f>
        <v>502.234333465444</v>
      </c>
      <c r="F5" s="1">
        <f>D5/1000</f>
        <v>0.690708389191087</v>
      </c>
      <c r="G5" s="1">
        <f>E5/1000</f>
        <v>0.502234333465444</v>
      </c>
    </row>
    <row r="6" spans="1:7">
      <c r="A6" s="6"/>
      <c r="B6" s="6"/>
      <c r="C6" s="7" t="s">
        <v>66</v>
      </c>
      <c r="D6">
        <f>最后总表!O5</f>
        <v>1936.6536078256</v>
      </c>
      <c r="E6">
        <f>最后总表!P5</f>
        <v>1403.600741828</v>
      </c>
      <c r="F6" s="1">
        <f>D6/1000</f>
        <v>1.9366536078256</v>
      </c>
      <c r="G6" s="1">
        <f>E6/1000</f>
        <v>1.403600741828</v>
      </c>
    </row>
    <row r="7" spans="1:7">
      <c r="A7" s="6"/>
      <c r="B7" s="6"/>
      <c r="C7" s="7" t="s">
        <v>67</v>
      </c>
      <c r="D7">
        <f>最后总表!O6</f>
        <v>12050.0232668122</v>
      </c>
      <c r="E7">
        <f>最后总表!P6</f>
        <v>8778.1626446976</v>
      </c>
      <c r="F7" s="1">
        <f>D7/1000</f>
        <v>12.0500232668122</v>
      </c>
      <c r="G7" s="1">
        <f>E7/1000</f>
        <v>8.7781626446976</v>
      </c>
    </row>
    <row r="8" s="11" customFormat="1" spans="1:7">
      <c r="A8" s="12"/>
      <c r="B8" s="12"/>
      <c r="C8" s="13"/>
      <c r="F8" s="14">
        <f>SUM(F5:F7)</f>
        <v>14.6773852638288</v>
      </c>
      <c r="G8" s="14">
        <f>SUM(G5:G7)</f>
        <v>10.683997719991</v>
      </c>
    </row>
    <row r="9" spans="1:7">
      <c r="A9" s="8" t="s">
        <v>108</v>
      </c>
      <c r="B9" s="4" t="s">
        <v>17</v>
      </c>
      <c r="C9" s="5" t="s">
        <v>28</v>
      </c>
      <c r="D9">
        <f>最后总表!O7</f>
        <v>6159.05589345471</v>
      </c>
      <c r="E9">
        <f>最后总表!P7</f>
        <v>4109.14319064074</v>
      </c>
      <c r="F9" s="1">
        <f>D9/1000</f>
        <v>6.15905589345471</v>
      </c>
      <c r="G9" s="1">
        <f>E9/1000</f>
        <v>4.10914319064073</v>
      </c>
    </row>
    <row r="10" spans="1:7">
      <c r="A10" s="8"/>
      <c r="B10" s="4"/>
      <c r="C10" s="5" t="s">
        <v>55</v>
      </c>
      <c r="D10">
        <f>最后总表!O8</f>
        <v>5288.90987145722</v>
      </c>
      <c r="E10">
        <f>最后总表!P8</f>
        <v>3842.65788752933</v>
      </c>
      <c r="F10" s="1">
        <f>D10/1000</f>
        <v>5.28890987145722</v>
      </c>
      <c r="G10" s="1">
        <f>E10/1000</f>
        <v>3.84265788752933</v>
      </c>
    </row>
    <row r="11" spans="1:7">
      <c r="A11" s="6"/>
      <c r="B11" s="6" t="s">
        <v>102</v>
      </c>
      <c r="C11" s="7" t="s">
        <v>44</v>
      </c>
      <c r="D11">
        <f>最后总表!O9</f>
        <v>322.330581622507</v>
      </c>
      <c r="E11">
        <f>最后总表!P9</f>
        <v>234.376022283874</v>
      </c>
      <c r="F11" s="1">
        <f>D11/1000</f>
        <v>0.322330581622507</v>
      </c>
      <c r="G11" s="1">
        <f>E11/1000</f>
        <v>0.234376022283874</v>
      </c>
    </row>
    <row r="12" spans="1:7">
      <c r="A12" s="6"/>
      <c r="B12" s="6"/>
      <c r="C12" s="7" t="s">
        <v>66</v>
      </c>
      <c r="D12">
        <f>最后总表!O10</f>
        <v>1839.82092743432</v>
      </c>
      <c r="E12">
        <f>最后总表!P10</f>
        <v>1333.4207047366</v>
      </c>
      <c r="F12" s="1">
        <f>D12/1000</f>
        <v>1.83982092743432</v>
      </c>
      <c r="G12" s="1">
        <f>E12/1000</f>
        <v>1.3334207047366</v>
      </c>
    </row>
    <row r="13" s="11" customFormat="1" spans="1:7">
      <c r="A13" s="12"/>
      <c r="B13" s="12"/>
      <c r="C13" s="13"/>
      <c r="F13" s="14">
        <f>SUM(F9:F12)</f>
        <v>13.6101172739688</v>
      </c>
      <c r="G13" s="14">
        <f>SUM(G9:G12)</f>
        <v>9.51959780519054</v>
      </c>
    </row>
    <row r="14" spans="1:7">
      <c r="A14" s="8" t="s">
        <v>110</v>
      </c>
      <c r="B14" s="4" t="s">
        <v>17</v>
      </c>
      <c r="C14" s="5" t="s">
        <v>18</v>
      </c>
      <c r="D14">
        <f>最后总表!O11</f>
        <v>1346.6625175456</v>
      </c>
      <c r="E14">
        <f>最后总表!P11</f>
        <v>1199.8873112736</v>
      </c>
      <c r="F14" s="1">
        <f t="shared" ref="F14:F19" si="0">D14/1000</f>
        <v>1.3466625175456</v>
      </c>
      <c r="G14" s="1">
        <f t="shared" ref="G14:G19" si="1">E14/1000</f>
        <v>1.1998873112736</v>
      </c>
    </row>
    <row r="15" spans="1:7">
      <c r="A15" s="8"/>
      <c r="B15" s="4"/>
      <c r="C15" s="5" t="s">
        <v>60</v>
      </c>
      <c r="D15">
        <f>最后总表!O12</f>
        <v>4398.5666147621</v>
      </c>
      <c r="E15">
        <f>最后总表!P12</f>
        <v>3198.9575380088</v>
      </c>
      <c r="F15" s="1">
        <f t="shared" si="0"/>
        <v>4.3985666147621</v>
      </c>
      <c r="G15" s="1">
        <f t="shared" si="1"/>
        <v>3.1989575380088</v>
      </c>
    </row>
    <row r="16" spans="1:7">
      <c r="A16" s="9"/>
      <c r="B16" s="9" t="s">
        <v>36</v>
      </c>
      <c r="C16" s="10" t="s">
        <v>111</v>
      </c>
      <c r="D16">
        <f>最后总表!O13</f>
        <v>252.6688680402</v>
      </c>
      <c r="E16">
        <f>最后总表!P13</f>
        <v>183.830290989</v>
      </c>
      <c r="F16" s="1">
        <f t="shared" si="0"/>
        <v>0.2526688680402</v>
      </c>
      <c r="G16" s="1">
        <f t="shared" si="1"/>
        <v>0.183830290989</v>
      </c>
    </row>
    <row r="17" spans="1:7">
      <c r="A17" s="9"/>
      <c r="B17" s="9"/>
      <c r="C17" s="10" t="s">
        <v>38</v>
      </c>
      <c r="D17">
        <f>最后总表!O14</f>
        <v>3567.46312294488</v>
      </c>
      <c r="E17">
        <f>最后总表!P14</f>
        <v>2594.96290175854</v>
      </c>
      <c r="F17" s="1">
        <f t="shared" si="0"/>
        <v>3.56746312294488</v>
      </c>
      <c r="G17" s="1">
        <f t="shared" si="1"/>
        <v>2.59496290175854</v>
      </c>
    </row>
    <row r="18" spans="1:7">
      <c r="A18" s="9"/>
      <c r="B18" s="9"/>
      <c r="C18" s="10" t="s">
        <v>61</v>
      </c>
      <c r="D18">
        <f>最后总表!O15</f>
        <v>1701.43093717452</v>
      </c>
      <c r="E18">
        <f>最后总表!P15</f>
        <v>1236.44360030695</v>
      </c>
      <c r="F18" s="1">
        <f t="shared" si="0"/>
        <v>1.70143093717452</v>
      </c>
      <c r="G18" s="1">
        <f t="shared" si="1"/>
        <v>1.23644360030695</v>
      </c>
    </row>
    <row r="19" spans="1:7">
      <c r="A19" s="9"/>
      <c r="B19" s="9"/>
      <c r="C19" s="10" t="s">
        <v>43</v>
      </c>
      <c r="D19">
        <f>最后总表!O16</f>
        <v>327.7560727728</v>
      </c>
      <c r="E19">
        <f>最后总表!P16</f>
        <v>237.5797987824</v>
      </c>
      <c r="F19" s="1">
        <f t="shared" si="0"/>
        <v>0.3277560727728</v>
      </c>
      <c r="G19" s="1">
        <f t="shared" si="1"/>
        <v>0.2375797987824</v>
      </c>
    </row>
    <row r="20" s="11" customFormat="1" spans="1:7">
      <c r="A20" s="12"/>
      <c r="B20" s="12"/>
      <c r="C20" s="13"/>
      <c r="F20" s="14">
        <f>SUM(F14:F19)</f>
        <v>11.5945481332401</v>
      </c>
      <c r="G20" s="14">
        <f>SUM(G14:G19)</f>
        <v>8.65166144111929</v>
      </c>
    </row>
    <row r="21" spans="1:7">
      <c r="A21" s="8" t="s">
        <v>116</v>
      </c>
      <c r="B21" s="4" t="s">
        <v>17</v>
      </c>
      <c r="C21" s="5" t="s">
        <v>22</v>
      </c>
      <c r="D21">
        <f>最后总表!O17</f>
        <v>3592.17489033648</v>
      </c>
      <c r="E21">
        <f>最后总表!P17</f>
        <v>2612.96686629432</v>
      </c>
      <c r="F21" s="1">
        <f t="shared" ref="F21:F28" si="2">D21/1000</f>
        <v>3.59217489033648</v>
      </c>
      <c r="G21" s="1">
        <f t="shared" ref="G21:G28" si="3">E21/1000</f>
        <v>2.61296686629432</v>
      </c>
    </row>
    <row r="22" spans="1:7">
      <c r="A22" s="8"/>
      <c r="B22" s="4"/>
      <c r="C22" s="5" t="s">
        <v>40</v>
      </c>
      <c r="D22">
        <f>最后总表!O18</f>
        <v>844.783800581504</v>
      </c>
      <c r="E22">
        <f>最后总表!P18</f>
        <v>614.672447055232</v>
      </c>
      <c r="F22" s="1">
        <f t="shared" si="2"/>
        <v>0.844783800581504</v>
      </c>
      <c r="G22" s="1">
        <f t="shared" si="3"/>
        <v>0.614672447055232</v>
      </c>
    </row>
    <row r="23" spans="1:7">
      <c r="A23" s="9"/>
      <c r="B23" s="9" t="s">
        <v>36</v>
      </c>
      <c r="C23" s="10" t="s">
        <v>38</v>
      </c>
      <c r="D23">
        <f>最后总表!O19</f>
        <v>1107.14372781048</v>
      </c>
      <c r="E23">
        <f>最后总表!P19</f>
        <v>805.333314338856</v>
      </c>
      <c r="F23" s="1">
        <f t="shared" si="2"/>
        <v>1.10714372781048</v>
      </c>
      <c r="G23" s="1">
        <f t="shared" si="3"/>
        <v>0.805333314338856</v>
      </c>
    </row>
    <row r="24" spans="1:7">
      <c r="A24" s="9"/>
      <c r="B24" s="9"/>
      <c r="C24" s="10" t="s">
        <v>39</v>
      </c>
      <c r="D24">
        <f>最后总表!O20</f>
        <v>226.4208618672</v>
      </c>
      <c r="E24">
        <f>最后总表!P20</f>
        <v>181.0122824268</v>
      </c>
      <c r="F24" s="1">
        <f t="shared" si="2"/>
        <v>0.2264208618672</v>
      </c>
      <c r="G24" s="1">
        <f t="shared" si="3"/>
        <v>0.1810122824268</v>
      </c>
    </row>
    <row r="25" spans="1:7">
      <c r="A25" s="9"/>
      <c r="B25" s="9"/>
      <c r="C25" s="10" t="s">
        <v>62</v>
      </c>
      <c r="D25">
        <f>最后总表!O21</f>
        <v>4820.15774697521</v>
      </c>
      <c r="E25">
        <f>最后总表!P21</f>
        <v>3507.11949278739</v>
      </c>
      <c r="F25" s="1">
        <f t="shared" si="2"/>
        <v>4.82015774697521</v>
      </c>
      <c r="G25" s="1">
        <f t="shared" si="3"/>
        <v>3.50711949278739</v>
      </c>
    </row>
    <row r="26" spans="1:7">
      <c r="A26" s="9"/>
      <c r="B26" s="9"/>
      <c r="C26" s="10" t="s">
        <v>41</v>
      </c>
      <c r="D26">
        <f>最后总表!O22</f>
        <v>102.631306348656</v>
      </c>
      <c r="E26">
        <f>最后总表!P22</f>
        <v>74.57638177584</v>
      </c>
      <c r="F26" s="1">
        <f t="shared" si="2"/>
        <v>0.102631306348656</v>
      </c>
      <c r="G26" s="1">
        <f t="shared" si="3"/>
        <v>0.07457638177584</v>
      </c>
    </row>
    <row r="27" spans="1:7">
      <c r="A27" s="6"/>
      <c r="B27" s="6" t="s">
        <v>102</v>
      </c>
      <c r="C27" s="7" t="s">
        <v>44</v>
      </c>
      <c r="D27">
        <f>最后总表!O23</f>
        <v>552.56671135287</v>
      </c>
      <c r="E27">
        <f>最后总表!P23</f>
        <v>401.787466772355</v>
      </c>
      <c r="F27" s="1">
        <f t="shared" si="2"/>
        <v>0.55256671135287</v>
      </c>
      <c r="G27" s="1">
        <f t="shared" si="3"/>
        <v>0.401787466772355</v>
      </c>
    </row>
    <row r="28" spans="1:7">
      <c r="A28" s="6"/>
      <c r="B28" s="6"/>
      <c r="C28" s="7" t="s">
        <v>66</v>
      </c>
      <c r="D28">
        <f>最后总表!O24</f>
        <v>1549.32288626048</v>
      </c>
      <c r="E28">
        <f>最后总表!P24</f>
        <v>1122.8805934624</v>
      </c>
      <c r="F28" s="1">
        <f t="shared" si="2"/>
        <v>1.54932288626048</v>
      </c>
      <c r="G28" s="1">
        <f t="shared" si="3"/>
        <v>1.1228805934624</v>
      </c>
    </row>
    <row r="29" s="11" customFormat="1" spans="1:7">
      <c r="A29" s="12"/>
      <c r="B29" s="12"/>
      <c r="C29" s="13"/>
      <c r="F29" s="14">
        <f>SUM(F21:F28)</f>
        <v>12.7952019315329</v>
      </c>
      <c r="G29" s="14">
        <f>SUM(G21:G28)</f>
        <v>9.32034884491319</v>
      </c>
    </row>
  </sheetData>
  <mergeCells count="12">
    <mergeCell ref="A9:A12"/>
    <mergeCell ref="A14:A19"/>
    <mergeCell ref="A21:A28"/>
    <mergeCell ref="B9:B10"/>
    <mergeCell ref="B11:B12"/>
    <mergeCell ref="B14:B15"/>
    <mergeCell ref="B16:B19"/>
    <mergeCell ref="B21:B22"/>
    <mergeCell ref="B23:B26"/>
    <mergeCell ref="B27:B28"/>
    <mergeCell ref="A2:B3"/>
    <mergeCell ref="A5:B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J43" sqref="J43"/>
    </sheetView>
  </sheetViews>
  <sheetFormatPr defaultColWidth="8.73333333333333" defaultRowHeight="13.5" outlineLevelCol="6"/>
  <cols>
    <col min="4" max="5" width="12.8166666666667"/>
    <col min="6" max="7" width="12.8166666666667" style="1"/>
  </cols>
  <sheetData>
    <row r="1" spans="1:5">
      <c r="A1" s="2" t="s">
        <v>71</v>
      </c>
      <c r="B1" s="2" t="s">
        <v>72</v>
      </c>
      <c r="C1" s="3" t="s">
        <v>48</v>
      </c>
      <c r="D1" t="s">
        <v>86</v>
      </c>
      <c r="E1" t="s">
        <v>87</v>
      </c>
    </row>
    <row r="2" spans="1:7">
      <c r="A2" s="4" t="s">
        <v>17</v>
      </c>
      <c r="B2" s="4"/>
      <c r="C2" s="5" t="s">
        <v>18</v>
      </c>
      <c r="D2">
        <f>最后总表!O2</f>
        <v>1031.03848999585</v>
      </c>
      <c r="E2">
        <f>最后总表!P2</f>
        <v>918.66372269385</v>
      </c>
      <c r="F2" s="1">
        <f>D2/1000</f>
        <v>1.03103848999585</v>
      </c>
      <c r="G2" s="1">
        <f>E2/1000</f>
        <v>0.91866372269385</v>
      </c>
    </row>
    <row r="3" spans="1:7">
      <c r="A3" s="4"/>
      <c r="B3" s="4"/>
      <c r="C3" s="5" t="s">
        <v>20</v>
      </c>
      <c r="D3">
        <f>最后总表!O3</f>
        <v>11316.1156687297</v>
      </c>
      <c r="E3">
        <f>最后总表!P3</f>
        <v>8228.06445229655</v>
      </c>
      <c r="F3" s="1">
        <f>D3/1000</f>
        <v>11.3161156687297</v>
      </c>
      <c r="G3" s="1">
        <f>E3/1000</f>
        <v>8.22806445229655</v>
      </c>
    </row>
    <row r="4" spans="1:7">
      <c r="A4" s="6" t="s">
        <v>102</v>
      </c>
      <c r="B4" s="6"/>
      <c r="C4" s="7" t="s">
        <v>44</v>
      </c>
      <c r="D4">
        <f>最后总表!O4</f>
        <v>690.708389191087</v>
      </c>
      <c r="E4">
        <f>最后总表!P4</f>
        <v>502.234333465444</v>
      </c>
      <c r="F4" s="1">
        <f>D4/1000</f>
        <v>0.690708389191087</v>
      </c>
      <c r="G4" s="1">
        <f>E4/1000</f>
        <v>0.502234333465444</v>
      </c>
    </row>
    <row r="5" spans="1:7">
      <c r="A5" s="6"/>
      <c r="B5" s="6"/>
      <c r="C5" s="7" t="s">
        <v>66</v>
      </c>
      <c r="D5">
        <f>最后总表!O5</f>
        <v>1936.6536078256</v>
      </c>
      <c r="E5">
        <f>最后总表!P5</f>
        <v>1403.600741828</v>
      </c>
      <c r="F5" s="1">
        <f>D5/1000</f>
        <v>1.9366536078256</v>
      </c>
      <c r="G5" s="1">
        <f>E5/1000</f>
        <v>1.403600741828</v>
      </c>
    </row>
    <row r="6" spans="1:7">
      <c r="A6" s="6"/>
      <c r="B6" s="6"/>
      <c r="C6" s="7" t="s">
        <v>67</v>
      </c>
      <c r="D6">
        <f>最后总表!O6</f>
        <v>12050.0232668122</v>
      </c>
      <c r="E6">
        <f>最后总表!P6</f>
        <v>8778.1626446976</v>
      </c>
      <c r="F6" s="1">
        <f>D6/1000</f>
        <v>12.0500232668122</v>
      </c>
      <c r="G6" s="1">
        <f>E6/1000</f>
        <v>8.7781626446976</v>
      </c>
    </row>
    <row r="7" spans="1:7">
      <c r="A7" s="8" t="s">
        <v>108</v>
      </c>
      <c r="B7" s="4" t="s">
        <v>17</v>
      </c>
      <c r="C7" s="5" t="s">
        <v>28</v>
      </c>
      <c r="D7">
        <f>最后总表!O7</f>
        <v>6159.05589345471</v>
      </c>
      <c r="E7">
        <f>最后总表!P7</f>
        <v>4109.14319064074</v>
      </c>
      <c r="F7" s="1">
        <f t="shared" ref="F7:F10" si="0">D7/1000</f>
        <v>6.15905589345471</v>
      </c>
      <c r="G7" s="1">
        <f t="shared" ref="G7:G10" si="1">E7/1000</f>
        <v>4.10914319064073</v>
      </c>
    </row>
    <row r="8" spans="1:7">
      <c r="A8" s="8"/>
      <c r="B8" s="4"/>
      <c r="C8" s="5" t="s">
        <v>55</v>
      </c>
      <c r="D8">
        <f>最后总表!O8</f>
        <v>5288.90987145722</v>
      </c>
      <c r="E8">
        <f>最后总表!P8</f>
        <v>3842.65788752933</v>
      </c>
      <c r="F8" s="1">
        <f t="shared" si="0"/>
        <v>5.28890987145722</v>
      </c>
      <c r="G8" s="1">
        <f t="shared" si="1"/>
        <v>3.84265788752933</v>
      </c>
    </row>
    <row r="9" spans="1:7">
      <c r="A9" s="6"/>
      <c r="B9" s="6" t="s">
        <v>102</v>
      </c>
      <c r="C9" s="7" t="s">
        <v>44</v>
      </c>
      <c r="D9">
        <f>最后总表!O9</f>
        <v>322.330581622507</v>
      </c>
      <c r="E9">
        <f>最后总表!P9</f>
        <v>234.376022283874</v>
      </c>
      <c r="F9" s="1">
        <f t="shared" si="0"/>
        <v>0.322330581622507</v>
      </c>
      <c r="G9" s="1">
        <f t="shared" si="1"/>
        <v>0.234376022283874</v>
      </c>
    </row>
    <row r="10" spans="1:7">
      <c r="A10" s="6"/>
      <c r="B10" s="6"/>
      <c r="C10" s="7" t="s">
        <v>66</v>
      </c>
      <c r="D10">
        <f>最后总表!O10</f>
        <v>1839.82092743432</v>
      </c>
      <c r="E10">
        <f>最后总表!P10</f>
        <v>1333.4207047366</v>
      </c>
      <c r="F10" s="1">
        <f t="shared" si="0"/>
        <v>1.83982092743432</v>
      </c>
      <c r="G10" s="1">
        <f t="shared" si="1"/>
        <v>1.3334207047366</v>
      </c>
    </row>
    <row r="11" spans="1:7">
      <c r="A11" s="8" t="s">
        <v>110</v>
      </c>
      <c r="B11" s="4" t="s">
        <v>17</v>
      </c>
      <c r="C11" s="5" t="s">
        <v>18</v>
      </c>
      <c r="D11">
        <f>最后总表!O11</f>
        <v>1346.6625175456</v>
      </c>
      <c r="E11">
        <f>最后总表!P11</f>
        <v>1199.8873112736</v>
      </c>
      <c r="F11" s="1">
        <f t="shared" ref="F11:F16" si="2">D11/1000</f>
        <v>1.3466625175456</v>
      </c>
      <c r="G11" s="1">
        <f t="shared" ref="G11:G16" si="3">E11/1000</f>
        <v>1.1998873112736</v>
      </c>
    </row>
    <row r="12" spans="1:7">
      <c r="A12" s="8"/>
      <c r="B12" s="4"/>
      <c r="C12" s="5" t="s">
        <v>60</v>
      </c>
      <c r="D12">
        <f>最后总表!O12</f>
        <v>4398.5666147621</v>
      </c>
      <c r="E12">
        <f>最后总表!P12</f>
        <v>3198.9575380088</v>
      </c>
      <c r="F12" s="1">
        <f t="shared" si="2"/>
        <v>4.3985666147621</v>
      </c>
      <c r="G12" s="1">
        <f t="shared" si="3"/>
        <v>3.1989575380088</v>
      </c>
    </row>
    <row r="13" spans="1:7">
      <c r="A13" s="9"/>
      <c r="B13" s="9" t="s">
        <v>36</v>
      </c>
      <c r="C13" s="10" t="s">
        <v>111</v>
      </c>
      <c r="D13">
        <f>最后总表!O13</f>
        <v>252.6688680402</v>
      </c>
      <c r="E13">
        <f>最后总表!P13</f>
        <v>183.830290989</v>
      </c>
      <c r="F13" s="1">
        <f t="shared" si="2"/>
        <v>0.2526688680402</v>
      </c>
      <c r="G13" s="1">
        <f t="shared" si="3"/>
        <v>0.183830290989</v>
      </c>
    </row>
    <row r="14" spans="1:7">
      <c r="A14" s="9"/>
      <c r="B14" s="9"/>
      <c r="C14" s="10" t="s">
        <v>38</v>
      </c>
      <c r="D14">
        <f>最后总表!O14</f>
        <v>3567.46312294488</v>
      </c>
      <c r="E14">
        <f>最后总表!P14</f>
        <v>2594.96290175854</v>
      </c>
      <c r="F14" s="1">
        <f t="shared" si="2"/>
        <v>3.56746312294488</v>
      </c>
      <c r="G14" s="1">
        <f t="shared" si="3"/>
        <v>2.59496290175854</v>
      </c>
    </row>
    <row r="15" spans="1:7">
      <c r="A15" s="9"/>
      <c r="B15" s="9"/>
      <c r="C15" s="10" t="s">
        <v>61</v>
      </c>
      <c r="D15">
        <f>最后总表!O15</f>
        <v>1701.43093717452</v>
      </c>
      <c r="E15">
        <f>最后总表!P15</f>
        <v>1236.44360030695</v>
      </c>
      <c r="F15" s="1">
        <f t="shared" si="2"/>
        <v>1.70143093717452</v>
      </c>
      <c r="G15" s="1">
        <f t="shared" si="3"/>
        <v>1.23644360030695</v>
      </c>
    </row>
    <row r="16" spans="1:7">
      <c r="A16" s="9"/>
      <c r="B16" s="9"/>
      <c r="C16" s="10" t="s">
        <v>43</v>
      </c>
      <c r="D16">
        <f>最后总表!O16</f>
        <v>327.7560727728</v>
      </c>
      <c r="E16">
        <f>最后总表!P16</f>
        <v>237.5797987824</v>
      </c>
      <c r="F16" s="1">
        <f t="shared" si="2"/>
        <v>0.3277560727728</v>
      </c>
      <c r="G16" s="1">
        <f t="shared" si="3"/>
        <v>0.2375797987824</v>
      </c>
    </row>
    <row r="17" spans="1:7">
      <c r="A17" s="8" t="s">
        <v>116</v>
      </c>
      <c r="B17" s="4" t="s">
        <v>17</v>
      </c>
      <c r="C17" s="5" t="s">
        <v>22</v>
      </c>
      <c r="D17">
        <f>最后总表!O17</f>
        <v>3592.17489033648</v>
      </c>
      <c r="E17">
        <f>最后总表!P17</f>
        <v>2612.96686629432</v>
      </c>
      <c r="F17" s="1">
        <f t="shared" ref="F17:F24" si="4">D17/1000</f>
        <v>3.59217489033648</v>
      </c>
      <c r="G17" s="1">
        <f t="shared" ref="G17:G24" si="5">E17/1000</f>
        <v>2.61296686629432</v>
      </c>
    </row>
    <row r="18" spans="1:7">
      <c r="A18" s="8"/>
      <c r="B18" s="4"/>
      <c r="C18" s="5" t="s">
        <v>40</v>
      </c>
      <c r="D18">
        <f>最后总表!O18</f>
        <v>844.783800581504</v>
      </c>
      <c r="E18">
        <f>最后总表!P18</f>
        <v>614.672447055232</v>
      </c>
      <c r="F18" s="1">
        <f t="shared" si="4"/>
        <v>0.844783800581504</v>
      </c>
      <c r="G18" s="1">
        <f t="shared" si="5"/>
        <v>0.614672447055232</v>
      </c>
    </row>
    <row r="19" spans="1:7">
      <c r="A19" s="9"/>
      <c r="B19" s="9" t="s">
        <v>36</v>
      </c>
      <c r="C19" s="10" t="s">
        <v>38</v>
      </c>
      <c r="D19">
        <f>最后总表!O19</f>
        <v>1107.14372781048</v>
      </c>
      <c r="E19">
        <f>最后总表!P19</f>
        <v>805.333314338856</v>
      </c>
      <c r="F19" s="1">
        <f t="shared" si="4"/>
        <v>1.10714372781048</v>
      </c>
      <c r="G19" s="1">
        <f t="shared" si="5"/>
        <v>0.805333314338856</v>
      </c>
    </row>
    <row r="20" spans="1:7">
      <c r="A20" s="9"/>
      <c r="B20" s="9"/>
      <c r="C20" s="10" t="s">
        <v>39</v>
      </c>
      <c r="D20">
        <f>最后总表!O20</f>
        <v>226.4208618672</v>
      </c>
      <c r="E20">
        <f>最后总表!P20</f>
        <v>181.0122824268</v>
      </c>
      <c r="F20" s="1">
        <f t="shared" si="4"/>
        <v>0.2264208618672</v>
      </c>
      <c r="G20" s="1">
        <f t="shared" si="5"/>
        <v>0.1810122824268</v>
      </c>
    </row>
    <row r="21" spans="1:7">
      <c r="A21" s="9"/>
      <c r="B21" s="9"/>
      <c r="C21" s="10" t="s">
        <v>62</v>
      </c>
      <c r="D21">
        <f>最后总表!O21</f>
        <v>4820.15774697521</v>
      </c>
      <c r="E21">
        <f>最后总表!P21</f>
        <v>3507.11949278739</v>
      </c>
      <c r="F21" s="1">
        <f t="shared" si="4"/>
        <v>4.82015774697521</v>
      </c>
      <c r="G21" s="1">
        <f t="shared" si="5"/>
        <v>3.50711949278739</v>
      </c>
    </row>
    <row r="22" spans="1:7">
      <c r="A22" s="9"/>
      <c r="B22" s="9"/>
      <c r="C22" s="10" t="s">
        <v>41</v>
      </c>
      <c r="D22">
        <f>最后总表!O22</f>
        <v>102.631306348656</v>
      </c>
      <c r="E22">
        <f>最后总表!P22</f>
        <v>74.57638177584</v>
      </c>
      <c r="F22" s="1">
        <f t="shared" si="4"/>
        <v>0.102631306348656</v>
      </c>
      <c r="G22" s="1">
        <f t="shared" si="5"/>
        <v>0.07457638177584</v>
      </c>
    </row>
    <row r="23" spans="1:7">
      <c r="A23" s="6"/>
      <c r="B23" s="6" t="s">
        <v>102</v>
      </c>
      <c r="C23" s="7" t="s">
        <v>44</v>
      </c>
      <c r="D23">
        <f>最后总表!O23</f>
        <v>552.56671135287</v>
      </c>
      <c r="E23">
        <f>最后总表!P23</f>
        <v>401.787466772355</v>
      </c>
      <c r="F23" s="1">
        <f t="shared" si="4"/>
        <v>0.55256671135287</v>
      </c>
      <c r="G23" s="1">
        <f t="shared" si="5"/>
        <v>0.401787466772355</v>
      </c>
    </row>
    <row r="24" spans="1:7">
      <c r="A24" s="6"/>
      <c r="B24" s="6"/>
      <c r="C24" s="7" t="s">
        <v>66</v>
      </c>
      <c r="D24">
        <f>最后总表!O24</f>
        <v>1549.32288626048</v>
      </c>
      <c r="E24">
        <f>最后总表!P24</f>
        <v>1122.8805934624</v>
      </c>
      <c r="F24" s="1">
        <f t="shared" si="4"/>
        <v>1.54932288626048</v>
      </c>
      <c r="G24" s="1">
        <f t="shared" si="5"/>
        <v>1.1228805934624</v>
      </c>
    </row>
  </sheetData>
  <mergeCells count="12">
    <mergeCell ref="A7:A10"/>
    <mergeCell ref="A11:A16"/>
    <mergeCell ref="A17:A24"/>
    <mergeCell ref="B7:B8"/>
    <mergeCell ref="B9:B10"/>
    <mergeCell ref="B11:B12"/>
    <mergeCell ref="B13:B16"/>
    <mergeCell ref="B17:B18"/>
    <mergeCell ref="B19:B22"/>
    <mergeCell ref="B23:B24"/>
    <mergeCell ref="A2:B3"/>
    <mergeCell ref="A4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opLeftCell="A2" workbookViewId="0">
      <selection activeCell="A2" sqref="A2:A25"/>
    </sheetView>
  </sheetViews>
  <sheetFormatPr defaultColWidth="9.90833333333333" defaultRowHeight="13.5" zeroHeight="1"/>
  <cols>
    <col min="1" max="2" width="8.73333333333333" style="39"/>
    <col min="3" max="3" width="26.1833333333333" style="196" customWidth="1"/>
    <col min="4" max="4" width="16.2666666666667" style="39" customWidth="1"/>
    <col min="5" max="5" width="15.6416666666667" style="39" customWidth="1"/>
    <col min="6" max="6" width="8.73333333333333" style="39"/>
    <col min="7" max="7" width="17.1833333333333" style="39" customWidth="1"/>
    <col min="8" max="8" width="18.1833333333333" style="39" customWidth="1"/>
    <col min="9" max="9" width="11.4416666666667" style="39" customWidth="1"/>
    <col min="10" max="10" width="15.4416666666667" style="39" customWidth="1"/>
    <col min="11" max="11" width="14.1833333333333" style="39" customWidth="1"/>
    <col min="12" max="12" width="11.9083333333333" style="39" customWidth="1"/>
    <col min="13" max="13" width="17.5416666666667" style="39" customWidth="1"/>
    <col min="14" max="16" width="8.73333333333333" style="39"/>
    <col min="17" max="16384" width="8.73333333333333" style="39" hidden="1" customWidth="1"/>
  </cols>
  <sheetData>
    <row r="1" s="182" customFormat="1" ht="17" customHeight="1" spans="1:21">
      <c r="A1" s="183" t="s">
        <v>0</v>
      </c>
      <c r="B1" s="183" t="s">
        <v>1</v>
      </c>
      <c r="C1" s="183" t="s">
        <v>2</v>
      </c>
      <c r="D1" s="184" t="s">
        <v>30</v>
      </c>
      <c r="E1" s="184" t="s">
        <v>31</v>
      </c>
      <c r="F1" s="185" t="s">
        <v>5</v>
      </c>
      <c r="G1" s="182" t="s">
        <v>32</v>
      </c>
      <c r="H1" s="182" t="s">
        <v>33</v>
      </c>
      <c r="I1" s="189" t="s">
        <v>8</v>
      </c>
      <c r="J1" s="182" t="s">
        <v>34</v>
      </c>
      <c r="K1" s="182" t="s">
        <v>10</v>
      </c>
      <c r="L1" s="182" t="s">
        <v>11</v>
      </c>
      <c r="M1" s="190" t="s">
        <v>35</v>
      </c>
      <c r="N1" s="191" t="s">
        <v>14</v>
      </c>
      <c r="O1" s="191" t="s">
        <v>15</v>
      </c>
      <c r="P1" s="191" t="s">
        <v>16</v>
      </c>
      <c r="Q1" s="191"/>
      <c r="R1" s="191"/>
      <c r="S1" s="191"/>
      <c r="T1" s="194"/>
      <c r="U1" s="195"/>
    </row>
    <row r="2" ht="192.3" spans="1:14">
      <c r="A2" s="39" t="s">
        <v>36</v>
      </c>
      <c r="B2" s="188" t="s">
        <v>37</v>
      </c>
      <c r="C2" s="188" t="str">
        <f>_xlfn.DISPIMG("ID_0E1CBF81F8EF4785BEC8B9E7E30DA92B",1)</f>
        <v>=DISPIMG("ID_0E1CBF81F8EF4785BEC8B9E7E30DA92B",1)</v>
      </c>
      <c r="D2" s="145">
        <v>64.91</v>
      </c>
      <c r="E2" s="145">
        <v>47.21</v>
      </c>
      <c r="F2" s="186">
        <v>3.16</v>
      </c>
      <c r="G2" s="187">
        <f t="shared" ref="G2:G8" si="0">D2*F2</f>
        <v>205.1156</v>
      </c>
      <c r="H2" s="187">
        <f t="shared" ref="H2:H8" si="1">E2*F2</f>
        <v>149.1836</v>
      </c>
      <c r="I2" s="192">
        <v>1</v>
      </c>
      <c r="J2" s="187">
        <f t="shared" ref="J2:J8" si="2">3.14159*I2*I2/4</f>
        <v>0.7853975</v>
      </c>
      <c r="K2" s="187">
        <f t="shared" ref="K2:K8" si="3">G2*J2</f>
        <v>161.097279451</v>
      </c>
      <c r="L2" s="187">
        <f t="shared" ref="L2:L8" si="4">H2*J2</f>
        <v>117.168426481</v>
      </c>
      <c r="N2" s="39">
        <v>2</v>
      </c>
    </row>
    <row r="3" ht="95.25" spans="2:12">
      <c r="B3" s="188" t="s">
        <v>38</v>
      </c>
      <c r="C3" s="146" t="str">
        <f>_xlfn.DISPIMG("ID_C32E4859EBE446D0AD011E1296DEAA66",1)</f>
        <v>=DISPIMG("ID_C32E4859EBE446D0AD011E1296DEAA66",1)</v>
      </c>
      <c r="D3" s="145">
        <v>19.97</v>
      </c>
      <c r="E3" s="145">
        <v>14.52</v>
      </c>
      <c r="F3" s="186">
        <v>2.978</v>
      </c>
      <c r="G3" s="187">
        <f t="shared" si="0"/>
        <v>59.47066</v>
      </c>
      <c r="H3" s="187">
        <f t="shared" si="1"/>
        <v>43.24056</v>
      </c>
      <c r="I3" s="192">
        <v>1.2</v>
      </c>
      <c r="J3" s="187">
        <f t="shared" si="2"/>
        <v>1.1309724</v>
      </c>
      <c r="K3" s="187">
        <f t="shared" si="3"/>
        <v>67.259675069784</v>
      </c>
      <c r="L3" s="187">
        <f t="shared" si="4"/>
        <v>48.903879920544</v>
      </c>
    </row>
    <row r="4" ht="108.35" spans="2:12">
      <c r="B4" s="188" t="s">
        <v>39</v>
      </c>
      <c r="C4" s="146" t="str">
        <f>_xlfn.DISPIMG("ID_9EF8612409464CD78B6745656C42BB28",1)</f>
        <v>=DISPIMG("ID_9EF8612409464CD78B6745656C42BB28",1)</v>
      </c>
      <c r="D4" s="145">
        <v>28.53</v>
      </c>
      <c r="E4" s="145">
        <v>20.75</v>
      </c>
      <c r="F4" s="186">
        <v>2.748</v>
      </c>
      <c r="G4" s="187">
        <f t="shared" si="0"/>
        <v>78.40044</v>
      </c>
      <c r="H4" s="187">
        <f t="shared" si="1"/>
        <v>57.021</v>
      </c>
      <c r="I4" s="192">
        <v>0.8</v>
      </c>
      <c r="J4" s="187">
        <f t="shared" si="2"/>
        <v>0.5026544</v>
      </c>
      <c r="K4" s="187">
        <f t="shared" si="3"/>
        <v>39.408326127936</v>
      </c>
      <c r="L4" s="187">
        <f t="shared" si="4"/>
        <v>28.6618565424</v>
      </c>
    </row>
    <row r="5" ht="144" spans="2:12">
      <c r="B5" s="188" t="s">
        <v>40</v>
      </c>
      <c r="C5" s="146" t="str">
        <f>_xlfn.DISPIMG("ID_F4EC41F881034633AFBEEB697A5260C0",1)</f>
        <v>=DISPIMG("ID_F4EC41F881034633AFBEEB697A5260C0",1)</v>
      </c>
      <c r="D5" s="145">
        <v>8.12</v>
      </c>
      <c r="E5" s="145">
        <v>5.9</v>
      </c>
      <c r="F5" s="186">
        <v>4.637</v>
      </c>
      <c r="G5" s="187">
        <f t="shared" si="0"/>
        <v>37.65244</v>
      </c>
      <c r="H5" s="187">
        <f t="shared" si="1"/>
        <v>27.3583</v>
      </c>
      <c r="I5" s="192">
        <v>0.8</v>
      </c>
      <c r="J5" s="187">
        <f t="shared" si="2"/>
        <v>0.5026544</v>
      </c>
      <c r="K5" s="187">
        <f t="shared" si="3"/>
        <v>18.926164636736</v>
      </c>
      <c r="L5" s="187">
        <f t="shared" si="4"/>
        <v>13.75176987152</v>
      </c>
    </row>
    <row r="6" ht="108.75" spans="2:14">
      <c r="B6" s="130" t="s">
        <v>41</v>
      </c>
      <c r="C6" s="146" t="str">
        <f>_xlfn.DISPIMG("ID_C2A2C1DD40104F489678AEF513B42557",1)</f>
        <v>=DISPIMG("ID_C2A2C1DD40104F489678AEF513B42557",1)</v>
      </c>
      <c r="D6" s="145">
        <v>9.06</v>
      </c>
      <c r="E6" s="145">
        <v>6.59</v>
      </c>
      <c r="F6" s="186">
        <v>3.14</v>
      </c>
      <c r="G6" s="187">
        <f t="shared" si="0"/>
        <v>28.4484</v>
      </c>
      <c r="H6" s="187">
        <f t="shared" si="1"/>
        <v>20.6926</v>
      </c>
      <c r="I6" s="192">
        <v>0.6</v>
      </c>
      <c r="J6" s="187">
        <f t="shared" si="2"/>
        <v>0.2827431</v>
      </c>
      <c r="K6" s="187">
        <f t="shared" si="3"/>
        <v>8.04358880604</v>
      </c>
      <c r="L6" s="187">
        <f t="shared" si="4"/>
        <v>5.85068987106</v>
      </c>
      <c r="N6" s="39">
        <v>4</v>
      </c>
    </row>
    <row r="7" ht="141.7" spans="2:12">
      <c r="B7" s="188" t="s">
        <v>42</v>
      </c>
      <c r="C7" s="146" t="str">
        <f>_xlfn.DISPIMG("ID_03BA4F5756954515BE213A193AE816D1",1)</f>
        <v>=DISPIMG("ID_03BA4F5756954515BE213A193AE816D1",1)</v>
      </c>
      <c r="D7" s="145">
        <v>15.67</v>
      </c>
      <c r="E7" s="145">
        <v>11.39</v>
      </c>
      <c r="F7" s="186">
        <v>2.12</v>
      </c>
      <c r="G7" s="187">
        <f t="shared" si="0"/>
        <v>33.2204</v>
      </c>
      <c r="H7" s="187">
        <f t="shared" si="1"/>
        <v>24.1468</v>
      </c>
      <c r="I7" s="192">
        <v>0.5</v>
      </c>
      <c r="J7" s="187">
        <f t="shared" si="2"/>
        <v>0.196349375</v>
      </c>
      <c r="K7" s="187">
        <f t="shared" si="3"/>
        <v>6.52280477725</v>
      </c>
      <c r="L7" s="187">
        <f t="shared" si="4"/>
        <v>4.74120908825</v>
      </c>
    </row>
    <row r="8" ht="108.7" spans="2:14">
      <c r="B8" s="188" t="s">
        <v>43</v>
      </c>
      <c r="C8" s="146" t="str">
        <f>_xlfn.DISPIMG("ID_4D8703B5FBBE472A93D872B4D89C9F9E",1)</f>
        <v>=DISPIMG("ID_4D8703B5FBBE472A93D872B4D89C9F9E",1)</v>
      </c>
      <c r="D8" s="145">
        <v>14.77</v>
      </c>
      <c r="E8" s="145">
        <v>10.74</v>
      </c>
      <c r="F8" s="186">
        <v>3.97</v>
      </c>
      <c r="G8" s="187">
        <f t="shared" si="0"/>
        <v>58.6369</v>
      </c>
      <c r="H8" s="187">
        <f t="shared" si="1"/>
        <v>42.6378</v>
      </c>
      <c r="I8" s="192">
        <v>0.1</v>
      </c>
      <c r="J8" s="187">
        <f t="shared" si="2"/>
        <v>0.007853975</v>
      </c>
      <c r="K8" s="187">
        <f t="shared" si="3"/>
        <v>0.4605327466775</v>
      </c>
      <c r="L8" s="187">
        <f t="shared" si="4"/>
        <v>0.334876215255</v>
      </c>
      <c r="N8" s="39">
        <v>8</v>
      </c>
    </row>
    <row r="9"/>
    <row r="10" ht="16" hidden="1" customHeight="1"/>
    <row r="11" ht="16" hidden="1" customHeight="1"/>
    <row r="12" ht="16" hidden="1" customHeight="1"/>
  </sheetData>
  <mergeCells count="1">
    <mergeCell ref="A2:A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A25"/>
    </sheetView>
  </sheetViews>
  <sheetFormatPr defaultColWidth="9.90833333333333" defaultRowHeight="13.5" zeroHeight="1"/>
  <cols>
    <col min="1" max="2" width="8.73333333333333" style="39"/>
    <col min="3" max="3" width="21.8166666666667" style="39" customWidth="1"/>
    <col min="4" max="4" width="17.4583333333333" style="39" customWidth="1"/>
    <col min="5" max="5" width="17.3583333333333" style="39" customWidth="1"/>
    <col min="6" max="6" width="8.73333333333333" style="39" customWidth="1"/>
    <col min="7" max="8" width="17.6416666666667" style="39" customWidth="1"/>
    <col min="9" max="9" width="8.73333333333333" style="39" customWidth="1"/>
    <col min="10" max="13" width="17.6416666666667" style="39" customWidth="1"/>
    <col min="14" max="16" width="8.73333333333333" style="39"/>
    <col min="17" max="16384" width="8.73333333333333" style="39" hidden="1" customWidth="1"/>
  </cols>
  <sheetData>
    <row r="1" s="182" customFormat="1" ht="17" customHeight="1" spans="1:21">
      <c r="A1" s="183" t="s">
        <v>0</v>
      </c>
      <c r="B1" s="183" t="s">
        <v>1</v>
      </c>
      <c r="C1" s="183" t="s">
        <v>2</v>
      </c>
      <c r="D1" s="184" t="s">
        <v>30</v>
      </c>
      <c r="E1" s="184" t="s">
        <v>31</v>
      </c>
      <c r="F1" s="185" t="s">
        <v>5</v>
      </c>
      <c r="G1" s="182" t="s">
        <v>32</v>
      </c>
      <c r="H1" s="182" t="s">
        <v>33</v>
      </c>
      <c r="I1" s="189" t="s">
        <v>8</v>
      </c>
      <c r="J1" s="182" t="s">
        <v>34</v>
      </c>
      <c r="K1" s="182" t="s">
        <v>10</v>
      </c>
      <c r="L1" s="182" t="s">
        <v>11</v>
      </c>
      <c r="M1" s="190" t="s">
        <v>35</v>
      </c>
      <c r="N1" s="191" t="s">
        <v>14</v>
      </c>
      <c r="O1" s="191" t="s">
        <v>15</v>
      </c>
      <c r="P1" s="191" t="s">
        <v>16</v>
      </c>
      <c r="Q1" s="191"/>
      <c r="R1" s="191"/>
      <c r="S1" s="191"/>
      <c r="T1" s="194"/>
      <c r="U1" s="195"/>
    </row>
    <row r="2" customFormat="1" ht="80.45" spans="2:14">
      <c r="B2" s="130" t="s">
        <v>44</v>
      </c>
      <c r="C2" s="146" t="str">
        <f>_xlfn.DISPIMG("ID_655F95192CFC42378CB0B6587B3198C5",1)</f>
        <v>=DISPIMG("ID_655F95192CFC42378CB0B6587B3198C5",1)</v>
      </c>
      <c r="D2" s="145">
        <v>6.34</v>
      </c>
      <c r="E2" s="145">
        <v>4.61</v>
      </c>
      <c r="F2" s="186">
        <v>4.11</v>
      </c>
      <c r="G2" s="187">
        <f>D2*F2</f>
        <v>26.0574</v>
      </c>
      <c r="H2" s="187">
        <f>E2*F2</f>
        <v>18.9471</v>
      </c>
      <c r="I2" s="192">
        <v>0.15</v>
      </c>
      <c r="J2" s="187">
        <f>3.14159*I2*I2/4</f>
        <v>0.01767144375</v>
      </c>
      <c r="K2" s="187">
        <f>G2*J2</f>
        <v>0.46047187837125</v>
      </c>
      <c r="L2" s="187">
        <f>H2*J2</f>
        <v>0.334822611875625</v>
      </c>
      <c r="N2">
        <v>46</v>
      </c>
    </row>
    <row r="3" customFormat="1" ht="40.5" spans="2:14">
      <c r="B3" t="s">
        <v>45</v>
      </c>
      <c r="F3">
        <v>5.02</v>
      </c>
      <c r="M3" s="193" t="s">
        <v>46</v>
      </c>
      <c r="N3">
        <v>292</v>
      </c>
    </row>
    <row r="4" customFormat="1" ht="179.9" spans="2:12">
      <c r="B4" s="188" t="s">
        <v>47</v>
      </c>
      <c r="C4" s="146" t="str">
        <f>_xlfn.DISPIMG("ID_E523F08B082741769FF4708A260F5DE6",1)</f>
        <v>=DISPIMG("ID_E523F08B082741769FF4708A260F5DE6",1)</v>
      </c>
      <c r="D4" s="145">
        <v>0.4</v>
      </c>
      <c r="E4" s="145">
        <v>0.3</v>
      </c>
      <c r="F4" s="186">
        <v>1.47</v>
      </c>
      <c r="G4" s="187">
        <f>D4*F4</f>
        <v>0.588</v>
      </c>
      <c r="H4" s="187">
        <f>E4*F4</f>
        <v>0.441</v>
      </c>
      <c r="I4" s="192">
        <v>0.35</v>
      </c>
      <c r="J4" s="187">
        <f>3.14159*I4*I4/4</f>
        <v>0.09621119375</v>
      </c>
      <c r="K4" s="187">
        <f>G4*J4</f>
        <v>0.056572181925</v>
      </c>
      <c r="L4" s="187">
        <f>H4*J4</f>
        <v>0.04242913644375</v>
      </c>
    </row>
    <row r="5" customFormat="1"/>
    <row r="6" customFormat="1"/>
    <row r="7" customFormat="1"/>
    <row r="8" customFormat="1"/>
    <row r="9" customFormat="1"/>
    <row r="10" customFormat="1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A2" sqref="A2:A25"/>
    </sheetView>
  </sheetViews>
  <sheetFormatPr defaultColWidth="9.90833333333333" defaultRowHeight="13.5" outlineLevelCol="2"/>
  <cols>
    <col min="1" max="1" width="9.55833333333333" customWidth="1"/>
    <col min="2" max="2" width="25.2666666666667" customWidth="1"/>
    <col min="3" max="3" width="153.558333333333" customWidth="1"/>
  </cols>
  <sheetData>
    <row r="1" spans="1:3">
      <c r="A1" t="s">
        <v>48</v>
      </c>
      <c r="B1" t="s">
        <v>49</v>
      </c>
      <c r="C1" t="s">
        <v>50</v>
      </c>
    </row>
    <row r="2" s="181" customFormat="1" spans="1:3">
      <c r="A2" s="181" t="s">
        <v>18</v>
      </c>
      <c r="B2" s="181">
        <v>54.44</v>
      </c>
      <c r="C2" s="181" t="s">
        <v>51</v>
      </c>
    </row>
    <row r="3" s="181" customFormat="1" spans="1:3">
      <c r="A3" s="181" t="s">
        <v>20</v>
      </c>
      <c r="B3" s="181">
        <v>63.72</v>
      </c>
      <c r="C3" s="181" t="s">
        <v>52</v>
      </c>
    </row>
    <row r="4" s="181" customFormat="1" spans="1:3">
      <c r="A4" s="181" t="s">
        <v>22</v>
      </c>
      <c r="B4" s="181">
        <v>50.8</v>
      </c>
      <c r="C4" s="181" t="s">
        <v>52</v>
      </c>
    </row>
    <row r="5" s="181" customFormat="1" spans="1:3">
      <c r="A5" s="181" t="s">
        <v>24</v>
      </c>
      <c r="B5" s="181">
        <v>5424.78</v>
      </c>
      <c r="C5" s="181" t="s">
        <v>53</v>
      </c>
    </row>
    <row r="6" s="181" customFormat="1" spans="1:3">
      <c r="A6" s="181" t="s">
        <v>25</v>
      </c>
      <c r="B6" s="181">
        <v>87725</v>
      </c>
      <c r="C6" s="181" t="s">
        <v>54</v>
      </c>
    </row>
    <row r="7" s="181" customFormat="1" spans="1:3">
      <c r="A7" s="181" t="s">
        <v>55</v>
      </c>
      <c r="B7" s="181">
        <v>86.77</v>
      </c>
      <c r="C7" s="181" t="s">
        <v>56</v>
      </c>
    </row>
    <row r="8" s="181" customFormat="1" spans="1:3">
      <c r="A8" s="181" t="s">
        <v>26</v>
      </c>
      <c r="B8" s="181">
        <v>38606</v>
      </c>
      <c r="C8" s="181" t="s">
        <v>57</v>
      </c>
    </row>
    <row r="9" s="181" customFormat="1" spans="1:3">
      <c r="A9" s="181" t="s">
        <v>28</v>
      </c>
      <c r="B9" s="181">
        <v>44.267</v>
      </c>
      <c r="C9" s="181" t="s">
        <v>58</v>
      </c>
    </row>
    <row r="10" s="181" customFormat="1" spans="1:3">
      <c r="A10" s="181" t="s">
        <v>37</v>
      </c>
      <c r="B10" s="181">
        <v>185.861</v>
      </c>
      <c r="C10" s="181" t="s">
        <v>59</v>
      </c>
    </row>
    <row r="11" s="181" customFormat="1" spans="1:3">
      <c r="A11" s="181" t="s">
        <v>38</v>
      </c>
      <c r="B11" s="181">
        <v>53.54</v>
      </c>
      <c r="C11" s="181" t="s">
        <v>51</v>
      </c>
    </row>
    <row r="12" s="181" customFormat="1" spans="1:3">
      <c r="A12" s="181" t="s">
        <v>39</v>
      </c>
      <c r="B12" s="181">
        <v>56.27</v>
      </c>
      <c r="C12" s="181" t="s">
        <v>52</v>
      </c>
    </row>
    <row r="13" s="181" customFormat="1" spans="1:3">
      <c r="A13" s="181" t="s">
        <v>40</v>
      </c>
      <c r="B13" s="181">
        <v>132.149</v>
      </c>
      <c r="C13" s="181" t="s">
        <v>56</v>
      </c>
    </row>
    <row r="14" s="181" customFormat="1" spans="1:3">
      <c r="A14" s="181" t="s">
        <v>60</v>
      </c>
      <c r="B14" s="181">
        <v>128.14</v>
      </c>
      <c r="C14" s="181" t="s">
        <v>56</v>
      </c>
    </row>
    <row r="15" s="181" customFormat="1" spans="1:3">
      <c r="A15" s="181" t="s">
        <v>61</v>
      </c>
      <c r="B15" s="181">
        <v>63.6</v>
      </c>
      <c r="C15" s="181" t="s">
        <v>56</v>
      </c>
    </row>
    <row r="16" s="181" customFormat="1" spans="1:3">
      <c r="A16" s="181" t="s">
        <v>62</v>
      </c>
      <c r="B16" s="181">
        <v>103.22</v>
      </c>
      <c r="C16" s="181" t="s">
        <v>56</v>
      </c>
    </row>
    <row r="17" s="181" customFormat="1" spans="1:3">
      <c r="A17" s="181" t="s">
        <v>41</v>
      </c>
      <c r="B17" s="181">
        <v>22.1</v>
      </c>
      <c r="C17" s="181" t="s">
        <v>63</v>
      </c>
    </row>
    <row r="18" s="181" customFormat="1" spans="1:3">
      <c r="A18" s="181" t="s">
        <v>42</v>
      </c>
      <c r="B18" s="181">
        <v>51.56</v>
      </c>
      <c r="C18" s="181" t="s">
        <v>51</v>
      </c>
    </row>
    <row r="19" s="181" customFormat="1" spans="1:3">
      <c r="A19" s="181" t="s">
        <v>43</v>
      </c>
      <c r="B19" s="181">
        <v>89.6</v>
      </c>
      <c r="C19" s="181" t="s">
        <v>64</v>
      </c>
    </row>
    <row r="20" s="181" customFormat="1" spans="1:3">
      <c r="A20" s="181" t="s">
        <v>44</v>
      </c>
      <c r="B20" s="181">
        <v>0.04</v>
      </c>
      <c r="C20" s="181" t="s">
        <v>65</v>
      </c>
    </row>
    <row r="21" s="181" customFormat="1" spans="1:3">
      <c r="A21" s="181" t="s">
        <v>66</v>
      </c>
      <c r="B21" s="181">
        <v>0.02</v>
      </c>
      <c r="C21" s="181" t="s">
        <v>65</v>
      </c>
    </row>
    <row r="22" s="181" customFormat="1" spans="1:3">
      <c r="A22" s="181" t="s">
        <v>67</v>
      </c>
      <c r="B22" s="181">
        <v>0.18</v>
      </c>
      <c r="C22" s="181" t="s">
        <v>68</v>
      </c>
    </row>
    <row r="23" spans="1:3">
      <c r="A23" t="s">
        <v>47</v>
      </c>
      <c r="B23" t="s">
        <v>69</v>
      </c>
      <c r="C23" t="s">
        <v>70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workbookViewId="0">
      <pane xSplit="3" topLeftCell="I1" activePane="topRight" state="frozen"/>
      <selection/>
      <selection pane="topRight" activeCell="V2" sqref="V2"/>
    </sheetView>
  </sheetViews>
  <sheetFormatPr defaultColWidth="9.90833333333333" defaultRowHeight="13.5"/>
  <cols>
    <col min="1" max="2" width="8.73333333333333" style="20"/>
    <col min="3" max="3" width="11.6416666666667" style="7" customWidth="1"/>
    <col min="4" max="5" width="8.73333333333333" style="20" customWidth="1"/>
    <col min="6" max="6" width="47.0916666666667" style="20" hidden="1" customWidth="1"/>
    <col min="7" max="7" width="8.73333333333333" style="20" customWidth="1"/>
    <col min="8" max="8" width="16.0916666666667" style="21" customWidth="1"/>
    <col min="9" max="9" width="16.0916666666667" style="20" customWidth="1"/>
    <col min="10" max="11" width="16" style="20" customWidth="1"/>
    <col min="12" max="12" width="63" style="20" hidden="1" customWidth="1"/>
    <col min="13" max="13" width="9.55833333333333" style="20" customWidth="1"/>
    <col min="14" max="14" width="8.73333333333333" style="20" customWidth="1"/>
    <col min="15" max="16" width="8.73333333333333" style="21" customWidth="1"/>
    <col min="17" max="21" width="8.73333333333333" style="20" customWidth="1"/>
    <col min="22" max="22" width="8.73333333333333" style="32" customWidth="1"/>
    <col min="23" max="25" width="8.73333333333333" style="20" customWidth="1"/>
    <col min="26" max="26" width="8.73333333333333" style="33" customWidth="1"/>
    <col min="27" max="16383" width="8.73333333333333" style="20" customWidth="1"/>
    <col min="16384" max="16384" width="8.73333333333333" style="20"/>
  </cols>
  <sheetData>
    <row r="1" s="2" customFormat="1" ht="33.75" spans="1:28">
      <c r="A1" s="2" t="s">
        <v>71</v>
      </c>
      <c r="B1" s="2" t="s">
        <v>72</v>
      </c>
      <c r="C1" s="3" t="s">
        <v>48</v>
      </c>
      <c r="D1" s="2" t="s">
        <v>73</v>
      </c>
      <c r="E1" s="2" t="s">
        <v>74</v>
      </c>
      <c r="F1" s="2" t="s">
        <v>75</v>
      </c>
      <c r="G1" s="2" t="s">
        <v>76</v>
      </c>
      <c r="H1" s="15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15" t="s">
        <v>84</v>
      </c>
      <c r="P1" s="15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8" t="s">
        <v>91</v>
      </c>
      <c r="W1" s="2" t="s">
        <v>92</v>
      </c>
      <c r="X1" s="2" t="s">
        <v>93</v>
      </c>
      <c r="Y1" s="2" t="s">
        <v>94</v>
      </c>
      <c r="Z1" s="29" t="s">
        <v>95</v>
      </c>
      <c r="AA1" s="2" t="s">
        <v>96</v>
      </c>
      <c r="AB1" s="2" t="s">
        <v>97</v>
      </c>
    </row>
    <row r="2" s="4" customFormat="1" ht="40.5" spans="1:28">
      <c r="A2" s="4" t="s">
        <v>17</v>
      </c>
      <c r="C2" s="5" t="s">
        <v>18</v>
      </c>
      <c r="D2" s="4">
        <v>15</v>
      </c>
      <c r="E2" s="4">
        <v>1.46</v>
      </c>
      <c r="F2" s="4" t="s">
        <v>98</v>
      </c>
      <c r="G2" s="4">
        <v>3.5</v>
      </c>
      <c r="H2" s="17">
        <f>3.1415926*G2*G2/4</f>
        <v>9.6211273375</v>
      </c>
      <c r="I2" s="4">
        <v>3.67</v>
      </c>
      <c r="J2" s="4">
        <v>3.27</v>
      </c>
      <c r="K2" s="22">
        <v>54.44</v>
      </c>
      <c r="L2" s="4" t="s">
        <v>99</v>
      </c>
      <c r="M2" s="23">
        <f>I2*E2</f>
        <v>5.3582</v>
      </c>
      <c r="N2" s="17">
        <f>J2*E2</f>
        <v>4.7742</v>
      </c>
      <c r="O2" s="17">
        <f>M2*H2</f>
        <v>51.5519244997925</v>
      </c>
      <c r="P2" s="17">
        <f>N2*H2</f>
        <v>45.9331861346925</v>
      </c>
      <c r="Q2" s="4">
        <f>O2*D2</f>
        <v>773.278867496888</v>
      </c>
      <c r="R2" s="4">
        <f>P2*D2</f>
        <v>688.997792020387</v>
      </c>
      <c r="S2" s="4">
        <f>18*K2</f>
        <v>979.92</v>
      </c>
      <c r="T2" s="4">
        <f>S2*4.18*天气!D9</f>
        <v>2369294.10639821</v>
      </c>
      <c r="U2" s="4">
        <f>T2/12/1256/1000</f>
        <v>0.157198388163363</v>
      </c>
      <c r="V2" s="30">
        <f>天气!B7-U2</f>
        <v>32.4188016118366</v>
      </c>
      <c r="W2" s="4">
        <f>S2/1000</f>
        <v>0.97992</v>
      </c>
      <c r="X2" s="4">
        <f>W2*(天气!B7+273.15)/217</f>
        <v>1.38058535447005</v>
      </c>
      <c r="Y2" s="4">
        <f>X2/34.643</f>
        <v>0.0398517840392012</v>
      </c>
      <c r="Z2" s="31">
        <f>天气!C7+Y2</f>
        <v>0.727851784039201</v>
      </c>
      <c r="AA2" s="4">
        <f>Y2*H2*D2</f>
        <v>5.75128633301557</v>
      </c>
      <c r="AB2" s="4">
        <f>(0.8288*V2+0.0613*V2+0.007377*238.02+13.8297*Z2-8.7284)*1.36-0.0551</f>
        <v>43.3961121144949</v>
      </c>
    </row>
    <row r="3" s="4" customFormat="1" ht="54" spans="3:28">
      <c r="C3" s="5" t="s">
        <v>20</v>
      </c>
      <c r="D3" s="4">
        <v>20</v>
      </c>
      <c r="E3" s="4">
        <v>4.56</v>
      </c>
      <c r="F3" s="4" t="s">
        <v>100</v>
      </c>
      <c r="G3" s="4">
        <v>2.8</v>
      </c>
      <c r="H3" s="17">
        <f t="shared" ref="H3:H24" si="0">3.1415926*G3*G3/4</f>
        <v>6.157521496</v>
      </c>
      <c r="I3" s="4">
        <v>22.39</v>
      </c>
      <c r="J3" s="4">
        <v>16.28</v>
      </c>
      <c r="K3" s="4">
        <v>63.72</v>
      </c>
      <c r="L3" s="4" t="s">
        <v>101</v>
      </c>
      <c r="M3" s="23">
        <f t="shared" ref="M3:M24" si="1">I3*E3</f>
        <v>102.0984</v>
      </c>
      <c r="N3" s="17">
        <f t="shared" ref="N3:N24" si="2">J3*E3</f>
        <v>74.2368</v>
      </c>
      <c r="O3" s="17">
        <f t="shared" ref="O3:O24" si="3">M3*H3</f>
        <v>628.673092707206</v>
      </c>
      <c r="P3" s="17">
        <f t="shared" ref="P3:P24" si="4">N3*H3</f>
        <v>457.114691794253</v>
      </c>
      <c r="Q3" s="4">
        <f t="shared" ref="Q3:Q24" si="5">O3*D3</f>
        <v>12573.4618541441</v>
      </c>
      <c r="R3" s="4">
        <f t="shared" ref="R3:R24" si="6">P3*D3</f>
        <v>9142.29383588505</v>
      </c>
      <c r="S3" s="4">
        <f t="shared" ref="S3:S24" si="7">18*K3</f>
        <v>1146.96</v>
      </c>
      <c r="T3" s="4">
        <f>S3*4.18*天气!D9</f>
        <v>2773170.8387159</v>
      </c>
      <c r="U3" s="4">
        <f t="shared" ref="U3:U24" si="8">T3/12/1256/1000</f>
        <v>0.183994880488051</v>
      </c>
      <c r="V3" s="30">
        <f>天气!B7-U3</f>
        <v>32.3920051195119</v>
      </c>
      <c r="W3" s="4">
        <f t="shared" ref="W3:W24" si="9">S3/1000</f>
        <v>1.14696</v>
      </c>
      <c r="X3" s="4">
        <f>W3*(天气!B7+273.15)/217</f>
        <v>1.61592393069124</v>
      </c>
      <c r="Y3" s="4">
        <f t="shared" ref="Y3:Y24" si="10">X3/34.643</f>
        <v>0.0466450345146565</v>
      </c>
      <c r="Z3" s="31">
        <f>天气!C7+Y3</f>
        <v>0.734645034514657</v>
      </c>
      <c r="AA3" s="4">
        <f>Y3*H3*D3</f>
        <v>5.74435605411318</v>
      </c>
      <c r="AB3" s="4">
        <f t="shared" ref="AB3:AB24" si="11">(0.8288*V3+0.0613*V3+0.007377*238.02+13.8297*Z3-8.7284)*1.36-0.0551</f>
        <v>43.4914441137587</v>
      </c>
    </row>
    <row r="4" s="6" customFormat="1" ht="54" spans="1:28">
      <c r="A4" s="6" t="s">
        <v>102</v>
      </c>
      <c r="C4" s="7" t="s">
        <v>44</v>
      </c>
      <c r="D4" s="6">
        <v>800</v>
      </c>
      <c r="E4" s="6">
        <v>4.11</v>
      </c>
      <c r="F4" s="6" t="s">
        <v>103</v>
      </c>
      <c r="G4" s="6">
        <v>0.15</v>
      </c>
      <c r="H4" s="18">
        <f t="shared" si="0"/>
        <v>0.017671458375</v>
      </c>
      <c r="I4" s="6">
        <v>6.34</v>
      </c>
      <c r="J4" s="6">
        <v>4.61</v>
      </c>
      <c r="K4" s="24">
        <v>0.04</v>
      </c>
      <c r="L4" s="6" t="s">
        <v>104</v>
      </c>
      <c r="M4" s="25">
        <f t="shared" si="1"/>
        <v>26.0574</v>
      </c>
      <c r="N4" s="18">
        <f t="shared" si="2"/>
        <v>18.9471</v>
      </c>
      <c r="O4" s="18">
        <f t="shared" si="3"/>
        <v>0.460472259460725</v>
      </c>
      <c r="P4" s="17">
        <f t="shared" si="4"/>
        <v>0.334822888976962</v>
      </c>
      <c r="Q4" s="4">
        <f t="shared" si="5"/>
        <v>368.37780756858</v>
      </c>
      <c r="R4" s="4">
        <f t="shared" si="6"/>
        <v>267.85831118157</v>
      </c>
      <c r="S4" s="4">
        <f t="shared" si="7"/>
        <v>0.72</v>
      </c>
      <c r="T4" s="4">
        <f>S4*4.18*天气!D9</f>
        <v>1740.847984128</v>
      </c>
      <c r="U4" s="4">
        <f t="shared" si="8"/>
        <v>0.000115502122089172</v>
      </c>
      <c r="V4" s="30">
        <f>天气!B7-U4</f>
        <v>32.5758844978779</v>
      </c>
      <c r="W4" s="4">
        <f t="shared" si="9"/>
        <v>0.00072</v>
      </c>
      <c r="X4" s="4">
        <f>W4*(天气!B7+273.15)/217</f>
        <v>0.00101439041474654</v>
      </c>
      <c r="Y4" s="4">
        <f t="shared" si="10"/>
        <v>2.92812520493763e-5</v>
      </c>
      <c r="Z4" s="31">
        <f>天气!C7+Y4</f>
        <v>0.688029281252049</v>
      </c>
      <c r="AA4" s="4">
        <f t="shared" ref="AA4:AA24" si="12">Y4*H4*D4</f>
        <v>0.00041395394140675</v>
      </c>
      <c r="AB4" s="4">
        <f t="shared" si="11"/>
        <v>42.8372693601899</v>
      </c>
    </row>
    <row r="5" s="6" customFormat="1" ht="54" spans="3:28">
      <c r="C5" s="7" t="s">
        <v>66</v>
      </c>
      <c r="D5" s="6">
        <v>1200</v>
      </c>
      <c r="E5" s="6">
        <v>5.02</v>
      </c>
      <c r="F5" s="6" t="s">
        <v>105</v>
      </c>
      <c r="G5" s="6">
        <v>0.2</v>
      </c>
      <c r="H5" s="18">
        <f t="shared" si="0"/>
        <v>0.031415926</v>
      </c>
      <c r="I5" s="6">
        <v>6.14</v>
      </c>
      <c r="J5" s="6">
        <v>4.45</v>
      </c>
      <c r="K5" s="24">
        <v>0.02</v>
      </c>
      <c r="L5" s="6" t="s">
        <v>106</v>
      </c>
      <c r="M5" s="25">
        <f t="shared" si="1"/>
        <v>30.8228</v>
      </c>
      <c r="N5" s="18">
        <f t="shared" si="2"/>
        <v>22.339</v>
      </c>
      <c r="O5" s="18">
        <f t="shared" si="3"/>
        <v>0.9683268039128</v>
      </c>
      <c r="P5" s="17">
        <f t="shared" si="4"/>
        <v>0.701800370914</v>
      </c>
      <c r="Q5" s="4">
        <f t="shared" si="5"/>
        <v>1161.99216469536</v>
      </c>
      <c r="R5" s="4">
        <f t="shared" si="6"/>
        <v>842.1604450968</v>
      </c>
      <c r="S5" s="4">
        <f t="shared" si="7"/>
        <v>0.36</v>
      </c>
      <c r="T5" s="4">
        <f>S5*4.18*天气!D9</f>
        <v>870.423992064</v>
      </c>
      <c r="U5" s="4">
        <f t="shared" si="8"/>
        <v>5.7751061044586e-5</v>
      </c>
      <c r="V5" s="30">
        <f>天气!B7-U5</f>
        <v>32.575942248939</v>
      </c>
      <c r="W5" s="4">
        <f t="shared" si="9"/>
        <v>0.00036</v>
      </c>
      <c r="X5" s="4">
        <f>W5*(天气!B6+273.15)/217</f>
        <v>0.000509391705069124</v>
      </c>
      <c r="Y5" s="4">
        <f t="shared" si="10"/>
        <v>1.47040298204291e-5</v>
      </c>
      <c r="Z5" s="31">
        <f>天气!C7+Y5</f>
        <v>0.68801470402982</v>
      </c>
      <c r="AA5" s="4">
        <f t="shared" si="12"/>
        <v>0.000554328855288472</v>
      </c>
      <c r="AB5" s="4">
        <f t="shared" si="11"/>
        <v>42.8370650958184</v>
      </c>
    </row>
    <row r="6" s="6" customFormat="1" ht="54" spans="3:28">
      <c r="C6" s="7" t="s">
        <v>67</v>
      </c>
      <c r="D6" s="6">
        <v>1600</v>
      </c>
      <c r="E6" s="6">
        <v>10.24</v>
      </c>
      <c r="F6" s="6" t="s">
        <v>21</v>
      </c>
      <c r="G6" s="6">
        <v>0.35</v>
      </c>
      <c r="H6" s="18">
        <f t="shared" si="0"/>
        <v>0.096211273375</v>
      </c>
      <c r="I6" s="6">
        <v>4.53</v>
      </c>
      <c r="J6" s="6">
        <v>3.3</v>
      </c>
      <c r="K6" s="24">
        <v>0.18</v>
      </c>
      <c r="L6" s="6" t="s">
        <v>107</v>
      </c>
      <c r="M6" s="25">
        <f t="shared" si="1"/>
        <v>46.3872</v>
      </c>
      <c r="N6" s="18">
        <f t="shared" si="2"/>
        <v>33.792</v>
      </c>
      <c r="O6" s="18">
        <f t="shared" si="3"/>
        <v>4.4629715803008</v>
      </c>
      <c r="P6" s="17">
        <f t="shared" si="4"/>
        <v>3.251171349888</v>
      </c>
      <c r="Q6" s="4">
        <f t="shared" si="5"/>
        <v>7140.75452848128</v>
      </c>
      <c r="R6" s="4">
        <f t="shared" si="6"/>
        <v>5201.8741598208</v>
      </c>
      <c r="S6" s="4">
        <f t="shared" si="7"/>
        <v>3.24</v>
      </c>
      <c r="T6" s="4">
        <f>S6*4.18*天气!D9</f>
        <v>7833.815928576</v>
      </c>
      <c r="U6" s="4">
        <f t="shared" si="8"/>
        <v>0.000519759549401274</v>
      </c>
      <c r="V6" s="30">
        <f>天气!B7-U6</f>
        <v>32.5754802404506</v>
      </c>
      <c r="W6" s="4">
        <f t="shared" si="9"/>
        <v>0.00324</v>
      </c>
      <c r="X6" s="4">
        <f>W6*(天气!B7+273.15)/217</f>
        <v>0.00456475686635945</v>
      </c>
      <c r="Y6" s="4">
        <f t="shared" si="10"/>
        <v>0.000131765634222193</v>
      </c>
      <c r="Z6" s="31">
        <f>天气!C7+Y6</f>
        <v>0.688131765634222</v>
      </c>
      <c r="AA6" s="4">
        <f t="shared" si="12"/>
        <v>0.0202837431289307</v>
      </c>
      <c r="AB6" s="4">
        <f t="shared" si="11"/>
        <v>42.8387075584547</v>
      </c>
    </row>
    <row r="7" s="4" customFormat="1" ht="40.5" spans="1:28">
      <c r="A7" s="8" t="s">
        <v>108</v>
      </c>
      <c r="B7" s="4" t="s">
        <v>17</v>
      </c>
      <c r="C7" s="5" t="s">
        <v>28</v>
      </c>
      <c r="D7" s="4">
        <v>30</v>
      </c>
      <c r="E7" s="4">
        <v>3.17</v>
      </c>
      <c r="F7" s="4" t="s">
        <v>56</v>
      </c>
      <c r="G7" s="4">
        <v>3.27</v>
      </c>
      <c r="H7" s="17">
        <f t="shared" si="0"/>
        <v>8.398183878135</v>
      </c>
      <c r="I7" s="4">
        <v>6.61</v>
      </c>
      <c r="J7" s="4">
        <v>4.41</v>
      </c>
      <c r="K7" s="22">
        <v>44.267</v>
      </c>
      <c r="L7" s="4" t="s">
        <v>109</v>
      </c>
      <c r="M7" s="23">
        <f t="shared" si="1"/>
        <v>20.9537</v>
      </c>
      <c r="N7" s="17">
        <f t="shared" si="2"/>
        <v>13.9797</v>
      </c>
      <c r="O7" s="17">
        <f t="shared" si="3"/>
        <v>175.973025527277</v>
      </c>
      <c r="P7" s="17">
        <f t="shared" si="4"/>
        <v>117.404091161164</v>
      </c>
      <c r="Q7" s="4">
        <f t="shared" si="5"/>
        <v>5279.19076581832</v>
      </c>
      <c r="R7" s="4">
        <f t="shared" si="6"/>
        <v>3522.12273483492</v>
      </c>
      <c r="S7" s="4">
        <f t="shared" si="7"/>
        <v>796.806</v>
      </c>
      <c r="T7" s="4">
        <f>S7*4.18*天气!D9</f>
        <v>1926552.94283485</v>
      </c>
      <c r="U7" s="4">
        <f t="shared" si="8"/>
        <v>0.127823310963034</v>
      </c>
      <c r="V7" s="30">
        <f>天气!B7-U7</f>
        <v>32.448176689037</v>
      </c>
      <c r="W7" s="4">
        <f t="shared" si="9"/>
        <v>0.796806</v>
      </c>
      <c r="X7" s="4">
        <f>W7*(天气!B7+273.15)/217</f>
        <v>1.12260051223963</v>
      </c>
      <c r="Y7" s="4">
        <f t="shared" si="10"/>
        <v>0.0324048296117435</v>
      </c>
      <c r="Z7" s="31">
        <f>天气!C7+Y7</f>
        <v>0.720404829611744</v>
      </c>
      <c r="AA7" s="4">
        <f t="shared" si="12"/>
        <v>8.16425152857169</v>
      </c>
      <c r="AB7" s="4">
        <f t="shared" si="11"/>
        <v>43.2916064648709</v>
      </c>
    </row>
    <row r="8" s="6" customFormat="1" ht="40.5" spans="1:28">
      <c r="A8" s="8"/>
      <c r="B8" s="4"/>
      <c r="C8" s="5" t="s">
        <v>55</v>
      </c>
      <c r="D8" s="5">
        <v>30</v>
      </c>
      <c r="E8" s="5">
        <v>2.83</v>
      </c>
      <c r="F8" s="4" t="s">
        <v>56</v>
      </c>
      <c r="G8" s="5">
        <v>3.89</v>
      </c>
      <c r="H8" s="17">
        <f t="shared" si="0"/>
        <v>11.884723345615</v>
      </c>
      <c r="I8" s="5">
        <v>6.29</v>
      </c>
      <c r="J8" s="5">
        <v>4.57</v>
      </c>
      <c r="K8" s="22">
        <v>86.77</v>
      </c>
      <c r="L8" s="4" t="s">
        <v>109</v>
      </c>
      <c r="M8" s="23">
        <f t="shared" si="1"/>
        <v>17.8007</v>
      </c>
      <c r="N8" s="17">
        <f t="shared" si="2"/>
        <v>12.9331</v>
      </c>
      <c r="O8" s="17">
        <f t="shared" si="3"/>
        <v>211.556394858289</v>
      </c>
      <c r="P8" s="17">
        <f t="shared" si="4"/>
        <v>153.706315501173</v>
      </c>
      <c r="Q8" s="4">
        <f t="shared" si="5"/>
        <v>6346.69184574867</v>
      </c>
      <c r="R8" s="4">
        <f t="shared" si="6"/>
        <v>4611.1894650352</v>
      </c>
      <c r="S8" s="4">
        <f t="shared" si="7"/>
        <v>1561.86</v>
      </c>
      <c r="T8" s="4">
        <f>S8*4.18*天气!D9</f>
        <v>3776334.48956966</v>
      </c>
      <c r="U8" s="4">
        <f t="shared" si="8"/>
        <v>0.250552978341936</v>
      </c>
      <c r="V8" s="30">
        <f>天气!B7-U8</f>
        <v>32.3254470216581</v>
      </c>
      <c r="W8" s="4">
        <f t="shared" si="9"/>
        <v>1.56186</v>
      </c>
      <c r="X8" s="4">
        <f>W8*(天气!B7+273.15)/217</f>
        <v>2.20046640718894</v>
      </c>
      <c r="Y8" s="4">
        <f t="shared" si="10"/>
        <v>0.0635183560081096</v>
      </c>
      <c r="Z8" s="31">
        <f>天气!C7+Y8</f>
        <v>0.75151835600811</v>
      </c>
      <c r="AA8" s="4">
        <f t="shared" si="12"/>
        <v>22.6469426557399</v>
      </c>
      <c r="AB8" s="4">
        <f t="shared" si="11"/>
        <v>43.7282331852059</v>
      </c>
    </row>
    <row r="9" s="6" customFormat="1" ht="54" spans="2:28">
      <c r="B9" s="6" t="s">
        <v>102</v>
      </c>
      <c r="C9" s="7" t="s">
        <v>44</v>
      </c>
      <c r="D9" s="6">
        <v>700</v>
      </c>
      <c r="E9" s="6">
        <v>4.11</v>
      </c>
      <c r="F9" s="6" t="s">
        <v>103</v>
      </c>
      <c r="G9" s="6">
        <v>0.15</v>
      </c>
      <c r="H9" s="18">
        <f t="shared" si="0"/>
        <v>0.017671458375</v>
      </c>
      <c r="I9" s="6">
        <v>6.34</v>
      </c>
      <c r="J9" s="6">
        <v>4.61</v>
      </c>
      <c r="K9" s="24">
        <v>0.04</v>
      </c>
      <c r="L9" s="6" t="s">
        <v>104</v>
      </c>
      <c r="M9" s="25">
        <f t="shared" si="1"/>
        <v>26.0574</v>
      </c>
      <c r="N9" s="18">
        <f t="shared" si="2"/>
        <v>18.9471</v>
      </c>
      <c r="O9" s="18">
        <f t="shared" si="3"/>
        <v>0.460472259460725</v>
      </c>
      <c r="P9" s="17">
        <f t="shared" si="4"/>
        <v>0.334822888976962</v>
      </c>
      <c r="Q9" s="4">
        <f t="shared" si="5"/>
        <v>322.330581622507</v>
      </c>
      <c r="R9" s="4">
        <f t="shared" si="6"/>
        <v>234.376022283874</v>
      </c>
      <c r="S9" s="4">
        <f t="shared" si="7"/>
        <v>0.72</v>
      </c>
      <c r="T9" s="4">
        <f>S9*4.18*天气!D9</f>
        <v>1740.847984128</v>
      </c>
      <c r="U9" s="4">
        <f t="shared" si="8"/>
        <v>0.000115502122089172</v>
      </c>
      <c r="V9" s="30">
        <f>天气!B7-U9</f>
        <v>32.5758844978779</v>
      </c>
      <c r="W9" s="4">
        <f t="shared" si="9"/>
        <v>0.00072</v>
      </c>
      <c r="X9" s="4">
        <f>W9*(天气!B6+273.15)/217</f>
        <v>0.00101878341013825</v>
      </c>
      <c r="Y9" s="4">
        <f t="shared" si="10"/>
        <v>2.94080596408581e-5</v>
      </c>
      <c r="Z9" s="31">
        <f>天气!C7+Y9</f>
        <v>0.688029408059641</v>
      </c>
      <c r="AA9" s="4">
        <f t="shared" si="12"/>
        <v>0.00036377831128306</v>
      </c>
      <c r="AB9" s="4">
        <f t="shared" si="11"/>
        <v>42.8372717452368</v>
      </c>
    </row>
    <row r="10" s="6" customFormat="1" ht="54" spans="3:28">
      <c r="C10" s="7" t="s">
        <v>66</v>
      </c>
      <c r="D10" s="6">
        <v>1600</v>
      </c>
      <c r="E10" s="6">
        <v>5.02</v>
      </c>
      <c r="F10" s="6" t="s">
        <v>105</v>
      </c>
      <c r="G10" s="6">
        <v>0.2</v>
      </c>
      <c r="H10" s="18">
        <f t="shared" si="0"/>
        <v>0.031415926</v>
      </c>
      <c r="I10" s="6">
        <v>6.14</v>
      </c>
      <c r="J10" s="6">
        <v>4.45</v>
      </c>
      <c r="K10" s="24">
        <v>0.02</v>
      </c>
      <c r="L10" s="6" t="s">
        <v>106</v>
      </c>
      <c r="M10" s="25">
        <f t="shared" si="1"/>
        <v>30.8228</v>
      </c>
      <c r="N10" s="18">
        <f t="shared" si="2"/>
        <v>22.339</v>
      </c>
      <c r="O10" s="18">
        <f t="shared" si="3"/>
        <v>0.9683268039128</v>
      </c>
      <c r="P10" s="17">
        <f t="shared" si="4"/>
        <v>0.701800370914</v>
      </c>
      <c r="Q10" s="4">
        <f t="shared" si="5"/>
        <v>1549.32288626048</v>
      </c>
      <c r="R10" s="4">
        <f t="shared" si="6"/>
        <v>1122.8805934624</v>
      </c>
      <c r="S10" s="4">
        <f t="shared" si="7"/>
        <v>0.36</v>
      </c>
      <c r="T10" s="4">
        <f>S10*4.18*天气!D9</f>
        <v>870.423992064</v>
      </c>
      <c r="U10" s="4">
        <f t="shared" si="8"/>
        <v>5.7751061044586e-5</v>
      </c>
      <c r="V10" s="30">
        <f>天气!B7-U10</f>
        <v>32.575942248939</v>
      </c>
      <c r="W10" s="4">
        <f t="shared" si="9"/>
        <v>0.00036</v>
      </c>
      <c r="X10" s="4">
        <f>W10*(天气!B7+273.15)/217</f>
        <v>0.000507195207373272</v>
      </c>
      <c r="Y10" s="4">
        <f t="shared" si="10"/>
        <v>1.46406260246882e-5</v>
      </c>
      <c r="Z10" s="31">
        <f>天气!C7+Y10</f>
        <v>0.688014640626025</v>
      </c>
      <c r="AA10" s="4">
        <f t="shared" si="12"/>
        <v>0.000735918118056444</v>
      </c>
      <c r="AB10" s="4">
        <f t="shared" si="11"/>
        <v>42.837063903295</v>
      </c>
    </row>
    <row r="11" s="4" customFormat="1" ht="40.5" spans="1:28">
      <c r="A11" s="8" t="s">
        <v>110</v>
      </c>
      <c r="B11" s="4" t="s">
        <v>17</v>
      </c>
      <c r="C11" s="5" t="s">
        <v>18</v>
      </c>
      <c r="D11" s="4">
        <v>20</v>
      </c>
      <c r="E11" s="4">
        <v>1.46</v>
      </c>
      <c r="F11" s="4" t="s">
        <v>98</v>
      </c>
      <c r="G11" s="4">
        <v>4</v>
      </c>
      <c r="H11" s="17">
        <f t="shared" si="0"/>
        <v>12.5663704</v>
      </c>
      <c r="I11" s="4">
        <v>3.67</v>
      </c>
      <c r="J11" s="4">
        <v>3.27</v>
      </c>
      <c r="K11" s="22">
        <v>54.44</v>
      </c>
      <c r="L11" s="132" t="s">
        <v>99</v>
      </c>
      <c r="M11" s="23">
        <f t="shared" si="1"/>
        <v>5.3582</v>
      </c>
      <c r="N11" s="17">
        <f t="shared" si="2"/>
        <v>4.7742</v>
      </c>
      <c r="O11" s="17">
        <f t="shared" si="3"/>
        <v>67.33312587728</v>
      </c>
      <c r="P11" s="17">
        <f t="shared" si="4"/>
        <v>59.99436556368</v>
      </c>
      <c r="Q11" s="4">
        <f t="shared" si="5"/>
        <v>1346.6625175456</v>
      </c>
      <c r="R11" s="4">
        <f t="shared" si="6"/>
        <v>1199.8873112736</v>
      </c>
      <c r="S11" s="4">
        <f t="shared" si="7"/>
        <v>979.92</v>
      </c>
      <c r="T11" s="4">
        <f>S11*4.18*天气!D9</f>
        <v>2369294.10639821</v>
      </c>
      <c r="U11" s="4">
        <f t="shared" si="8"/>
        <v>0.157198388163363</v>
      </c>
      <c r="V11" s="30">
        <f>天气!B7-U11</f>
        <v>32.4188016118366</v>
      </c>
      <c r="W11" s="4">
        <f t="shared" si="9"/>
        <v>0.97992</v>
      </c>
      <c r="X11" s="4">
        <f>W11*(天气!B7+273.15)/217</f>
        <v>1.38058535447005</v>
      </c>
      <c r="Y11" s="4">
        <f t="shared" si="10"/>
        <v>0.0398517840392012</v>
      </c>
      <c r="Z11" s="31">
        <f>天气!C7+Y11</f>
        <v>0.727851784039201</v>
      </c>
      <c r="AA11" s="4">
        <f t="shared" si="12"/>
        <v>10.0158455867482</v>
      </c>
      <c r="AB11" s="4">
        <f t="shared" si="11"/>
        <v>43.3961121144949</v>
      </c>
    </row>
    <row r="12" s="9" customFormat="1" ht="40.5" spans="1:28">
      <c r="A12" s="8"/>
      <c r="B12" s="4"/>
      <c r="C12" s="5" t="s">
        <v>60</v>
      </c>
      <c r="D12" s="5">
        <v>40</v>
      </c>
      <c r="E12" s="5">
        <v>2.64</v>
      </c>
      <c r="F12" s="5" t="s">
        <v>56</v>
      </c>
      <c r="G12" s="5">
        <v>3.22</v>
      </c>
      <c r="H12" s="17">
        <f t="shared" si="0"/>
        <v>8.14332217846</v>
      </c>
      <c r="I12" s="5">
        <v>10.23</v>
      </c>
      <c r="J12" s="5">
        <v>7.44</v>
      </c>
      <c r="K12" s="22">
        <v>128.14</v>
      </c>
      <c r="L12" s="132" t="s">
        <v>109</v>
      </c>
      <c r="M12" s="23">
        <f t="shared" si="1"/>
        <v>27.0072</v>
      </c>
      <c r="N12" s="17">
        <f t="shared" si="2"/>
        <v>19.6416</v>
      </c>
      <c r="O12" s="17">
        <f t="shared" si="3"/>
        <v>219.928330738105</v>
      </c>
      <c r="P12" s="17">
        <f t="shared" si="4"/>
        <v>159.94787690044</v>
      </c>
      <c r="Q12" s="4">
        <f t="shared" si="5"/>
        <v>8797.1332295242</v>
      </c>
      <c r="R12" s="4">
        <f t="shared" si="6"/>
        <v>6397.9150760176</v>
      </c>
      <c r="S12" s="4">
        <f t="shared" si="7"/>
        <v>2306.52</v>
      </c>
      <c r="T12" s="4">
        <f>S12*4.18*天气!D9</f>
        <v>5576806.51715405</v>
      </c>
      <c r="U12" s="4">
        <f t="shared" si="8"/>
        <v>0.370011048112662</v>
      </c>
      <c r="V12" s="30">
        <f>天气!B7-U12</f>
        <v>32.2059889518873</v>
      </c>
      <c r="W12" s="4">
        <f t="shared" si="9"/>
        <v>2.30652</v>
      </c>
      <c r="X12" s="4">
        <f>W12*(天气!B7+273.15)/217</f>
        <v>3.24959969364055</v>
      </c>
      <c r="Y12" s="4">
        <f t="shared" si="10"/>
        <v>0.093802490940177</v>
      </c>
      <c r="Z12" s="31">
        <f>天气!C7+Y12</f>
        <v>0.781802490940177</v>
      </c>
      <c r="AA12" s="4">
        <f t="shared" si="12"/>
        <v>30.5545561947175</v>
      </c>
      <c r="AB12" s="4">
        <f t="shared" si="11"/>
        <v>44.1532207724412</v>
      </c>
    </row>
    <row r="13" s="9" customFormat="1" ht="54" spans="2:28">
      <c r="B13" s="9" t="s">
        <v>36</v>
      </c>
      <c r="C13" s="10" t="s">
        <v>111</v>
      </c>
      <c r="D13" s="9">
        <v>40</v>
      </c>
      <c r="E13" s="9">
        <v>2.49</v>
      </c>
      <c r="F13" s="9" t="s">
        <v>112</v>
      </c>
      <c r="G13" s="9">
        <v>1</v>
      </c>
      <c r="H13" s="19">
        <f t="shared" si="0"/>
        <v>0.78539815</v>
      </c>
      <c r="I13" s="9">
        <v>3.23</v>
      </c>
      <c r="J13" s="9">
        <v>2.35</v>
      </c>
      <c r="K13" s="26">
        <v>185.861</v>
      </c>
      <c r="L13" s="137" t="s">
        <v>113</v>
      </c>
      <c r="M13" s="27">
        <f t="shared" si="1"/>
        <v>8.0427</v>
      </c>
      <c r="N13" s="19">
        <f t="shared" si="2"/>
        <v>5.8515</v>
      </c>
      <c r="O13" s="19">
        <f t="shared" si="3"/>
        <v>6.316721701005</v>
      </c>
      <c r="P13" s="17">
        <f t="shared" si="4"/>
        <v>4.595757274725</v>
      </c>
      <c r="Q13" s="4">
        <f t="shared" si="5"/>
        <v>252.6688680402</v>
      </c>
      <c r="R13" s="4">
        <f t="shared" si="6"/>
        <v>183.830290989</v>
      </c>
      <c r="S13" s="4">
        <f t="shared" si="7"/>
        <v>3345.498</v>
      </c>
      <c r="T13" s="4">
        <f>S13*4.18*天气!D9</f>
        <v>8088893.67945035</v>
      </c>
      <c r="U13" s="4">
        <f t="shared" si="8"/>
        <v>0.53668349784039</v>
      </c>
      <c r="V13" s="30">
        <f>天气!B7-U13</f>
        <v>32.0393165021596</v>
      </c>
      <c r="W13" s="4">
        <f t="shared" si="9"/>
        <v>3.345498</v>
      </c>
      <c r="X13" s="4">
        <f>W13*(天气!B7+273.15)/217</f>
        <v>4.71339042188018</v>
      </c>
      <c r="Y13" s="4">
        <f t="shared" si="10"/>
        <v>0.136056069678728</v>
      </c>
      <c r="Z13" s="31">
        <f>天气!C7+Y13</f>
        <v>0.824056069678728</v>
      </c>
      <c r="AA13" s="4">
        <f t="shared" si="12"/>
        <v>4.27432741687777</v>
      </c>
      <c r="AB13" s="4">
        <f t="shared" si="11"/>
        <v>44.7461796441551</v>
      </c>
    </row>
    <row r="14" s="9" customFormat="1" ht="40.5" spans="3:28">
      <c r="C14" s="10" t="s">
        <v>38</v>
      </c>
      <c r="D14" s="9">
        <v>120</v>
      </c>
      <c r="E14" s="9">
        <v>2.98</v>
      </c>
      <c r="F14" s="9" t="s">
        <v>112</v>
      </c>
      <c r="G14" s="9">
        <v>1.2</v>
      </c>
      <c r="H14" s="19">
        <f t="shared" si="0"/>
        <v>1.130973336</v>
      </c>
      <c r="I14" s="9">
        <v>7.3</v>
      </c>
      <c r="J14" s="9">
        <v>5.31</v>
      </c>
      <c r="K14" s="26">
        <v>51.56</v>
      </c>
      <c r="L14" s="137" t="s">
        <v>114</v>
      </c>
      <c r="M14" s="27">
        <f t="shared" si="1"/>
        <v>21.754</v>
      </c>
      <c r="N14" s="19">
        <f t="shared" si="2"/>
        <v>15.8238</v>
      </c>
      <c r="O14" s="19">
        <f t="shared" si="3"/>
        <v>24.603193951344</v>
      </c>
      <c r="P14" s="17">
        <f t="shared" si="4"/>
        <v>17.8962958741968</v>
      </c>
      <c r="Q14" s="4">
        <f t="shared" si="5"/>
        <v>2952.38327416128</v>
      </c>
      <c r="R14" s="4">
        <f t="shared" si="6"/>
        <v>2147.55550490362</v>
      </c>
      <c r="S14" s="4">
        <f t="shared" si="7"/>
        <v>928.08</v>
      </c>
      <c r="T14" s="4">
        <f>S14*4.18*天气!D9</f>
        <v>2243953.05154099</v>
      </c>
      <c r="U14" s="4">
        <f t="shared" si="8"/>
        <v>0.148882235372943</v>
      </c>
      <c r="V14" s="30">
        <f>天气!B7-U14</f>
        <v>32.4271177646271</v>
      </c>
      <c r="W14" s="4">
        <f t="shared" si="9"/>
        <v>0.92808</v>
      </c>
      <c r="X14" s="4">
        <f>W14*(天气!B7+273.15)/217</f>
        <v>1.30754924460829</v>
      </c>
      <c r="Y14" s="4">
        <f t="shared" si="10"/>
        <v>0.0377435338916461</v>
      </c>
      <c r="Z14" s="31">
        <f>天气!C7+Y14</f>
        <v>0.725743533891646</v>
      </c>
      <c r="AA14" s="4">
        <f t="shared" si="12"/>
        <v>5.12243165254368</v>
      </c>
      <c r="AB14" s="4">
        <f t="shared" si="11"/>
        <v>43.3665263216199</v>
      </c>
    </row>
    <row r="15" s="9" customFormat="1" ht="40.5" spans="3:28">
      <c r="C15" s="10" t="s">
        <v>61</v>
      </c>
      <c r="D15" s="9">
        <v>40</v>
      </c>
      <c r="E15" s="9">
        <v>2.82</v>
      </c>
      <c r="F15" s="9" t="s">
        <v>56</v>
      </c>
      <c r="G15" s="9">
        <v>1.88</v>
      </c>
      <c r="H15" s="19">
        <f t="shared" si="0"/>
        <v>2.77591122136</v>
      </c>
      <c r="I15" s="9">
        <v>4.83</v>
      </c>
      <c r="J15" s="9">
        <v>3.51</v>
      </c>
      <c r="K15" s="26">
        <v>63.6</v>
      </c>
      <c r="L15" s="137" t="s">
        <v>56</v>
      </c>
      <c r="M15" s="27">
        <f t="shared" si="1"/>
        <v>13.6206</v>
      </c>
      <c r="N15" s="19">
        <f t="shared" si="2"/>
        <v>9.8982</v>
      </c>
      <c r="O15" s="19">
        <f t="shared" si="3"/>
        <v>37.809576381656</v>
      </c>
      <c r="P15" s="17">
        <f t="shared" si="4"/>
        <v>27.4765244512655</v>
      </c>
      <c r="Q15" s="4">
        <f t="shared" si="5"/>
        <v>1512.38305526624</v>
      </c>
      <c r="R15" s="4">
        <f t="shared" si="6"/>
        <v>1099.06097805062</v>
      </c>
      <c r="S15" s="4">
        <f t="shared" si="7"/>
        <v>1144.8</v>
      </c>
      <c r="T15" s="4">
        <f>S15*4.18*天气!D9</f>
        <v>2767948.29476352</v>
      </c>
      <c r="U15" s="4">
        <f t="shared" si="8"/>
        <v>0.183648374121783</v>
      </c>
      <c r="V15" s="30">
        <f>天气!B7-U15</f>
        <v>32.3923516258782</v>
      </c>
      <c r="W15" s="4">
        <f t="shared" si="9"/>
        <v>1.1448</v>
      </c>
      <c r="X15" s="4">
        <f>W15*(天气!B7+273.15)/217</f>
        <v>1.612880759447</v>
      </c>
      <c r="Y15" s="4">
        <f t="shared" si="10"/>
        <v>0.0465571907585083</v>
      </c>
      <c r="Z15" s="31">
        <f>天气!C7+Y15</f>
        <v>0.734557190758508</v>
      </c>
      <c r="AA15" s="4">
        <f t="shared" si="12"/>
        <v>5.16954513046166</v>
      </c>
      <c r="AB15" s="4">
        <f t="shared" si="11"/>
        <v>43.4902113723889</v>
      </c>
    </row>
    <row r="16" s="9" customFormat="1" ht="54" spans="3:28">
      <c r="C16" s="10" t="s">
        <v>43</v>
      </c>
      <c r="D16" s="9">
        <v>100</v>
      </c>
      <c r="E16" s="9">
        <v>3.45</v>
      </c>
      <c r="F16" s="9" t="s">
        <v>112</v>
      </c>
      <c r="G16" s="9">
        <v>0.8</v>
      </c>
      <c r="H16" s="19">
        <f t="shared" si="0"/>
        <v>0.502654816</v>
      </c>
      <c r="I16" s="9">
        <v>1.89</v>
      </c>
      <c r="J16" s="9">
        <v>1.37</v>
      </c>
      <c r="K16" s="26">
        <v>89.6</v>
      </c>
      <c r="L16" s="137" t="s">
        <v>115</v>
      </c>
      <c r="M16" s="27">
        <f t="shared" si="1"/>
        <v>6.5205</v>
      </c>
      <c r="N16" s="19">
        <f t="shared" si="2"/>
        <v>4.7265</v>
      </c>
      <c r="O16" s="19">
        <f t="shared" si="3"/>
        <v>3.277560727728</v>
      </c>
      <c r="P16" s="17">
        <f t="shared" si="4"/>
        <v>2.375797987824</v>
      </c>
      <c r="Q16" s="4">
        <f t="shared" si="5"/>
        <v>327.7560727728</v>
      </c>
      <c r="R16" s="4">
        <f t="shared" si="6"/>
        <v>237.5797987824</v>
      </c>
      <c r="S16" s="4">
        <f t="shared" si="7"/>
        <v>1612.8</v>
      </c>
      <c r="T16" s="4">
        <f>S16*4.18*天气!D9</f>
        <v>3899499.48444672</v>
      </c>
      <c r="U16" s="4">
        <f t="shared" si="8"/>
        <v>0.258724753479745</v>
      </c>
      <c r="V16" s="30">
        <f>天气!B7-U16</f>
        <v>32.3172752465203</v>
      </c>
      <c r="W16" s="4">
        <f t="shared" si="9"/>
        <v>1.6128</v>
      </c>
      <c r="X16" s="4">
        <f>W16*(天气!B7+273.15)/217</f>
        <v>2.27223452903226</v>
      </c>
      <c r="Y16" s="4">
        <f t="shared" si="10"/>
        <v>0.0655900045906029</v>
      </c>
      <c r="Z16" s="31">
        <f>天气!C7+Y16</f>
        <v>0.753590004590603</v>
      </c>
      <c r="AA16" s="4">
        <f t="shared" si="12"/>
        <v>3.29691316889287</v>
      </c>
      <c r="AB16" s="4">
        <f t="shared" si="11"/>
        <v>43.7573053358435</v>
      </c>
    </row>
    <row r="17" s="4" customFormat="1" ht="54" spans="1:28">
      <c r="A17" s="8" t="s">
        <v>116</v>
      </c>
      <c r="B17" s="4" t="s">
        <v>17</v>
      </c>
      <c r="C17" s="5" t="s">
        <v>22</v>
      </c>
      <c r="D17" s="4">
        <v>10</v>
      </c>
      <c r="E17" s="4">
        <v>9.26</v>
      </c>
      <c r="F17" s="4" t="s">
        <v>117</v>
      </c>
      <c r="G17" s="4">
        <v>3</v>
      </c>
      <c r="H17" s="17">
        <f t="shared" si="0"/>
        <v>7.06858335</v>
      </c>
      <c r="I17" s="4">
        <v>6.86</v>
      </c>
      <c r="J17" s="4">
        <v>4.99</v>
      </c>
      <c r="K17" s="4">
        <v>50.8</v>
      </c>
      <c r="L17" s="132" t="s">
        <v>118</v>
      </c>
      <c r="M17" s="23">
        <f t="shared" si="1"/>
        <v>63.5236</v>
      </c>
      <c r="N17" s="17">
        <f t="shared" si="2"/>
        <v>46.2074</v>
      </c>
      <c r="O17" s="17">
        <f t="shared" si="3"/>
        <v>449.02186129206</v>
      </c>
      <c r="P17" s="17">
        <f t="shared" si="4"/>
        <v>326.62085828679</v>
      </c>
      <c r="Q17" s="4">
        <f t="shared" si="5"/>
        <v>4490.2186129206</v>
      </c>
      <c r="R17" s="4">
        <f t="shared" si="6"/>
        <v>3266.2085828679</v>
      </c>
      <c r="S17" s="4">
        <f t="shared" si="7"/>
        <v>914.4</v>
      </c>
      <c r="T17" s="4">
        <f>S17*4.18*天气!D9</f>
        <v>2210876.93984256</v>
      </c>
      <c r="U17" s="4">
        <f t="shared" si="8"/>
        <v>0.146687695053248</v>
      </c>
      <c r="V17" s="30">
        <f>天气!B7-U17</f>
        <v>32.4293123049468</v>
      </c>
      <c r="W17" s="4">
        <f t="shared" si="9"/>
        <v>0.9144</v>
      </c>
      <c r="X17" s="4">
        <f>W17*(天气!B7+273.15)/217</f>
        <v>1.28827582672811</v>
      </c>
      <c r="Y17" s="4">
        <f t="shared" si="10"/>
        <v>0.0371871901027079</v>
      </c>
      <c r="Z17" s="31">
        <f>天气!C7+Y17</f>
        <v>0.725187190102708</v>
      </c>
      <c r="AA17" s="4">
        <f t="shared" si="12"/>
        <v>2.62860752793286</v>
      </c>
      <c r="AB17" s="4">
        <f t="shared" si="11"/>
        <v>43.3587189596113</v>
      </c>
    </row>
    <row r="18" s="9" customFormat="1" ht="40.5" spans="1:28">
      <c r="A18" s="8"/>
      <c r="B18" s="4"/>
      <c r="C18" s="5" t="s">
        <v>40</v>
      </c>
      <c r="D18" s="4">
        <v>40</v>
      </c>
      <c r="E18" s="4">
        <v>3.11</v>
      </c>
      <c r="F18" s="4" t="s">
        <v>56</v>
      </c>
      <c r="G18" s="4">
        <v>0.8</v>
      </c>
      <c r="H18" s="17">
        <f t="shared" si="0"/>
        <v>0.502654816</v>
      </c>
      <c r="I18" s="4">
        <v>13.51</v>
      </c>
      <c r="J18" s="4">
        <v>9.83</v>
      </c>
      <c r="K18" s="22">
        <v>132.149</v>
      </c>
      <c r="L18" s="132" t="s">
        <v>109</v>
      </c>
      <c r="M18" s="23">
        <f t="shared" si="1"/>
        <v>42.0161</v>
      </c>
      <c r="N18" s="17">
        <f t="shared" si="2"/>
        <v>30.5713</v>
      </c>
      <c r="O18" s="17">
        <f t="shared" si="3"/>
        <v>21.1195950145376</v>
      </c>
      <c r="P18" s="17">
        <f t="shared" si="4"/>
        <v>15.3668111763808</v>
      </c>
      <c r="Q18" s="4">
        <f t="shared" si="5"/>
        <v>844.783800581504</v>
      </c>
      <c r="R18" s="4">
        <f t="shared" si="6"/>
        <v>614.672447055232</v>
      </c>
      <c r="S18" s="4">
        <f t="shared" si="7"/>
        <v>2378.682</v>
      </c>
      <c r="T18" s="4">
        <f>S18*4.18*天气!D9</f>
        <v>5751283.00636328</v>
      </c>
      <c r="U18" s="4">
        <f t="shared" si="8"/>
        <v>0.38158724829905</v>
      </c>
      <c r="V18" s="30">
        <f>天气!B7-U18</f>
        <v>32.194412751701</v>
      </c>
      <c r="W18" s="4">
        <f t="shared" si="9"/>
        <v>2.378682</v>
      </c>
      <c r="X18" s="4">
        <f>W18*(天气!B7+273.15)/217</f>
        <v>3.35126697295852</v>
      </c>
      <c r="Y18" s="4">
        <f t="shared" si="10"/>
        <v>0.0967372044268258</v>
      </c>
      <c r="Z18" s="31">
        <f>天气!C7+Y18</f>
        <v>0.784737204426826</v>
      </c>
      <c r="AA18" s="4">
        <f t="shared" si="12"/>
        <v>1.94501686766082</v>
      </c>
      <c r="AB18" s="4">
        <f t="shared" si="11"/>
        <v>44.1944046070369</v>
      </c>
    </row>
    <row r="19" s="9" customFormat="1" ht="40.5" spans="2:28">
      <c r="B19" s="9" t="s">
        <v>36</v>
      </c>
      <c r="C19" s="10" t="s">
        <v>38</v>
      </c>
      <c r="D19" s="9">
        <v>40</v>
      </c>
      <c r="E19" s="9">
        <v>2.98</v>
      </c>
      <c r="F19" s="9" t="s">
        <v>112</v>
      </c>
      <c r="G19" s="9">
        <v>1.2</v>
      </c>
      <c r="H19" s="19">
        <f t="shared" si="0"/>
        <v>1.130973336</v>
      </c>
      <c r="I19" s="9">
        <v>7.3</v>
      </c>
      <c r="J19" s="9">
        <v>5.31</v>
      </c>
      <c r="K19" s="26">
        <v>51.56</v>
      </c>
      <c r="L19" s="137" t="s">
        <v>114</v>
      </c>
      <c r="M19" s="27">
        <f t="shared" si="1"/>
        <v>21.754</v>
      </c>
      <c r="N19" s="19">
        <f t="shared" si="2"/>
        <v>15.8238</v>
      </c>
      <c r="O19" s="19">
        <f t="shared" si="3"/>
        <v>24.603193951344</v>
      </c>
      <c r="P19" s="17">
        <f t="shared" si="4"/>
        <v>17.8962958741968</v>
      </c>
      <c r="Q19" s="4">
        <f t="shared" si="5"/>
        <v>984.12775805376</v>
      </c>
      <c r="R19" s="4">
        <f t="shared" si="6"/>
        <v>715.851834967872</v>
      </c>
      <c r="S19" s="4">
        <f t="shared" si="7"/>
        <v>928.08</v>
      </c>
      <c r="T19" s="4">
        <f>S19*4.18*天气!D9</f>
        <v>2243953.05154099</v>
      </c>
      <c r="U19" s="4">
        <f t="shared" si="8"/>
        <v>0.148882235372943</v>
      </c>
      <c r="V19" s="30">
        <f>天气!B7-U19</f>
        <v>32.4271177646271</v>
      </c>
      <c r="W19" s="4">
        <f t="shared" si="9"/>
        <v>0.92808</v>
      </c>
      <c r="X19" s="4">
        <f>W19*(天气!B7+273.15)/217</f>
        <v>1.30754924460829</v>
      </c>
      <c r="Y19" s="4">
        <f t="shared" si="10"/>
        <v>0.0377435338916461</v>
      </c>
      <c r="Z19" s="31">
        <f>天气!C7+Y19</f>
        <v>0.725743533891646</v>
      </c>
      <c r="AA19" s="4">
        <f t="shared" si="12"/>
        <v>1.70747721751456</v>
      </c>
      <c r="AB19" s="4">
        <f t="shared" si="11"/>
        <v>43.3665263216199</v>
      </c>
    </row>
    <row r="20" s="9" customFormat="1" ht="54" spans="3:28">
      <c r="C20" s="10" t="s">
        <v>39</v>
      </c>
      <c r="D20" s="9">
        <v>40</v>
      </c>
      <c r="E20" s="9">
        <v>2.75</v>
      </c>
      <c r="F20" s="9" t="s">
        <v>112</v>
      </c>
      <c r="G20" s="9">
        <v>0.8</v>
      </c>
      <c r="H20" s="19">
        <f t="shared" si="0"/>
        <v>0.502654816</v>
      </c>
      <c r="I20" s="9">
        <v>3.64</v>
      </c>
      <c r="J20" s="9">
        <v>2.91</v>
      </c>
      <c r="K20" s="26">
        <v>56.27</v>
      </c>
      <c r="L20" s="137" t="s">
        <v>119</v>
      </c>
      <c r="M20" s="27">
        <f t="shared" si="1"/>
        <v>10.01</v>
      </c>
      <c r="N20" s="19">
        <f t="shared" si="2"/>
        <v>8.0025</v>
      </c>
      <c r="O20" s="19">
        <f t="shared" si="3"/>
        <v>5.03157470816</v>
      </c>
      <c r="P20" s="17">
        <f t="shared" si="4"/>
        <v>4.02249516504</v>
      </c>
      <c r="Q20" s="4">
        <f t="shared" si="5"/>
        <v>201.2629883264</v>
      </c>
      <c r="R20" s="4">
        <f t="shared" si="6"/>
        <v>160.8998066016</v>
      </c>
      <c r="S20" s="4">
        <f t="shared" si="7"/>
        <v>1012.86</v>
      </c>
      <c r="T20" s="4">
        <f>S20*4.18*天气!D9</f>
        <v>2448937.90167206</v>
      </c>
      <c r="U20" s="4">
        <f t="shared" si="8"/>
        <v>0.162482610248943</v>
      </c>
      <c r="V20" s="30">
        <f>天气!B7-U20</f>
        <v>32.4135173897511</v>
      </c>
      <c r="W20" s="4">
        <f t="shared" si="9"/>
        <v>1.01286</v>
      </c>
      <c r="X20" s="4">
        <f>W20*(天气!B7+273.15)/217</f>
        <v>1.4269937159447</v>
      </c>
      <c r="Y20" s="4">
        <f t="shared" si="10"/>
        <v>0.0411914013204601</v>
      </c>
      <c r="Z20" s="31">
        <f>天气!C7+Y20</f>
        <v>0.72919140132046</v>
      </c>
      <c r="AA20" s="4">
        <f t="shared" si="12"/>
        <v>0.828202250060722</v>
      </c>
      <c r="AB20" s="4">
        <f t="shared" si="11"/>
        <v>43.4149114203842</v>
      </c>
    </row>
    <row r="21" s="9" customFormat="1" ht="40.5" spans="3:28">
      <c r="C21" s="10" t="s">
        <v>62</v>
      </c>
      <c r="D21" s="9">
        <v>40</v>
      </c>
      <c r="E21" s="9">
        <v>3.18</v>
      </c>
      <c r="F21" s="9" t="s">
        <v>56</v>
      </c>
      <c r="G21" s="9">
        <v>2.55</v>
      </c>
      <c r="H21" s="19">
        <f t="shared" si="0"/>
        <v>5.107051470375</v>
      </c>
      <c r="I21" s="9">
        <v>8.48</v>
      </c>
      <c r="J21" s="9">
        <v>6.17</v>
      </c>
      <c r="K21" s="26">
        <v>103.22</v>
      </c>
      <c r="L21" s="137" t="s">
        <v>109</v>
      </c>
      <c r="M21" s="27">
        <f t="shared" si="1"/>
        <v>26.9664</v>
      </c>
      <c r="N21" s="19">
        <f t="shared" si="2"/>
        <v>19.6206</v>
      </c>
      <c r="O21" s="19">
        <f t="shared" si="3"/>
        <v>137.71879277072</v>
      </c>
      <c r="P21" s="17">
        <f t="shared" si="4"/>
        <v>100.20341407964</v>
      </c>
      <c r="Q21" s="4">
        <f t="shared" si="5"/>
        <v>5508.75171082882</v>
      </c>
      <c r="R21" s="4">
        <f t="shared" si="6"/>
        <v>4008.13656318559</v>
      </c>
      <c r="S21" s="4">
        <f t="shared" si="7"/>
        <v>1857.96</v>
      </c>
      <c r="T21" s="4">
        <f>S21*4.18*天气!D9</f>
        <v>4492258.2230423</v>
      </c>
      <c r="U21" s="4">
        <f t="shared" si="8"/>
        <v>0.298053226051108</v>
      </c>
      <c r="V21" s="30">
        <f>天气!B7-U21</f>
        <v>32.2779467739489</v>
      </c>
      <c r="W21" s="4">
        <f t="shared" si="9"/>
        <v>1.85796</v>
      </c>
      <c r="X21" s="4">
        <f>W21*(天气!B7+273.15)/217</f>
        <v>2.61763446525346</v>
      </c>
      <c r="Y21" s="4">
        <f t="shared" si="10"/>
        <v>0.0755602709134156</v>
      </c>
      <c r="Z21" s="31">
        <f>天气!C7+Y21</f>
        <v>0.763560270913416</v>
      </c>
      <c r="AA21" s="4">
        <f t="shared" si="12"/>
        <v>15.4356077068117</v>
      </c>
      <c r="AB21" s="4">
        <f t="shared" si="11"/>
        <v>43.8972214813147</v>
      </c>
    </row>
    <row r="22" s="9" customFormat="1" ht="54" spans="3:28">
      <c r="C22" s="10" t="s">
        <v>41</v>
      </c>
      <c r="D22" s="9">
        <v>40</v>
      </c>
      <c r="E22" s="9">
        <v>3.14</v>
      </c>
      <c r="F22" s="9" t="s">
        <v>112</v>
      </c>
      <c r="G22" s="9">
        <v>0.6</v>
      </c>
      <c r="H22" s="19">
        <f t="shared" si="0"/>
        <v>0.282743334</v>
      </c>
      <c r="I22" s="9">
        <v>2.89</v>
      </c>
      <c r="J22" s="9">
        <v>2.1</v>
      </c>
      <c r="K22" s="26">
        <v>22.1</v>
      </c>
      <c r="L22" s="137" t="s">
        <v>119</v>
      </c>
      <c r="M22" s="27">
        <f t="shared" si="1"/>
        <v>9.0746</v>
      </c>
      <c r="N22" s="19">
        <f t="shared" si="2"/>
        <v>6.594</v>
      </c>
      <c r="O22" s="19">
        <f t="shared" si="3"/>
        <v>2.5657826587164</v>
      </c>
      <c r="P22" s="17">
        <f t="shared" si="4"/>
        <v>1.864409544396</v>
      </c>
      <c r="Q22" s="4">
        <f t="shared" si="5"/>
        <v>102.631306348656</v>
      </c>
      <c r="R22" s="4">
        <f t="shared" si="6"/>
        <v>74.57638177584</v>
      </c>
      <c r="S22" s="4">
        <f t="shared" si="7"/>
        <v>397.8</v>
      </c>
      <c r="T22" s="4">
        <f>S22*4.18*天气!D9</f>
        <v>961818.51123072</v>
      </c>
      <c r="U22" s="4">
        <f t="shared" si="8"/>
        <v>0.0638149224542675</v>
      </c>
      <c r="V22" s="30">
        <f>天气!B7-U22</f>
        <v>32.5121850775457</v>
      </c>
      <c r="W22" s="4">
        <f t="shared" si="9"/>
        <v>0.3978</v>
      </c>
      <c r="X22" s="4">
        <f>W22*(天气!B7+273.15)/217</f>
        <v>0.560450704147465</v>
      </c>
      <c r="Y22" s="4">
        <f t="shared" si="10"/>
        <v>0.0161778917572804</v>
      </c>
      <c r="Z22" s="31">
        <f>天气!C7+Y22</f>
        <v>0.704177891757281</v>
      </c>
      <c r="AA22" s="4">
        <f t="shared" si="12"/>
        <v>0.182967642101783</v>
      </c>
      <c r="AB22" s="4">
        <f t="shared" si="11"/>
        <v>43.0638883153364</v>
      </c>
    </row>
    <row r="23" s="6" customFormat="1" ht="54" spans="2:28">
      <c r="B23" s="6" t="s">
        <v>102</v>
      </c>
      <c r="C23" s="7" t="s">
        <v>44</v>
      </c>
      <c r="D23" s="6">
        <v>1200</v>
      </c>
      <c r="E23" s="6">
        <v>4.11</v>
      </c>
      <c r="F23" s="6" t="s">
        <v>103</v>
      </c>
      <c r="G23" s="6">
        <v>0.15</v>
      </c>
      <c r="H23" s="18">
        <f t="shared" si="0"/>
        <v>0.017671458375</v>
      </c>
      <c r="I23" s="6">
        <v>6.34</v>
      </c>
      <c r="J23" s="6">
        <v>4.61</v>
      </c>
      <c r="K23" s="24">
        <v>0.04</v>
      </c>
      <c r="L23" s="6" t="s">
        <v>104</v>
      </c>
      <c r="M23" s="25">
        <f t="shared" si="1"/>
        <v>26.0574</v>
      </c>
      <c r="N23" s="18">
        <f t="shared" si="2"/>
        <v>18.9471</v>
      </c>
      <c r="O23" s="18">
        <f t="shared" si="3"/>
        <v>0.460472259460725</v>
      </c>
      <c r="P23" s="17">
        <f t="shared" si="4"/>
        <v>0.334822888976962</v>
      </c>
      <c r="Q23" s="4">
        <f t="shared" si="5"/>
        <v>552.56671135287</v>
      </c>
      <c r="R23" s="4">
        <f t="shared" si="6"/>
        <v>401.787466772355</v>
      </c>
      <c r="S23" s="4">
        <f t="shared" si="7"/>
        <v>0.72</v>
      </c>
      <c r="T23" s="4">
        <f>S23*4.18*天气!D9</f>
        <v>1740.847984128</v>
      </c>
      <c r="U23" s="4">
        <f t="shared" si="8"/>
        <v>0.000115502122089172</v>
      </c>
      <c r="V23" s="30">
        <f>天气!B7-U23</f>
        <v>32.5758844978779</v>
      </c>
      <c r="W23" s="4">
        <f t="shared" si="9"/>
        <v>0.00072</v>
      </c>
      <c r="X23" s="4">
        <f>W23*(天气!B7+273.15)/217</f>
        <v>0.00101439041474654</v>
      </c>
      <c r="Y23" s="4">
        <f t="shared" si="10"/>
        <v>2.92812520493763e-5</v>
      </c>
      <c r="Z23" s="31">
        <f>天气!C7+Y23</f>
        <v>0.688029281252049</v>
      </c>
      <c r="AA23" s="4">
        <f t="shared" si="12"/>
        <v>0.000620930912110125</v>
      </c>
      <c r="AB23" s="4">
        <f t="shared" si="11"/>
        <v>42.8372693601899</v>
      </c>
    </row>
    <row r="24" s="6" customFormat="1" ht="54" spans="3:28">
      <c r="C24" s="7" t="s">
        <v>66</v>
      </c>
      <c r="D24" s="6">
        <v>1700</v>
      </c>
      <c r="E24" s="6">
        <v>5.02</v>
      </c>
      <c r="F24" s="6" t="s">
        <v>105</v>
      </c>
      <c r="G24" s="6">
        <v>0.2</v>
      </c>
      <c r="H24" s="18">
        <f t="shared" si="0"/>
        <v>0.031415926</v>
      </c>
      <c r="I24" s="6">
        <v>6.14</v>
      </c>
      <c r="J24" s="6">
        <v>4.45</v>
      </c>
      <c r="K24" s="24">
        <v>0.02</v>
      </c>
      <c r="L24" s="6" t="s">
        <v>106</v>
      </c>
      <c r="M24" s="25">
        <f t="shared" si="1"/>
        <v>30.8228</v>
      </c>
      <c r="N24" s="18">
        <f t="shared" si="2"/>
        <v>22.339</v>
      </c>
      <c r="O24" s="18">
        <f t="shared" si="3"/>
        <v>0.9683268039128</v>
      </c>
      <c r="P24" s="17">
        <f t="shared" si="4"/>
        <v>0.701800370914</v>
      </c>
      <c r="Q24" s="4">
        <f t="shared" si="5"/>
        <v>1646.15556665176</v>
      </c>
      <c r="R24" s="4">
        <f t="shared" si="6"/>
        <v>1193.0606305538</v>
      </c>
      <c r="S24" s="4">
        <f t="shared" si="7"/>
        <v>0.36</v>
      </c>
      <c r="T24" s="4">
        <f>S24*4.18*天气!D9</f>
        <v>870.423992064</v>
      </c>
      <c r="U24" s="4">
        <f t="shared" si="8"/>
        <v>5.7751061044586e-5</v>
      </c>
      <c r="V24" s="30">
        <f>天气!B7-U24</f>
        <v>32.575942248939</v>
      </c>
      <c r="W24" s="4">
        <f t="shared" si="9"/>
        <v>0.00036</v>
      </c>
      <c r="X24" s="4">
        <f>W24*(天气!B7+273.15)/217</f>
        <v>0.000507195207373272</v>
      </c>
      <c r="Y24" s="4">
        <f t="shared" si="10"/>
        <v>1.46406260246882e-5</v>
      </c>
      <c r="Z24" s="31">
        <f>天气!C7+Y24</f>
        <v>0.688014640626025</v>
      </c>
      <c r="AA24" s="4">
        <f t="shared" si="12"/>
        <v>0.000781913000434972</v>
      </c>
      <c r="AB24" s="4">
        <f t="shared" si="11"/>
        <v>42.837063903295</v>
      </c>
    </row>
    <row r="25" spans="21:27">
      <c r="U25" s="20">
        <f>AVERAGE(U2:U24)</f>
        <v>0.155533274418506</v>
      </c>
      <c r="V25" s="32">
        <f>AVERAGE(V2:V24)</f>
        <v>32.4204667255815</v>
      </c>
      <c r="Y25" s="20">
        <f>AVERAGE(Y2:Y24)</f>
        <v>0.0394296648680323</v>
      </c>
      <c r="Z25" s="33">
        <f>AVERAGE(Z2:Z24)</f>
        <v>0.727429664868033</v>
      </c>
      <c r="AA25" s="20">
        <f>AVERAGE(AA2:AA24)</f>
        <v>5.36922128261009</v>
      </c>
    </row>
  </sheetData>
  <mergeCells count="12">
    <mergeCell ref="A7:A10"/>
    <mergeCell ref="A11:A16"/>
    <mergeCell ref="A17:A24"/>
    <mergeCell ref="B7:B8"/>
    <mergeCell ref="B9:B10"/>
    <mergeCell ref="B11:B12"/>
    <mergeCell ref="B13:B16"/>
    <mergeCell ref="B17:B18"/>
    <mergeCell ref="B19:B22"/>
    <mergeCell ref="B23:B24"/>
    <mergeCell ref="A2:B3"/>
    <mergeCell ref="A4:B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0"/>
  <sheetViews>
    <sheetView workbookViewId="0">
      <selection activeCell="AB12" sqref="AB12"/>
    </sheetView>
  </sheetViews>
  <sheetFormatPr defaultColWidth="8.73333333333333" defaultRowHeight="13.5"/>
  <cols>
    <col min="1" max="2" width="8.73333333333333" style="20"/>
    <col min="3" max="3" width="11.6416666666667" style="7" customWidth="1"/>
    <col min="4" max="4" width="16.0916666666667" style="151" customWidth="1"/>
    <col min="5" max="5" width="16.0916666666667" style="169" customWidth="1"/>
    <col min="6" max="6" width="14" style="146" customWidth="1"/>
    <col min="7" max="7" width="14" style="170" customWidth="1"/>
    <col min="8" max="12" width="14" style="146" customWidth="1"/>
    <col min="13" max="13" width="15.1833333333333" style="171" customWidth="1"/>
    <col min="14" max="14" width="15.1833333333333" style="172" customWidth="1"/>
    <col min="15" max="19" width="15.1833333333333" style="171" customWidth="1"/>
    <col min="20" max="20" width="15.1833333333333" style="173" customWidth="1"/>
    <col min="21" max="21" width="15.1833333333333" style="174" customWidth="1"/>
    <col min="22" max="26" width="15.1833333333333" style="173" customWidth="1"/>
    <col min="27" max="27" width="15.1833333333333" style="175" customWidth="1"/>
    <col min="28" max="28" width="15.1833333333333" style="176" customWidth="1"/>
    <col min="29" max="31" width="15.1833333333333" style="175" customWidth="1"/>
    <col min="32" max="33" width="18.5416666666667" style="175" customWidth="1"/>
    <col min="34" max="34" width="18.5416666666667" style="146" customWidth="1"/>
    <col min="35" max="35" width="12.8166666666667" style="177"/>
    <col min="36" max="36" width="12.8166666666667" style="150"/>
    <col min="37" max="38" width="8.73333333333333" style="45"/>
    <col min="39" max="39" width="12.625" style="45" customWidth="1"/>
    <col min="40" max="40" width="12.625" style="45"/>
    <col min="41" max="41" width="13.75" style="45"/>
    <col min="42" max="42" width="10.25" style="45" customWidth="1"/>
    <col min="43" max="43" width="12.625" style="45"/>
    <col min="44" max="16384" width="8.73333333333333" style="45"/>
  </cols>
  <sheetData>
    <row r="1" spans="1:43">
      <c r="A1" s="21"/>
      <c r="B1" s="21"/>
      <c r="C1" s="107"/>
      <c r="D1" s="150"/>
      <c r="F1" s="1">
        <f>天气!E2</f>
        <v>581.7297</v>
      </c>
      <c r="H1" s="145" t="s">
        <v>120</v>
      </c>
      <c r="I1" s="145" t="s">
        <v>121</v>
      </c>
      <c r="J1" s="145" t="s">
        <v>122</v>
      </c>
      <c r="K1" s="145" t="s">
        <v>123</v>
      </c>
      <c r="L1" s="145" t="s">
        <v>124</v>
      </c>
      <c r="M1" s="178">
        <f>天气!E3</f>
        <v>576.4914</v>
      </c>
      <c r="O1" s="178" t="s">
        <v>125</v>
      </c>
      <c r="P1" s="178" t="s">
        <v>126</v>
      </c>
      <c r="Q1" s="178" t="s">
        <v>127</v>
      </c>
      <c r="R1" s="178" t="s">
        <v>128</v>
      </c>
      <c r="S1" s="178" t="s">
        <v>124</v>
      </c>
      <c r="T1" s="179">
        <f>天气!E4</f>
        <v>580.1565</v>
      </c>
      <c r="V1" s="179" t="s">
        <v>129</v>
      </c>
      <c r="W1" s="179" t="s">
        <v>130</v>
      </c>
      <c r="X1" s="179" t="s">
        <v>131</v>
      </c>
      <c r="Y1" s="179" t="s">
        <v>132</v>
      </c>
      <c r="Z1" s="179" t="s">
        <v>124</v>
      </c>
      <c r="AA1" s="180">
        <f>天气!E5</f>
        <v>576.1038</v>
      </c>
      <c r="AC1" s="180" t="s">
        <v>133</v>
      </c>
      <c r="AD1" s="180" t="s">
        <v>134</v>
      </c>
      <c r="AE1" s="180" t="s">
        <v>135</v>
      </c>
      <c r="AF1" s="180" t="s">
        <v>136</v>
      </c>
      <c r="AG1" s="180" t="s">
        <v>124</v>
      </c>
      <c r="AH1" s="145">
        <f>天气!D9</f>
        <v>578.43168</v>
      </c>
      <c r="AJ1" s="150">
        <f>天气!B7</f>
        <v>32.576</v>
      </c>
      <c r="AM1" s="151">
        <f>天气!E6</f>
        <v>577.677</v>
      </c>
      <c r="AP1" s="45" t="s">
        <v>137</v>
      </c>
      <c r="AQ1" s="45" t="s">
        <v>138</v>
      </c>
    </row>
    <row r="2" spans="1:43">
      <c r="A2" s="15" t="s">
        <v>71</v>
      </c>
      <c r="B2" s="15" t="s">
        <v>72</v>
      </c>
      <c r="C2" s="103" t="s">
        <v>48</v>
      </c>
      <c r="D2" s="150" t="s">
        <v>88</v>
      </c>
      <c r="E2" s="169" t="s">
        <v>92</v>
      </c>
      <c r="F2" s="145" t="s">
        <v>139</v>
      </c>
      <c r="G2" s="170" t="s">
        <v>140</v>
      </c>
      <c r="H2" s="145" t="s">
        <v>141</v>
      </c>
      <c r="I2" s="145" t="s">
        <v>93</v>
      </c>
      <c r="J2" s="145" t="s">
        <v>142</v>
      </c>
      <c r="K2" s="145"/>
      <c r="L2" s="145"/>
      <c r="M2" s="178" t="s">
        <v>143</v>
      </c>
      <c r="N2" s="172" t="s">
        <v>140</v>
      </c>
      <c r="O2" s="178" t="s">
        <v>141</v>
      </c>
      <c r="P2" s="178" t="s">
        <v>93</v>
      </c>
      <c r="Q2" s="178" t="s">
        <v>142</v>
      </c>
      <c r="R2" s="178"/>
      <c r="S2" s="178"/>
      <c r="T2" s="179" t="s">
        <v>144</v>
      </c>
      <c r="U2" s="174" t="s">
        <v>140</v>
      </c>
      <c r="V2" s="179" t="s">
        <v>141</v>
      </c>
      <c r="W2" s="179" t="s">
        <v>93</v>
      </c>
      <c r="X2" s="179" t="s">
        <v>142</v>
      </c>
      <c r="Y2" s="179"/>
      <c r="Z2" s="179"/>
      <c r="AA2" s="180" t="s">
        <v>145</v>
      </c>
      <c r="AB2" s="176" t="s">
        <v>140</v>
      </c>
      <c r="AC2" s="180" t="s">
        <v>141</v>
      </c>
      <c r="AD2" s="180" t="s">
        <v>93</v>
      </c>
      <c r="AE2" s="180" t="s">
        <v>142</v>
      </c>
      <c r="AF2" s="180"/>
      <c r="AG2" s="180" t="s">
        <v>97</v>
      </c>
      <c r="AH2" s="145" t="s">
        <v>146</v>
      </c>
      <c r="AI2" s="169" t="s">
        <v>140</v>
      </c>
      <c r="AJ2" s="150" t="s">
        <v>141</v>
      </c>
      <c r="AM2" s="151" t="s">
        <v>147</v>
      </c>
      <c r="AN2" s="151" t="s">
        <v>140</v>
      </c>
      <c r="AO2" s="151" t="s">
        <v>141</v>
      </c>
      <c r="AP2" s="151" t="s">
        <v>93</v>
      </c>
      <c r="AQ2" s="151" t="s">
        <v>142</v>
      </c>
    </row>
    <row r="3" spans="1:43">
      <c r="A3" s="17" t="s">
        <v>17</v>
      </c>
      <c r="B3" s="17"/>
      <c r="C3" s="104" t="s">
        <v>18</v>
      </c>
      <c r="D3" s="150">
        <v>979.92</v>
      </c>
      <c r="E3" s="169">
        <v>0.97992</v>
      </c>
      <c r="F3" s="145">
        <f>D3*天气!E2*4.18</f>
        <v>2382803.01266832</v>
      </c>
      <c r="G3" s="170">
        <f>F3/12/1256/1000</f>
        <v>0.158094679715255</v>
      </c>
      <c r="H3" s="145">
        <f>天气!B2-G3</f>
        <v>26.6319053202847</v>
      </c>
      <c r="I3" s="145">
        <f>E3*(H26+273.15)/217</f>
        <v>1.35375080945659</v>
      </c>
      <c r="J3" s="145">
        <f t="shared" ref="J3:J18" si="0">I3/43.53</f>
        <v>0.0310992604975094</v>
      </c>
      <c r="K3" s="145"/>
      <c r="L3" s="145"/>
      <c r="M3" s="178">
        <f>D3*4.18*天气!E3</f>
        <v>2361346.59223584</v>
      </c>
      <c r="N3" s="172">
        <f>M3/12/1256/1000</f>
        <v>0.156671084941338</v>
      </c>
      <c r="O3" s="178">
        <f>天气!B3-N3</f>
        <v>35.8233289150587</v>
      </c>
      <c r="P3" s="178">
        <f>E3*(O26+273.15)/217</f>
        <v>1.3952570077209</v>
      </c>
      <c r="Q3" s="178">
        <f t="shared" ref="Q3:Q25" si="1">P3/46.88</f>
        <v>0.0297623081851728</v>
      </c>
      <c r="R3" s="178"/>
      <c r="S3" s="178"/>
      <c r="T3" s="179">
        <f>D3*4.18*天气!E4</f>
        <v>2376359.0822664</v>
      </c>
      <c r="U3" s="174">
        <f>T3/12/1256/1000</f>
        <v>0.157667136562261</v>
      </c>
      <c r="V3" s="179">
        <f>天气!B4-U3</f>
        <v>29.3923328634377</v>
      </c>
      <c r="W3" s="179">
        <f>E3*(V26+273.15)/217</f>
        <v>1.36621621826399</v>
      </c>
      <c r="X3" s="179">
        <f t="shared" ref="X3:X25" si="2">W3/41.63</f>
        <v>0.0328180691391783</v>
      </c>
      <c r="Y3" s="179"/>
      <c r="Z3" s="179"/>
      <c r="AA3" s="180">
        <f>D3*4.18*天气!E5</f>
        <v>2359758.95720928</v>
      </c>
      <c r="AB3" s="176">
        <f>AA3/12/1256/1000</f>
        <v>0.156565748222484</v>
      </c>
      <c r="AC3" s="180">
        <f>天气!B5-AB3</f>
        <v>36.5034342517775</v>
      </c>
      <c r="AD3" s="180">
        <f>E3*(AC26+273.15)/217</f>
        <v>1.39832819540841</v>
      </c>
      <c r="AE3" s="180">
        <f t="shared" ref="AE3:AE25" si="3">AD3/39.49</f>
        <v>0.0354096782833226</v>
      </c>
      <c r="AF3" s="180"/>
      <c r="AG3" s="180"/>
      <c r="AH3" s="145">
        <f>D3*4.18*天气!D9</f>
        <v>2369294.10639821</v>
      </c>
      <c r="AI3" s="177">
        <f>AH3/12/1256/1000</f>
        <v>0.157198388163363</v>
      </c>
      <c r="AJ3" s="150">
        <f>天气!B7-AI3</f>
        <v>32.4188016118366</v>
      </c>
      <c r="AM3" s="45">
        <f>D3*4.18*天气!E6</f>
        <v>2366202.8876112</v>
      </c>
      <c r="AN3" s="176">
        <f>AM3/12/1256/1000</f>
        <v>0.156993291375478</v>
      </c>
      <c r="AO3" s="180">
        <f>天气!B6-AN3</f>
        <v>33.7430067086245</v>
      </c>
      <c r="AP3" s="180">
        <f>E3*(AO26+273.15)/217</f>
        <v>1.3858627865591</v>
      </c>
      <c r="AQ3" s="180">
        <f>AP3/43.21</f>
        <v>0.0320727328525596</v>
      </c>
    </row>
    <row r="4" spans="1:43">
      <c r="A4" s="17"/>
      <c r="B4" s="17"/>
      <c r="C4" s="104" t="s">
        <v>20</v>
      </c>
      <c r="D4" s="150">
        <v>1146.96</v>
      </c>
      <c r="E4" s="169">
        <v>1.14696</v>
      </c>
      <c r="F4" s="145">
        <f>D4*天气!E2*4.18</f>
        <v>2788982.51225616</v>
      </c>
      <c r="G4" s="170">
        <f t="shared" ref="G4:G25" si="4">F4/12/1256/1000</f>
        <v>0.18504395649258</v>
      </c>
      <c r="H4" s="145">
        <f>天气!B2-G4</f>
        <v>26.6049560435074</v>
      </c>
      <c r="I4" s="145">
        <f>E4*(H26+273.15)/217</f>
        <v>1.58451509145065</v>
      </c>
      <c r="J4" s="145">
        <f t="shared" si="0"/>
        <v>0.0364005304721033</v>
      </c>
      <c r="K4" s="145"/>
      <c r="L4" s="145"/>
      <c r="M4" s="178">
        <f>D4*4.18*天气!E3</f>
        <v>2763868.56828192</v>
      </c>
      <c r="N4" s="172">
        <f t="shared" ref="N4:N25" si="5">M4/12/1256/1000</f>
        <v>0.183377691632293</v>
      </c>
      <c r="O4" s="178">
        <f>天气!B3-N4</f>
        <v>35.7966223083677</v>
      </c>
      <c r="P4" s="178">
        <f>E4*(O26+273.15)/217</f>
        <v>1.63309655642865</v>
      </c>
      <c r="Q4" s="178">
        <f t="shared" si="1"/>
        <v>0.0348356773982221</v>
      </c>
      <c r="R4" s="178"/>
      <c r="S4" s="178"/>
      <c r="T4" s="179">
        <f>D4*4.18*天气!E4</f>
        <v>2781440.1308232</v>
      </c>
      <c r="U4" s="174">
        <f t="shared" ref="U4:U25" si="6">T4/12/1256/1000</f>
        <v>0.184543533096019</v>
      </c>
      <c r="V4" s="179">
        <f>天气!B4-U4</f>
        <v>29.365456466904</v>
      </c>
      <c r="W4" s="179">
        <f>E4*(V26+273.15)/217</f>
        <v>1.59910538992986</v>
      </c>
      <c r="X4" s="179">
        <f t="shared" si="2"/>
        <v>0.0384123322106621</v>
      </c>
      <c r="Y4" s="179"/>
      <c r="Z4" s="179"/>
      <c r="AA4" s="180">
        <f>D4*4.18*天气!E5</f>
        <v>2762010.30039264</v>
      </c>
      <c r="AB4" s="176">
        <f t="shared" ref="AB4:AB25" si="7">AA4/12/1256/1000</f>
        <v>0.183254398911401</v>
      </c>
      <c r="AC4" s="180">
        <f>天气!B5-AB4</f>
        <v>36.4767456010886</v>
      </c>
      <c r="AD4" s="180">
        <f>E4*(AC26+273.15)/217</f>
        <v>1.63669126766025</v>
      </c>
      <c r="AE4" s="180">
        <f t="shared" si="3"/>
        <v>0.0414457145520448</v>
      </c>
      <c r="AF4" s="180"/>
      <c r="AG4" s="180"/>
      <c r="AH4" s="145">
        <f>D4*4.18*天气!D9</f>
        <v>2773170.8387159</v>
      </c>
      <c r="AI4" s="177">
        <f t="shared" ref="AI4:AI25" si="8">AH4/12/1256/1000</f>
        <v>0.183994880488051</v>
      </c>
      <c r="AJ4" s="150">
        <f>天气!B7-AI4</f>
        <v>32.3920051195119</v>
      </c>
      <c r="AM4" s="45">
        <f>D4*4.18*天气!E6</f>
        <v>2769552.6818256</v>
      </c>
      <c r="AN4" s="176">
        <f t="shared" ref="AN4:AN25" si="9">AM4/12/1256/1000</f>
        <v>0.183754822307962</v>
      </c>
      <c r="AO4" s="180">
        <f>天气!B6-AN4</f>
        <v>33.716245177692</v>
      </c>
      <c r="AP4" s="180">
        <f>E4*(AO26+273.15)/217</f>
        <v>1.622100969132</v>
      </c>
      <c r="AQ4" s="180">
        <f t="shared" ref="AQ4:AQ25" si="10">AP4/43.21</f>
        <v>0.0375399437429298</v>
      </c>
    </row>
    <row r="5" spans="1:43">
      <c r="A5" s="18" t="s">
        <v>102</v>
      </c>
      <c r="B5" s="18"/>
      <c r="C5" s="107" t="s">
        <v>44</v>
      </c>
      <c r="D5" s="150">
        <v>0.72</v>
      </c>
      <c r="E5" s="169">
        <v>0.00072</v>
      </c>
      <c r="F5" s="145">
        <f>D5*天气!E2*4.18</f>
        <v>1750.77370512</v>
      </c>
      <c r="G5" s="170">
        <f t="shared" si="4"/>
        <v>0.000116160675764331</v>
      </c>
      <c r="H5" s="145">
        <f>天气!B2-G5</f>
        <v>26.7898838393242</v>
      </c>
      <c r="I5" s="145">
        <f>E5*(H26+273.15)/217</f>
        <v>0.00099467362928478</v>
      </c>
      <c r="J5" s="145">
        <f t="shared" si="0"/>
        <v>2.28503016146285e-5</v>
      </c>
      <c r="K5" s="145"/>
      <c r="L5" s="145"/>
      <c r="M5" s="178">
        <f>D5*4.18*天气!E3</f>
        <v>1735.00851744</v>
      </c>
      <c r="N5" s="172">
        <f t="shared" si="5"/>
        <v>0.000115114684012739</v>
      </c>
      <c r="O5" s="178">
        <f>天气!B3-N5</f>
        <v>35.979884885316</v>
      </c>
      <c r="P5" s="178">
        <f>E5*(O26+273.15)/217</f>
        <v>0.00102517046856789</v>
      </c>
      <c r="Q5" s="178">
        <f t="shared" si="1"/>
        <v>2.18679707459021e-5</v>
      </c>
      <c r="R5" s="178"/>
      <c r="S5" s="178"/>
      <c r="T5" s="179">
        <f>D5*4.18*天气!E4</f>
        <v>1746.0390024</v>
      </c>
      <c r="U5" s="174">
        <f t="shared" si="6"/>
        <v>0.000115846536783439</v>
      </c>
      <c r="V5" s="179">
        <f>天气!B4-U5</f>
        <v>29.5498841534632</v>
      </c>
      <c r="W5" s="179">
        <f>E5*(V26+273.15)/217</f>
        <v>0.00100383263649081</v>
      </c>
      <c r="X5" s="179">
        <f t="shared" si="2"/>
        <v>2.41132028943265e-5</v>
      </c>
      <c r="Y5" s="179"/>
      <c r="Z5" s="179"/>
      <c r="AA5" s="180">
        <f>D5*4.18*天气!E5</f>
        <v>1733.84199648</v>
      </c>
      <c r="AB5" s="176">
        <f t="shared" si="7"/>
        <v>0.000115037287452229</v>
      </c>
      <c r="AC5" s="180">
        <f>天气!B5-AB5</f>
        <v>36.6598849627125</v>
      </c>
      <c r="AD5" s="180">
        <f>E5*(AC26+273.15)/217</f>
        <v>0.00102742703556827</v>
      </c>
      <c r="AE5" s="180">
        <f t="shared" si="3"/>
        <v>2.60173977100093e-5</v>
      </c>
      <c r="AF5" s="180"/>
      <c r="AG5" s="180"/>
      <c r="AH5" s="145">
        <f>D5*4.18*天气!D9</f>
        <v>1740.847984128</v>
      </c>
      <c r="AI5" s="177">
        <f t="shared" si="8"/>
        <v>0.000115502122089172</v>
      </c>
      <c r="AJ5" s="150">
        <f>天气!B7-AI5</f>
        <v>32.5758844978779</v>
      </c>
      <c r="AM5" s="45">
        <f>D5*4.18*天气!E6</f>
        <v>1738.5766992</v>
      </c>
      <c r="AN5" s="176">
        <f t="shared" si="9"/>
        <v>0.000115351426433121</v>
      </c>
      <c r="AO5" s="180">
        <f>天气!B6-AN5</f>
        <v>33.8998846485736</v>
      </c>
      <c r="AP5" s="180">
        <f>E5*(AO27+273.15)/217</f>
        <v>0.000906304147465438</v>
      </c>
      <c r="AQ5" s="180">
        <f t="shared" si="10"/>
        <v>2.0974407485893e-5</v>
      </c>
    </row>
    <row r="6" spans="1:43">
      <c r="A6" s="18"/>
      <c r="B6" s="18"/>
      <c r="C6" s="107" t="s">
        <v>66</v>
      </c>
      <c r="D6" s="150">
        <v>0.36</v>
      </c>
      <c r="E6" s="169">
        <v>0.00036</v>
      </c>
      <c r="F6" s="145">
        <f>D6*天气!E2*4.18</f>
        <v>875.38685256</v>
      </c>
      <c r="G6" s="170">
        <f t="shared" si="4"/>
        <v>5.80803378821656e-5</v>
      </c>
      <c r="H6" s="145">
        <f>天气!B2-G6</f>
        <v>26.7899419196621</v>
      </c>
      <c r="I6" s="145">
        <f>E6*(H26+273.15)/217</f>
        <v>0.00049733681464239</v>
      </c>
      <c r="J6" s="145">
        <f t="shared" si="0"/>
        <v>1.14251508073143e-5</v>
      </c>
      <c r="K6" s="145"/>
      <c r="L6" s="145"/>
      <c r="M6" s="178">
        <f>D6*4.18*天气!E3</f>
        <v>867.50425872</v>
      </c>
      <c r="N6" s="172">
        <f t="shared" si="5"/>
        <v>5.75573420063694e-5</v>
      </c>
      <c r="O6" s="178">
        <f>天气!B3-N6</f>
        <v>35.979942442658</v>
      </c>
      <c r="P6" s="178">
        <f>E6*(O26+273.15)/217</f>
        <v>0.000512585234283946</v>
      </c>
      <c r="Q6" s="178">
        <f t="shared" si="1"/>
        <v>1.09339853729511e-5</v>
      </c>
      <c r="R6" s="178"/>
      <c r="S6" s="178"/>
      <c r="T6" s="179">
        <f>D6*4.18*天气!E4</f>
        <v>873.0195012</v>
      </c>
      <c r="U6" s="174">
        <f t="shared" si="6"/>
        <v>5.79232683917197e-5</v>
      </c>
      <c r="V6" s="179">
        <f>天气!B4-U6</f>
        <v>29.5499420767316</v>
      </c>
      <c r="W6" s="179">
        <f>E6*(V26+273.15)/217</f>
        <v>0.000501916318245406</v>
      </c>
      <c r="X6" s="179">
        <f t="shared" si="2"/>
        <v>1.20566014471632e-5</v>
      </c>
      <c r="Y6" s="179"/>
      <c r="Z6" s="179"/>
      <c r="AA6" s="180">
        <f>D6*4.18*天气!E5</f>
        <v>866.92099824</v>
      </c>
      <c r="AB6" s="176">
        <f t="shared" si="7"/>
        <v>5.75186437261146e-5</v>
      </c>
      <c r="AC6" s="180">
        <f>天气!B5-AB6</f>
        <v>36.6599424813563</v>
      </c>
      <c r="AD6" s="180">
        <f>E6*(AC26+273.15)/217</f>
        <v>0.000513713517784133</v>
      </c>
      <c r="AE6" s="180">
        <f t="shared" si="3"/>
        <v>1.30086988550046e-5</v>
      </c>
      <c r="AF6" s="180"/>
      <c r="AG6" s="180"/>
      <c r="AH6" s="145">
        <f>D6*4.18*天气!D9</f>
        <v>870.423992064</v>
      </c>
      <c r="AI6" s="177">
        <f t="shared" si="8"/>
        <v>5.7751061044586e-5</v>
      </c>
      <c r="AJ6" s="150">
        <f>天气!B7-AI6</f>
        <v>32.575942248939</v>
      </c>
      <c r="AM6" s="45">
        <f>D6*4.18*天气!E6</f>
        <v>869.2883496</v>
      </c>
      <c r="AN6" s="176">
        <f t="shared" si="9"/>
        <v>5.76757132165605e-5</v>
      </c>
      <c r="AO6" s="180">
        <f>天气!B6-AN6</f>
        <v>33.8999423242868</v>
      </c>
      <c r="AP6" s="180">
        <f>E6*(AO27+273.15)/217</f>
        <v>0.000453152073732719</v>
      </c>
      <c r="AQ6" s="180">
        <f t="shared" si="10"/>
        <v>1.04872037429465e-5</v>
      </c>
    </row>
    <row r="7" spans="1:43">
      <c r="A7" s="18"/>
      <c r="B7" s="18"/>
      <c r="C7" s="107" t="s">
        <v>67</v>
      </c>
      <c r="D7" s="150">
        <v>3.24</v>
      </c>
      <c r="E7" s="169">
        <v>0.00324</v>
      </c>
      <c r="F7" s="145">
        <f>D7*天气!E2*4.18</f>
        <v>7878.48167304</v>
      </c>
      <c r="G7" s="170">
        <f t="shared" si="4"/>
        <v>0.00052272304093949</v>
      </c>
      <c r="H7" s="145">
        <f>天气!B2-G7</f>
        <v>26.7894772769591</v>
      </c>
      <c r="I7" s="145">
        <f>E7*(H26+273.15)/217</f>
        <v>0.00447603133178151</v>
      </c>
      <c r="J7" s="145">
        <f t="shared" si="0"/>
        <v>0.000102826357265828</v>
      </c>
      <c r="K7" s="145"/>
      <c r="L7" s="145"/>
      <c r="M7" s="178">
        <f>D7*4.18*天气!E3</f>
        <v>7807.53832848</v>
      </c>
      <c r="N7" s="172">
        <f t="shared" si="5"/>
        <v>0.000518016078057325</v>
      </c>
      <c r="O7" s="178">
        <f>天气!B3-N7</f>
        <v>35.9794819839219</v>
      </c>
      <c r="P7" s="178">
        <f>E7*(O26+273.15)/217</f>
        <v>0.00461326710855551</v>
      </c>
      <c r="Q7" s="178">
        <f t="shared" si="1"/>
        <v>9.84058683565595e-5</v>
      </c>
      <c r="R7" s="178"/>
      <c r="S7" s="178"/>
      <c r="T7" s="179">
        <f>D7*4.18*天气!E4</f>
        <v>7857.1755108</v>
      </c>
      <c r="U7" s="174">
        <f t="shared" si="6"/>
        <v>0.000521309415525478</v>
      </c>
      <c r="V7" s="179">
        <f>天气!B4-U7</f>
        <v>29.5494786905845</v>
      </c>
      <c r="W7" s="179">
        <f>E7*(V26+273.15)/217</f>
        <v>0.00451724686420865</v>
      </c>
      <c r="X7" s="179">
        <f t="shared" si="2"/>
        <v>0.000108509413024469</v>
      </c>
      <c r="Y7" s="179"/>
      <c r="Z7" s="179"/>
      <c r="AA7" s="180">
        <f>D7*4.18*天气!E5</f>
        <v>7802.28898416</v>
      </c>
      <c r="AB7" s="176">
        <f t="shared" si="7"/>
        <v>0.000517667793535032</v>
      </c>
      <c r="AC7" s="180">
        <f>天气!B5-AB7</f>
        <v>36.6594823322065</v>
      </c>
      <c r="AD7" s="180">
        <f>E7*(AC26+273.15)/217</f>
        <v>0.0046234216600572</v>
      </c>
      <c r="AE7" s="180">
        <f t="shared" si="3"/>
        <v>0.000117078289695042</v>
      </c>
      <c r="AF7" s="180"/>
      <c r="AG7" s="180"/>
      <c r="AH7" s="145">
        <f>D7*4.18*天气!D9</f>
        <v>7833.815928576</v>
      </c>
      <c r="AI7" s="177">
        <f t="shared" si="8"/>
        <v>0.000519759549401274</v>
      </c>
      <c r="AJ7" s="150">
        <f>天气!B7-AI7</f>
        <v>32.5754802404506</v>
      </c>
      <c r="AM7" s="45">
        <f>D7*4.18*天气!E6</f>
        <v>7823.5951464</v>
      </c>
      <c r="AN7" s="176">
        <f t="shared" si="9"/>
        <v>0.000519081418949045</v>
      </c>
      <c r="AO7" s="180">
        <f>天气!B6-AN7</f>
        <v>33.899480918581</v>
      </c>
      <c r="AP7" s="180">
        <f>E7*(AO37+273.15)/217</f>
        <v>0.00407836866359447</v>
      </c>
      <c r="AQ7" s="180">
        <f t="shared" si="10"/>
        <v>9.43848336865186e-5</v>
      </c>
    </row>
    <row r="8" spans="1:43">
      <c r="A8" s="109" t="s">
        <v>108</v>
      </c>
      <c r="B8" s="17" t="s">
        <v>17</v>
      </c>
      <c r="C8" s="104" t="s">
        <v>28</v>
      </c>
      <c r="D8" s="150">
        <v>796.806</v>
      </c>
      <c r="E8" s="169">
        <v>0.796806</v>
      </c>
      <c r="F8" s="145">
        <f>D8*天气!E2*4.18</f>
        <v>1937537.49011368</v>
      </c>
      <c r="G8" s="170">
        <f t="shared" si="4"/>
        <v>0.128552115851491</v>
      </c>
      <c r="H8" s="145">
        <f>天气!B2-G8</f>
        <v>26.6614478841485</v>
      </c>
      <c r="I8" s="145">
        <f>E8*(H26+273.15)/217</f>
        <v>1.10078043868873</v>
      </c>
      <c r="J8" s="145">
        <f t="shared" si="0"/>
        <v>0.025287857539369</v>
      </c>
      <c r="K8" s="145"/>
      <c r="L8" s="145"/>
      <c r="M8" s="178">
        <f>D8*4.18*天气!E3</f>
        <v>1920090.55103791</v>
      </c>
      <c r="N8" s="172">
        <f t="shared" si="5"/>
        <v>0.127394542929798</v>
      </c>
      <c r="O8" s="178">
        <f>天气!B3-N8</f>
        <v>35.8526054570702</v>
      </c>
      <c r="P8" s="178">
        <f>E8*(O26+273.15)/217</f>
        <v>1.13453052830237</v>
      </c>
      <c r="Q8" s="178">
        <f t="shared" si="1"/>
        <v>0.0242007365252212</v>
      </c>
      <c r="R8" s="178"/>
      <c r="S8" s="178"/>
      <c r="T8" s="179">
        <f>D8*4.18*天气!E4</f>
        <v>1932297.71298102</v>
      </c>
      <c r="U8" s="174">
        <f t="shared" si="6"/>
        <v>0.128204466094813</v>
      </c>
      <c r="V8" s="179">
        <f>天气!B4-U8</f>
        <v>29.4217955339052</v>
      </c>
      <c r="W8" s="179">
        <f>E8*(V26+273.15)/217</f>
        <v>1.11091648298847</v>
      </c>
      <c r="X8" s="179">
        <f t="shared" si="2"/>
        <v>0.0266854788130788</v>
      </c>
      <c r="Y8" s="179"/>
      <c r="Z8" s="179"/>
      <c r="AA8" s="180">
        <f>D8*4.18*天气!E5</f>
        <v>1918799.5914545</v>
      </c>
      <c r="AB8" s="176">
        <f t="shared" si="7"/>
        <v>0.127308890091196</v>
      </c>
      <c r="AC8" s="180">
        <f>天气!B5-AB8</f>
        <v>36.5326911099088</v>
      </c>
      <c r="AD8" s="180">
        <f>E8*(AC26+273.15)/217</f>
        <v>1.13702781458751</v>
      </c>
      <c r="AE8" s="180">
        <f t="shared" si="3"/>
        <v>0.0287928036107245</v>
      </c>
      <c r="AF8" s="180"/>
      <c r="AG8" s="180"/>
      <c r="AH8" s="145">
        <f>D8*4.18*天气!D9</f>
        <v>1926552.94283485</v>
      </c>
      <c r="AI8" s="177">
        <f t="shared" si="8"/>
        <v>0.127823310963034</v>
      </c>
      <c r="AJ8" s="150">
        <f>天气!B7-AI8</f>
        <v>32.448176689037</v>
      </c>
      <c r="AM8" s="45">
        <f>D8*4.18*天气!E6</f>
        <v>1924039.36858716</v>
      </c>
      <c r="AN8" s="176">
        <f t="shared" si="9"/>
        <v>0.127656539847874</v>
      </c>
      <c r="AO8" s="180">
        <f>天气!B6-AN8</f>
        <v>33.7723434601521</v>
      </c>
      <c r="AP8" s="180">
        <f>E8*(AO27+273.15)/217</f>
        <v>1.00298414239631</v>
      </c>
      <c r="AQ8" s="180">
        <f t="shared" si="10"/>
        <v>0.0232118524044507</v>
      </c>
    </row>
    <row r="9" spans="1:43">
      <c r="A9" s="109"/>
      <c r="B9" s="17"/>
      <c r="C9" s="104" t="s">
        <v>55</v>
      </c>
      <c r="D9" s="150">
        <v>1561.86</v>
      </c>
      <c r="E9" s="169">
        <v>1.56186</v>
      </c>
      <c r="F9" s="145">
        <f>D9*天气!E2*4.18</f>
        <v>3797865.85983156</v>
      </c>
      <c r="G9" s="170">
        <f t="shared" si="4"/>
        <v>0.251981545901775</v>
      </c>
      <c r="H9" s="145">
        <f>天气!B2-G9</f>
        <v>26.5380184540982</v>
      </c>
      <c r="I9" s="145">
        <f>E9*(H26+273.15)/217</f>
        <v>2.15769577032601</v>
      </c>
      <c r="J9" s="145">
        <f t="shared" si="0"/>
        <v>0.049568016777533</v>
      </c>
      <c r="K9" s="145"/>
      <c r="L9" s="145"/>
      <c r="M9" s="178">
        <f>D9*4.18*天气!E3</f>
        <v>3763667.22645672</v>
      </c>
      <c r="N9" s="172">
        <f t="shared" si="5"/>
        <v>0.249712528294634</v>
      </c>
      <c r="O9" s="178">
        <f>天气!B3-N9</f>
        <v>35.7302874717054</v>
      </c>
      <c r="P9" s="178">
        <f>E9*(O26+273.15)/217</f>
        <v>2.2238510389409</v>
      </c>
      <c r="Q9" s="178">
        <f t="shared" si="1"/>
        <v>0.0474370955405482</v>
      </c>
      <c r="R9" s="178"/>
      <c r="S9" s="178"/>
      <c r="T9" s="179">
        <f>D9*4.18*天气!E4</f>
        <v>3787595.1059562</v>
      </c>
      <c r="U9" s="174">
        <f t="shared" si="6"/>
        <v>0.251300099917476</v>
      </c>
      <c r="V9" s="179">
        <f>天气!B4-U9</f>
        <v>29.2986999000825</v>
      </c>
      <c r="W9" s="179">
        <f>E9*(V26+273.15)/217</f>
        <v>2.17756394670769</v>
      </c>
      <c r="X9" s="179">
        <f t="shared" si="2"/>
        <v>0.0523075653785177</v>
      </c>
      <c r="Y9" s="179"/>
      <c r="Z9" s="179"/>
      <c r="AA9" s="180">
        <f>D9*4.18*天气!E5</f>
        <v>3761136.75086424</v>
      </c>
      <c r="AB9" s="176">
        <f t="shared" si="7"/>
        <v>0.249544635805748</v>
      </c>
      <c r="AC9" s="180">
        <f>天气!B5-AB9</f>
        <v>36.4104553641942</v>
      </c>
      <c r="AD9" s="180">
        <f>E9*(AC26+273.15)/217</f>
        <v>2.22874609690646</v>
      </c>
      <c r="AE9" s="180">
        <f t="shared" si="3"/>
        <v>0.0564382399824376</v>
      </c>
      <c r="AF9" s="180"/>
      <c r="AG9" s="180"/>
      <c r="AH9" s="145">
        <f>D9*4.18*天气!D9</f>
        <v>3776334.48956966</v>
      </c>
      <c r="AI9" s="177">
        <f t="shared" si="8"/>
        <v>0.250552978341936</v>
      </c>
      <c r="AJ9" s="150">
        <f>天气!B7-AI9</f>
        <v>32.3254470216581</v>
      </c>
      <c r="AM9" s="45">
        <f>D9*4.18*天气!E6</f>
        <v>3771407.5047396</v>
      </c>
      <c r="AN9" s="176">
        <f t="shared" si="9"/>
        <v>0.250226081790048</v>
      </c>
      <c r="AO9" s="180">
        <f>天气!B6-AN9</f>
        <v>33.64977391821</v>
      </c>
      <c r="AP9" s="180">
        <f>E9*(AO27+273.15)/217</f>
        <v>1.9660002718894</v>
      </c>
      <c r="AQ9" s="180">
        <f t="shared" si="10"/>
        <v>0.0454987334387734</v>
      </c>
    </row>
    <row r="10" spans="1:43">
      <c r="A10" s="18"/>
      <c r="B10" s="18" t="s">
        <v>102</v>
      </c>
      <c r="C10" s="107" t="s">
        <v>44</v>
      </c>
      <c r="D10" s="150">
        <v>0.72</v>
      </c>
      <c r="E10" s="169">
        <v>0.00072</v>
      </c>
      <c r="F10" s="145">
        <f>D10*天气!E2*4.18</f>
        <v>1750.77370512</v>
      </c>
      <c r="G10" s="170">
        <f t="shared" si="4"/>
        <v>0.000116160675764331</v>
      </c>
      <c r="H10" s="145">
        <f>天气!B2-G10</f>
        <v>26.7898838393242</v>
      </c>
      <c r="I10" s="145">
        <f>E10*(H26+273.15)/217</f>
        <v>0.00099467362928478</v>
      </c>
      <c r="J10" s="145">
        <f t="shared" si="0"/>
        <v>2.28503016146285e-5</v>
      </c>
      <c r="K10" s="145"/>
      <c r="L10" s="145"/>
      <c r="M10" s="178">
        <f>D10*4.18*天气!E3</f>
        <v>1735.00851744</v>
      </c>
      <c r="N10" s="172">
        <f t="shared" si="5"/>
        <v>0.000115114684012739</v>
      </c>
      <c r="O10" s="178">
        <f>天气!B3-N10</f>
        <v>35.979884885316</v>
      </c>
      <c r="P10" s="178">
        <f>E10*(O26+273.15)/217</f>
        <v>0.00102517046856789</v>
      </c>
      <c r="Q10" s="178">
        <f t="shared" si="1"/>
        <v>2.18679707459021e-5</v>
      </c>
      <c r="R10" s="178"/>
      <c r="S10" s="178"/>
      <c r="T10" s="179">
        <f>D10*4.18*天气!E4</f>
        <v>1746.0390024</v>
      </c>
      <c r="U10" s="174">
        <f t="shared" si="6"/>
        <v>0.000115846536783439</v>
      </c>
      <c r="V10" s="179">
        <f>天气!B4-U10</f>
        <v>29.5498841534632</v>
      </c>
      <c r="W10" s="179">
        <f>E10*(V26+273.15)/217</f>
        <v>0.00100383263649081</v>
      </c>
      <c r="X10" s="179">
        <f t="shared" si="2"/>
        <v>2.41132028943265e-5</v>
      </c>
      <c r="Y10" s="179"/>
      <c r="Z10" s="179"/>
      <c r="AA10" s="180">
        <f>D10*4.18*天气!E5</f>
        <v>1733.84199648</v>
      </c>
      <c r="AB10" s="176">
        <f t="shared" si="7"/>
        <v>0.000115037287452229</v>
      </c>
      <c r="AC10" s="180">
        <f>天气!B5-AB10</f>
        <v>36.6598849627125</v>
      </c>
      <c r="AD10" s="180">
        <f>E10*(AC26+273.15)/217</f>
        <v>0.00102742703556827</v>
      </c>
      <c r="AE10" s="180">
        <f t="shared" si="3"/>
        <v>2.60173977100093e-5</v>
      </c>
      <c r="AF10" s="180"/>
      <c r="AG10" s="180"/>
      <c r="AH10" s="145">
        <f>D10*4.18*天气!D9</f>
        <v>1740.847984128</v>
      </c>
      <c r="AI10" s="177">
        <f t="shared" si="8"/>
        <v>0.000115502122089172</v>
      </c>
      <c r="AJ10" s="150">
        <f>天气!B7-AI10</f>
        <v>32.5758844978779</v>
      </c>
      <c r="AM10" s="45">
        <f>D10*4.18*天气!E6</f>
        <v>1738.5766992</v>
      </c>
      <c r="AN10" s="176">
        <f t="shared" si="9"/>
        <v>0.000115351426433121</v>
      </c>
      <c r="AO10" s="180">
        <f>天气!B6-AN10</f>
        <v>33.8998846485736</v>
      </c>
      <c r="AP10" s="180">
        <f>E10*(AO27+273.15)/217</f>
        <v>0.000906304147465438</v>
      </c>
      <c r="AQ10" s="180">
        <f t="shared" si="10"/>
        <v>2.0974407485893e-5</v>
      </c>
    </row>
    <row r="11" spans="1:43">
      <c r="A11" s="18"/>
      <c r="B11" s="18"/>
      <c r="C11" s="107" t="s">
        <v>66</v>
      </c>
      <c r="D11" s="150">
        <v>0.36</v>
      </c>
      <c r="E11" s="169">
        <v>0.00036</v>
      </c>
      <c r="F11" s="145">
        <f>D11*579.5922*4.18</f>
        <v>872.17034256</v>
      </c>
      <c r="G11" s="170">
        <f t="shared" si="4"/>
        <v>5.78669282484076e-5</v>
      </c>
      <c r="H11" s="145">
        <f>天气!B2-G11</f>
        <v>26.7899421330718</v>
      </c>
      <c r="I11" s="145">
        <f>E11*(H26+273.15)/217</f>
        <v>0.00049733681464239</v>
      </c>
      <c r="J11" s="145">
        <f t="shared" si="0"/>
        <v>1.14251508073143e-5</v>
      </c>
      <c r="K11" s="145"/>
      <c r="L11" s="145"/>
      <c r="M11" s="178">
        <f>D11*4.18*天气!E3</f>
        <v>867.50425872</v>
      </c>
      <c r="N11" s="172">
        <f t="shared" si="5"/>
        <v>5.75573420063694e-5</v>
      </c>
      <c r="O11" s="178">
        <f>天气!B3-N11</f>
        <v>35.979942442658</v>
      </c>
      <c r="P11" s="178">
        <f>E11*(O26+273.15)/217</f>
        <v>0.000512585234283946</v>
      </c>
      <c r="Q11" s="178">
        <f t="shared" si="1"/>
        <v>1.09339853729511e-5</v>
      </c>
      <c r="R11" s="178"/>
      <c r="S11" s="178"/>
      <c r="T11" s="179">
        <f>D11*4.18*天气!E4</f>
        <v>873.0195012</v>
      </c>
      <c r="U11" s="174">
        <f t="shared" si="6"/>
        <v>5.79232683917197e-5</v>
      </c>
      <c r="V11" s="179">
        <f>天气!B4-U11</f>
        <v>29.5499420767316</v>
      </c>
      <c r="W11" s="179">
        <f>E11*(V26+273.15)/217</f>
        <v>0.000501916318245406</v>
      </c>
      <c r="X11" s="179">
        <f t="shared" si="2"/>
        <v>1.20566014471632e-5</v>
      </c>
      <c r="Y11" s="179"/>
      <c r="Z11" s="179"/>
      <c r="AA11" s="180">
        <f>D11*4.18*天气!E5</f>
        <v>866.92099824</v>
      </c>
      <c r="AB11" s="176">
        <f t="shared" si="7"/>
        <v>5.75186437261146e-5</v>
      </c>
      <c r="AC11" s="180">
        <f>天气!B5-AB11</f>
        <v>36.6599424813563</v>
      </c>
      <c r="AD11" s="180">
        <f>E11*(AC26+273.15)/217</f>
        <v>0.000513713517784133</v>
      </c>
      <c r="AE11" s="180">
        <f t="shared" si="3"/>
        <v>1.30086988550046e-5</v>
      </c>
      <c r="AF11" s="180"/>
      <c r="AG11" s="180"/>
      <c r="AH11" s="145">
        <f>D11*4.18*天气!D9</f>
        <v>870.423992064</v>
      </c>
      <c r="AI11" s="177">
        <f t="shared" si="8"/>
        <v>5.7751061044586e-5</v>
      </c>
      <c r="AJ11" s="150">
        <f>天气!B7-AI11</f>
        <v>32.575942248939</v>
      </c>
      <c r="AM11" s="45">
        <f>D11*4.18*天气!E6</f>
        <v>869.2883496</v>
      </c>
      <c r="AN11" s="176">
        <f t="shared" si="9"/>
        <v>5.76757132165605e-5</v>
      </c>
      <c r="AO11" s="180">
        <f>天气!B6-AN11</f>
        <v>33.8999423242868</v>
      </c>
      <c r="AP11" s="180">
        <f>E11*(AO27+273.15)/217</f>
        <v>0.000453152073732719</v>
      </c>
      <c r="AQ11" s="180">
        <f t="shared" si="10"/>
        <v>1.04872037429465e-5</v>
      </c>
    </row>
    <row r="12" spans="1:43">
      <c r="A12" s="109" t="s">
        <v>110</v>
      </c>
      <c r="B12" s="17" t="s">
        <v>17</v>
      </c>
      <c r="C12" s="104" t="s">
        <v>18</v>
      </c>
      <c r="D12" s="150">
        <v>979.92</v>
      </c>
      <c r="E12" s="169">
        <v>0.97992</v>
      </c>
      <c r="F12" s="145">
        <f>D12*天气!E2*4.18</f>
        <v>2382803.01266832</v>
      </c>
      <c r="G12" s="170">
        <f t="shared" si="4"/>
        <v>0.158094679715255</v>
      </c>
      <c r="H12" s="145">
        <f>天气!B2-G12</f>
        <v>26.6319053202847</v>
      </c>
      <c r="I12" s="145">
        <f>E12*(H26+273.15)/217</f>
        <v>1.35375080945659</v>
      </c>
      <c r="J12" s="145">
        <f t="shared" si="0"/>
        <v>0.0310992604975094</v>
      </c>
      <c r="K12" s="145"/>
      <c r="L12" s="145"/>
      <c r="M12" s="178">
        <f>D12*4.18*天气!E3</f>
        <v>2361346.59223584</v>
      </c>
      <c r="N12" s="172">
        <f t="shared" si="5"/>
        <v>0.156671084941338</v>
      </c>
      <c r="O12" s="178">
        <f>天气!B3-N12</f>
        <v>35.8233289150587</v>
      </c>
      <c r="P12" s="178">
        <f>E12*(O26+273.15)/217</f>
        <v>1.3952570077209</v>
      </c>
      <c r="Q12" s="178">
        <f t="shared" si="1"/>
        <v>0.0297623081851728</v>
      </c>
      <c r="R12" s="178"/>
      <c r="S12" s="178"/>
      <c r="T12" s="179">
        <f>D12*4.18*天气!E4</f>
        <v>2376359.0822664</v>
      </c>
      <c r="U12" s="174">
        <f t="shared" si="6"/>
        <v>0.157667136562261</v>
      </c>
      <c r="V12" s="179">
        <f>天气!B4-U12</f>
        <v>29.3923328634377</v>
      </c>
      <c r="W12" s="179">
        <f>E12*(V26+273.15)/217</f>
        <v>1.36621621826399</v>
      </c>
      <c r="X12" s="179">
        <f t="shared" si="2"/>
        <v>0.0328180691391783</v>
      </c>
      <c r="Y12" s="179"/>
      <c r="Z12" s="179"/>
      <c r="AA12" s="180">
        <f>D12*4.18*天气!E5</f>
        <v>2359758.95720928</v>
      </c>
      <c r="AB12" s="176">
        <f t="shared" si="7"/>
        <v>0.156565748222484</v>
      </c>
      <c r="AC12" s="180">
        <f>天气!B5-AB12</f>
        <v>36.5034342517775</v>
      </c>
      <c r="AD12" s="180">
        <f>E12*(AC26+273.15)/217</f>
        <v>1.39832819540841</v>
      </c>
      <c r="AE12" s="180">
        <f t="shared" si="3"/>
        <v>0.0354096782833226</v>
      </c>
      <c r="AF12" s="180"/>
      <c r="AG12" s="180"/>
      <c r="AH12" s="145">
        <f>D12*4.18*天气!D9</f>
        <v>2369294.10639821</v>
      </c>
      <c r="AI12" s="177">
        <f t="shared" si="8"/>
        <v>0.157198388163363</v>
      </c>
      <c r="AJ12" s="150">
        <f>天气!B7-AI12</f>
        <v>32.4188016118366</v>
      </c>
      <c r="AM12" s="45">
        <f>D12*4.18*天气!E6</f>
        <v>2366202.8876112</v>
      </c>
      <c r="AN12" s="176">
        <f t="shared" si="9"/>
        <v>0.156993291375478</v>
      </c>
      <c r="AO12" s="180">
        <f>天气!B6-AN12</f>
        <v>33.7430067086245</v>
      </c>
      <c r="AP12" s="180">
        <f>E12*(AO27+273.15)/217</f>
        <v>1.23347994470046</v>
      </c>
      <c r="AQ12" s="180">
        <f t="shared" si="10"/>
        <v>0.0285461685883004</v>
      </c>
    </row>
    <row r="13" spans="1:43">
      <c r="A13" s="109"/>
      <c r="B13" s="17"/>
      <c r="C13" s="104" t="s">
        <v>60</v>
      </c>
      <c r="D13" s="150">
        <v>2306.52</v>
      </c>
      <c r="E13" s="169">
        <v>2.30652</v>
      </c>
      <c r="F13" s="145">
        <f>D13*天气!E2*4.18</f>
        <v>5608603.56435192</v>
      </c>
      <c r="G13" s="170">
        <f t="shared" si="4"/>
        <v>0.372120724811035</v>
      </c>
      <c r="H13" s="145">
        <f>天气!B2-G13</f>
        <v>26.417879275189</v>
      </c>
      <c r="I13" s="145">
        <f>E13*(H26+273.15)/217</f>
        <v>3.18643697141379</v>
      </c>
      <c r="J13" s="145">
        <f t="shared" si="0"/>
        <v>0.0732009412224625</v>
      </c>
      <c r="K13" s="145"/>
      <c r="L13" s="145"/>
      <c r="M13" s="178">
        <f>D13*4.18*天气!E3</f>
        <v>5558099.78561904</v>
      </c>
      <c r="N13" s="172">
        <f t="shared" si="5"/>
        <v>0.368769890234809</v>
      </c>
      <c r="O13" s="178">
        <f>天气!B3-N13</f>
        <v>35.6112301097652</v>
      </c>
      <c r="P13" s="178">
        <f>E13*(O26+273.15)/217</f>
        <v>3.28413359605724</v>
      </c>
      <c r="Q13" s="178">
        <f t="shared" si="1"/>
        <v>0.0700540442844974</v>
      </c>
      <c r="R13" s="178"/>
      <c r="S13" s="178"/>
      <c r="T13" s="179">
        <f>D13*4.18*天气!E4</f>
        <v>5593435.9441884</v>
      </c>
      <c r="U13" s="174">
        <f t="shared" si="6"/>
        <v>0.371114380585748</v>
      </c>
      <c r="V13" s="179">
        <f>天气!B4-U13</f>
        <v>29.1788856194143</v>
      </c>
      <c r="W13" s="179">
        <f>E13*(V26+273.15)/217</f>
        <v>3.21577785099831</v>
      </c>
      <c r="X13" s="179">
        <f t="shared" si="2"/>
        <v>0.0772466454719749</v>
      </c>
      <c r="Y13" s="179"/>
      <c r="Z13" s="179"/>
      <c r="AA13" s="180">
        <f>D13*4.18*天气!E5</f>
        <v>5554362.83572368</v>
      </c>
      <c r="AB13" s="176">
        <f t="shared" si="7"/>
        <v>0.368521950353217</v>
      </c>
      <c r="AC13" s="180">
        <f>天气!B5-AB13</f>
        <v>36.2914780496468</v>
      </c>
      <c r="AD13" s="180">
        <f>E13*(AC26+273.15)/217</f>
        <v>3.29136250844294</v>
      </c>
      <c r="AE13" s="180">
        <f t="shared" si="3"/>
        <v>0.0833467335640147</v>
      </c>
      <c r="AF13" s="180"/>
      <c r="AG13" s="180"/>
      <c r="AH13" s="145">
        <f>D13*4.18*天气!D9</f>
        <v>5576806.51715405</v>
      </c>
      <c r="AI13" s="177">
        <f t="shared" si="8"/>
        <v>0.370011048112662</v>
      </c>
      <c r="AJ13" s="150">
        <f t="shared" ref="AJ4:AJ25" si="11">26.65-AI13</f>
        <v>26.2799889518873</v>
      </c>
      <c r="AM13" s="45">
        <f>D13*4.18*天气!E6</f>
        <v>5569530.4558872</v>
      </c>
      <c r="AN13" s="176">
        <f t="shared" si="9"/>
        <v>0.369528294578503</v>
      </c>
      <c r="AO13" s="180">
        <f>天气!B6-AN13</f>
        <v>33.5304717054215</v>
      </c>
      <c r="AP13" s="180">
        <f>E13*(AO27+273.15)/217</f>
        <v>2.90334533640553</v>
      </c>
      <c r="AQ13" s="180">
        <f t="shared" si="10"/>
        <v>0.0671915143810583</v>
      </c>
    </row>
    <row r="14" spans="1:43">
      <c r="A14" s="19"/>
      <c r="B14" s="19" t="s">
        <v>36</v>
      </c>
      <c r="C14" s="110" t="s">
        <v>111</v>
      </c>
      <c r="D14" s="150">
        <v>3345.498</v>
      </c>
      <c r="E14" s="169">
        <v>3.345498</v>
      </c>
      <c r="F14" s="145">
        <f>D14*天气!E2*4.18</f>
        <v>8135013.79018271</v>
      </c>
      <c r="G14" s="170">
        <f t="shared" si="4"/>
        <v>0.539743483955859</v>
      </c>
      <c r="H14" s="145">
        <f>天气!B2-G14</f>
        <v>26.2502565160441</v>
      </c>
      <c r="I14" s="145">
        <f>E14*(H26+273.15)/217</f>
        <v>4.62177588531246</v>
      </c>
      <c r="J14" s="145">
        <f t="shared" si="0"/>
        <v>0.106174497709912</v>
      </c>
      <c r="K14" s="145"/>
      <c r="L14" s="145"/>
      <c r="M14" s="178">
        <f>D14*4.18*天气!E3</f>
        <v>8061760.4514979</v>
      </c>
      <c r="N14" s="172">
        <f t="shared" si="5"/>
        <v>0.534883257132291</v>
      </c>
      <c r="O14" s="178">
        <f>天气!B3-N14</f>
        <v>35.4451167428677</v>
      </c>
      <c r="P14" s="178">
        <f>E14*(O26+273.15)/217</f>
        <v>4.76348021146242</v>
      </c>
      <c r="Q14" s="178">
        <f t="shared" si="1"/>
        <v>0.101610072770103</v>
      </c>
      <c r="R14" s="178"/>
      <c r="S14" s="178"/>
      <c r="T14" s="179">
        <f>D14*4.18*天气!E4</f>
        <v>8113013.87562666</v>
      </c>
      <c r="U14" s="174">
        <f t="shared" si="6"/>
        <v>0.538283829327671</v>
      </c>
      <c r="V14" s="179">
        <f>天气!B4-U14</f>
        <v>29.0117161706723</v>
      </c>
      <c r="W14" s="179">
        <f>E14*(V26+273.15)/217</f>
        <v>4.66433344127047</v>
      </c>
      <c r="X14" s="179">
        <f t="shared" si="2"/>
        <v>0.11204260007856</v>
      </c>
      <c r="Y14" s="179"/>
      <c r="Z14" s="179"/>
      <c r="AA14" s="180">
        <f>D14*4.18*天气!E5</f>
        <v>8056340.18269423</v>
      </c>
      <c r="AB14" s="176">
        <f t="shared" si="7"/>
        <v>0.53452363207897</v>
      </c>
      <c r="AC14" s="180">
        <f>天气!B5-AB14</f>
        <v>36.125476367921</v>
      </c>
      <c r="AD14" s="180">
        <f>E14*(AC26+273.15)/217</f>
        <v>4.77396540644384</v>
      </c>
      <c r="AE14" s="180">
        <f t="shared" si="3"/>
        <v>0.120890488894501</v>
      </c>
      <c r="AF14" s="180"/>
      <c r="AG14" s="180"/>
      <c r="AH14" s="145">
        <f>D14*4.18*天气!D9</f>
        <v>8088893.67945035</v>
      </c>
      <c r="AI14" s="177">
        <f t="shared" si="8"/>
        <v>0.53668349784039</v>
      </c>
      <c r="AJ14" s="150">
        <f t="shared" si="11"/>
        <v>26.1133165021596</v>
      </c>
      <c r="AM14" s="45">
        <f>D14*4.18*天气!E6</f>
        <v>8078340.09725028</v>
      </c>
      <c r="AN14" s="176">
        <f t="shared" si="9"/>
        <v>0.535983286707158</v>
      </c>
      <c r="AO14" s="180">
        <f>天气!B6-AN14</f>
        <v>33.3640167132928</v>
      </c>
      <c r="AP14" s="180">
        <f>E14*(AO27+273.15)/217</f>
        <v>4.21116487880184</v>
      </c>
      <c r="AQ14" s="180">
        <f t="shared" si="10"/>
        <v>0.0974581087433891</v>
      </c>
    </row>
    <row r="15" spans="1:43">
      <c r="A15" s="19"/>
      <c r="B15" s="19"/>
      <c r="C15" s="110" t="s">
        <v>38</v>
      </c>
      <c r="D15" s="150">
        <v>928.08</v>
      </c>
      <c r="E15" s="169">
        <v>0.92808</v>
      </c>
      <c r="F15" s="145">
        <f>D15*天气!E2*4.18</f>
        <v>2256747.30589968</v>
      </c>
      <c r="G15" s="170">
        <f t="shared" si="4"/>
        <v>0.149731111060223</v>
      </c>
      <c r="H15" s="145">
        <f>天气!B2-G15</f>
        <v>26.6402688889398</v>
      </c>
      <c r="I15" s="145">
        <f>E15*(H26+273.15)/217</f>
        <v>1.28213430814808</v>
      </c>
      <c r="J15" s="145">
        <f t="shared" si="0"/>
        <v>0.0294540387812562</v>
      </c>
      <c r="K15" s="145"/>
      <c r="L15" s="145"/>
      <c r="M15" s="178">
        <f>D15*4.18*天气!E3</f>
        <v>2236425.97898016</v>
      </c>
      <c r="N15" s="172">
        <f t="shared" si="5"/>
        <v>0.14838282769242</v>
      </c>
      <c r="O15" s="178">
        <f>天气!B3-N15</f>
        <v>35.8316171723076</v>
      </c>
      <c r="P15" s="178">
        <f>E15*(O26+273.15)/217</f>
        <v>1.32144473398401</v>
      </c>
      <c r="Q15" s="178">
        <f t="shared" si="1"/>
        <v>0.0281878142914678</v>
      </c>
      <c r="R15" s="178"/>
      <c r="S15" s="178"/>
      <c r="T15" s="179">
        <f>D15*4.18*天气!E4</f>
        <v>2250644.2740936</v>
      </c>
      <c r="U15" s="174">
        <f t="shared" si="6"/>
        <v>0.149326185913854</v>
      </c>
      <c r="V15" s="179">
        <f>天气!B4-U15</f>
        <v>29.4006738140861</v>
      </c>
      <c r="W15" s="179">
        <f>E15*(V26+273.15)/217</f>
        <v>1.29394026843666</v>
      </c>
      <c r="X15" s="179">
        <f t="shared" si="2"/>
        <v>0.0310819185307868</v>
      </c>
      <c r="Y15" s="179"/>
      <c r="Z15" s="179"/>
      <c r="AA15" s="180">
        <f>D15*4.18*天气!E5</f>
        <v>2234922.33346272</v>
      </c>
      <c r="AB15" s="176">
        <f t="shared" si="7"/>
        <v>0.148283063525924</v>
      </c>
      <c r="AC15" s="180">
        <f>天气!B5-AB15</f>
        <v>36.5117169364741</v>
      </c>
      <c r="AD15" s="180">
        <f>E15*(AC26+273.15)/217</f>
        <v>1.3243534488475</v>
      </c>
      <c r="AE15" s="180">
        <f t="shared" si="3"/>
        <v>0.033536425648202</v>
      </c>
      <c r="AF15" s="180"/>
      <c r="AG15" s="180"/>
      <c r="AH15" s="145">
        <f>D15*4.18*天气!D9</f>
        <v>2243953.05154099</v>
      </c>
      <c r="AI15" s="177">
        <f t="shared" si="8"/>
        <v>0.148882235372943</v>
      </c>
      <c r="AJ15" s="150">
        <f t="shared" si="11"/>
        <v>26.5011177646271</v>
      </c>
      <c r="AM15" s="45">
        <f>D15*4.18*天气!E6</f>
        <v>2241025.3652688</v>
      </c>
      <c r="AN15" s="176">
        <f t="shared" si="9"/>
        <v>0.148687988672293</v>
      </c>
      <c r="AO15" s="180">
        <f>天气!B6-AN15</f>
        <v>33.7513120113277</v>
      </c>
      <c r="AP15" s="180">
        <f>E15*(AO27+273.15)/217</f>
        <v>1.16822604608295</v>
      </c>
      <c r="AQ15" s="180">
        <f t="shared" si="10"/>
        <v>0.0270360112493161</v>
      </c>
    </row>
    <row r="16" spans="1:43">
      <c r="A16" s="19"/>
      <c r="B16" s="19"/>
      <c r="C16" s="110" t="s">
        <v>61</v>
      </c>
      <c r="D16" s="150">
        <v>1144.8</v>
      </c>
      <c r="E16" s="169">
        <v>1.1448</v>
      </c>
      <c r="F16" s="145">
        <f>D16*天气!E2*4.18</f>
        <v>2783730.1911408</v>
      </c>
      <c r="G16" s="170">
        <f t="shared" si="4"/>
        <v>0.184695474465287</v>
      </c>
      <c r="H16" s="145">
        <f>天气!B2-G16</f>
        <v>26.6053045255347</v>
      </c>
      <c r="I16" s="145">
        <f>E16*(H26+273.15)/217</f>
        <v>1.5815310705628</v>
      </c>
      <c r="J16" s="145">
        <f t="shared" si="0"/>
        <v>0.0363319795672594</v>
      </c>
      <c r="K16" s="145"/>
      <c r="L16" s="145"/>
      <c r="M16" s="178">
        <f>D16*4.18*天气!E3</f>
        <v>2758663.5427296</v>
      </c>
      <c r="N16" s="172">
        <f t="shared" si="5"/>
        <v>0.183032347580255</v>
      </c>
      <c r="O16" s="178">
        <f>天气!B3-N16</f>
        <v>35.7969676524197</v>
      </c>
      <c r="P16" s="178">
        <f>E16*(O26+273.15)/217</f>
        <v>1.63002104502295</v>
      </c>
      <c r="Q16" s="178">
        <f t="shared" si="1"/>
        <v>0.0347700734859844</v>
      </c>
      <c r="R16" s="178"/>
      <c r="S16" s="178"/>
      <c r="T16" s="179">
        <f>D16*4.18*天气!E4</f>
        <v>2776202.013816</v>
      </c>
      <c r="U16" s="174">
        <f t="shared" si="6"/>
        <v>0.184195993485669</v>
      </c>
      <c r="V16" s="179">
        <f>天气!B4-U16</f>
        <v>29.3658040065143</v>
      </c>
      <c r="W16" s="179">
        <f>E16*(V26+273.15)/217</f>
        <v>1.59609389202039</v>
      </c>
      <c r="X16" s="179">
        <f t="shared" si="2"/>
        <v>0.0383399926019791</v>
      </c>
      <c r="Y16" s="179"/>
      <c r="Z16" s="179"/>
      <c r="AA16" s="180">
        <f>D16*4.18*天气!E5</f>
        <v>2756808.7744032</v>
      </c>
      <c r="AB16" s="176">
        <f t="shared" si="7"/>
        <v>0.182909287049045</v>
      </c>
      <c r="AC16" s="180">
        <f>天气!B5-AB16</f>
        <v>36.477090712951</v>
      </c>
      <c r="AD16" s="180">
        <f>E16*(AC26+273.15)/217</f>
        <v>1.63360898655354</v>
      </c>
      <c r="AE16" s="180">
        <f t="shared" si="3"/>
        <v>0.0413676623589148</v>
      </c>
      <c r="AF16" s="180"/>
      <c r="AG16" s="180"/>
      <c r="AH16" s="145">
        <f>D16*4.18*天气!D9</f>
        <v>2767948.29476352</v>
      </c>
      <c r="AI16" s="177">
        <f t="shared" si="8"/>
        <v>0.183648374121783</v>
      </c>
      <c r="AJ16" s="150">
        <f t="shared" si="11"/>
        <v>26.4663516258782</v>
      </c>
      <c r="AM16" s="45">
        <f>D16*4.18*天气!E6</f>
        <v>2764336.951728</v>
      </c>
      <c r="AN16" s="176">
        <f t="shared" si="9"/>
        <v>0.183408768028662</v>
      </c>
      <c r="AO16" s="180">
        <f>天气!B6-AN16</f>
        <v>33.7165912319713</v>
      </c>
      <c r="AP16" s="180">
        <f>E16*(AO27+273.15)/217</f>
        <v>1.44102359447005</v>
      </c>
      <c r="AQ16" s="180">
        <f t="shared" si="10"/>
        <v>0.0333493079025699</v>
      </c>
    </row>
    <row r="17" spans="1:43">
      <c r="A17" s="19"/>
      <c r="B17" s="19"/>
      <c r="C17" s="110" t="s">
        <v>43</v>
      </c>
      <c r="D17" s="150">
        <v>1612.8</v>
      </c>
      <c r="E17" s="169">
        <v>1.6128</v>
      </c>
      <c r="F17" s="145">
        <f>D17*天气!E2*4.18</f>
        <v>3921733.0994688</v>
      </c>
      <c r="G17" s="170">
        <f t="shared" si="4"/>
        <v>0.260199913712102</v>
      </c>
      <c r="H17" s="145">
        <f>天气!B2-G17</f>
        <v>26.5298000862879</v>
      </c>
      <c r="I17" s="145">
        <f>E17*(H26+273.15)/217</f>
        <v>2.22806892959791</v>
      </c>
      <c r="J17" s="145">
        <f t="shared" si="0"/>
        <v>0.0511846756167679</v>
      </c>
      <c r="K17" s="145"/>
      <c r="L17" s="145"/>
      <c r="M17" s="178">
        <f>D17*4.18*天气!E3</f>
        <v>3886419.0790656</v>
      </c>
      <c r="N17" s="172">
        <f t="shared" si="5"/>
        <v>0.257856892188535</v>
      </c>
      <c r="O17" s="178">
        <f>天气!B3-N17</f>
        <v>35.7221431078115</v>
      </c>
      <c r="P17" s="178">
        <f>E17*(O26+273.15)/217</f>
        <v>2.29638184959208</v>
      </c>
      <c r="Q17" s="178">
        <f t="shared" si="1"/>
        <v>0.0489842544708207</v>
      </c>
      <c r="R17" s="178"/>
      <c r="S17" s="178"/>
      <c r="T17" s="179">
        <f>D17*4.18*天气!E4</f>
        <v>3911127.365376</v>
      </c>
      <c r="U17" s="174">
        <f t="shared" si="6"/>
        <v>0.259496242394904</v>
      </c>
      <c r="V17" s="179">
        <f>天气!B4-U17</f>
        <v>29.2905037576051</v>
      </c>
      <c r="W17" s="179">
        <f>E17*(V26+273.15)/217</f>
        <v>2.24858510573942</v>
      </c>
      <c r="X17" s="179">
        <f t="shared" si="2"/>
        <v>0.0540135744832913</v>
      </c>
      <c r="Y17" s="179"/>
      <c r="Z17" s="179"/>
      <c r="AA17" s="180">
        <f>D17*4.18*天气!E5</f>
        <v>3883806.0721152</v>
      </c>
      <c r="AB17" s="176">
        <f t="shared" si="7"/>
        <v>0.257683523892994</v>
      </c>
      <c r="AC17" s="180">
        <f>天气!B5-AB17</f>
        <v>36.402316476107</v>
      </c>
      <c r="AD17" s="180">
        <f>E17*(AC26+273.15)/217</f>
        <v>2.30143655967292</v>
      </c>
      <c r="AE17" s="180">
        <f t="shared" si="3"/>
        <v>0.0582789708704208</v>
      </c>
      <c r="AF17" s="180"/>
      <c r="AG17" s="180"/>
      <c r="AH17" s="145">
        <f>D17*4.18*天气!D9</f>
        <v>3899499.48444672</v>
      </c>
      <c r="AI17" s="177">
        <f t="shared" si="8"/>
        <v>0.258724753479745</v>
      </c>
      <c r="AJ17" s="150">
        <f t="shared" si="11"/>
        <v>26.3912752465203</v>
      </c>
      <c r="AM17" s="45">
        <f>D17*4.18*天气!E6</f>
        <v>3894411.806208</v>
      </c>
      <c r="AN17" s="176">
        <f t="shared" si="9"/>
        <v>0.258387195210191</v>
      </c>
      <c r="AO17" s="180">
        <f>天气!B6-AN17</f>
        <v>33.6416128047898</v>
      </c>
      <c r="AP17" s="180">
        <f>E17*(AO27+273.15)/217</f>
        <v>2.03012129032258</v>
      </c>
      <c r="AQ17" s="180">
        <f t="shared" si="10"/>
        <v>0.0469826727684004</v>
      </c>
    </row>
    <row r="18" spans="1:43">
      <c r="A18" s="109" t="s">
        <v>116</v>
      </c>
      <c r="B18" s="17" t="s">
        <v>17</v>
      </c>
      <c r="C18" s="104" t="s">
        <v>22</v>
      </c>
      <c r="D18" s="150">
        <v>914.4</v>
      </c>
      <c r="E18" s="169">
        <v>0.9144</v>
      </c>
      <c r="F18" s="145">
        <f>D18*天气!E2*4.18</f>
        <v>2223482.6055024</v>
      </c>
      <c r="G18" s="170">
        <f t="shared" si="4"/>
        <v>0.147524058220701</v>
      </c>
      <c r="H18" s="145">
        <f>天气!B2-G18</f>
        <v>26.6424759417793</v>
      </c>
      <c r="I18" s="145">
        <f>E18*(H26+273.15)/217</f>
        <v>1.26323550919167</v>
      </c>
      <c r="J18" s="145">
        <f t="shared" si="0"/>
        <v>0.0290198830505782</v>
      </c>
      <c r="K18" s="145"/>
      <c r="L18" s="145"/>
      <c r="M18" s="178">
        <f>D18*4.18*天气!E3</f>
        <v>2203460.8171488</v>
      </c>
      <c r="N18" s="172">
        <f t="shared" si="5"/>
        <v>0.146195648696178</v>
      </c>
      <c r="O18" s="178">
        <f>天气!B3-N18</f>
        <v>35.8338043513038</v>
      </c>
      <c r="P18" s="178">
        <f>E18*(O26+273.15)/217</f>
        <v>1.30196649508122</v>
      </c>
      <c r="Q18" s="178">
        <f t="shared" si="1"/>
        <v>0.0277723228472957</v>
      </c>
      <c r="R18" s="178"/>
      <c r="S18" s="178"/>
      <c r="T18" s="179">
        <f>D18*4.18*天气!E4</f>
        <v>2217469.533048</v>
      </c>
      <c r="U18" s="174">
        <f t="shared" si="6"/>
        <v>0.147125101714968</v>
      </c>
      <c r="V18" s="179">
        <f>天气!B4-U18</f>
        <v>29.402874898285</v>
      </c>
      <c r="W18" s="179">
        <f>E18*(V26+273.15)/217</f>
        <v>1.27486744834333</v>
      </c>
      <c r="X18" s="179">
        <f t="shared" si="2"/>
        <v>0.0306237676757946</v>
      </c>
      <c r="Y18" s="179"/>
      <c r="Z18" s="179"/>
      <c r="AA18" s="180">
        <f>D18*4.18*天气!E5</f>
        <v>2201979.3355296</v>
      </c>
      <c r="AB18" s="176">
        <f t="shared" si="7"/>
        <v>0.146097355064331</v>
      </c>
      <c r="AC18" s="180">
        <f>天气!B5-AB18</f>
        <v>36.5139026449357</v>
      </c>
      <c r="AD18" s="180">
        <f>E18*(AC26+273.15)/217</f>
        <v>1.3048323351717</v>
      </c>
      <c r="AE18" s="180">
        <f t="shared" si="3"/>
        <v>0.0330420950917118</v>
      </c>
      <c r="AF18" s="180"/>
      <c r="AG18" s="180"/>
      <c r="AH18" s="145">
        <f>D18*4.18*天气!D9</f>
        <v>2210876.93984256</v>
      </c>
      <c r="AI18" s="177">
        <f t="shared" si="8"/>
        <v>0.146687695053248</v>
      </c>
      <c r="AJ18" s="150">
        <f t="shared" si="11"/>
        <v>26.5033123049467</v>
      </c>
      <c r="AM18" s="45">
        <f>D18*4.18*天气!E6</f>
        <v>2207992.407984</v>
      </c>
      <c r="AN18" s="176">
        <f t="shared" si="9"/>
        <v>0.146496311570064</v>
      </c>
      <c r="AO18" s="180">
        <f>天气!B6-AN18</f>
        <v>33.7535036884299</v>
      </c>
      <c r="AP18" s="180">
        <f>E18*(AO27+273.15)/217</f>
        <v>1.15100626728111</v>
      </c>
      <c r="AQ18" s="180">
        <f t="shared" si="10"/>
        <v>0.0266374975070841</v>
      </c>
    </row>
    <row r="19" spans="1:43">
      <c r="A19" s="109"/>
      <c r="B19" s="17"/>
      <c r="C19" s="104" t="s">
        <v>40</v>
      </c>
      <c r="D19" s="150">
        <v>2378.682</v>
      </c>
      <c r="E19" s="169">
        <v>2.378682</v>
      </c>
      <c r="F19" s="145">
        <f>D19*天气!E2*4.18</f>
        <v>5784074.85894757</v>
      </c>
      <c r="G19" s="170">
        <f t="shared" si="4"/>
        <v>0.383762928539515</v>
      </c>
      <c r="H19" s="145">
        <f>天气!B2-G19</f>
        <v>26.4062370714605</v>
      </c>
      <c r="I19" s="145">
        <f>E19*(H26+273.15)/217</f>
        <v>3.28612813590886</v>
      </c>
      <c r="J19" s="145">
        <f>I19/43.3</f>
        <v>0.0758921047554009</v>
      </c>
      <c r="K19" s="145"/>
      <c r="L19" s="145"/>
      <c r="M19" s="178">
        <f>D19*4.18*天气!E3</f>
        <v>5731991.01427946</v>
      </c>
      <c r="N19" s="172">
        <f t="shared" si="5"/>
        <v>0.380307259439986</v>
      </c>
      <c r="O19" s="178">
        <f>天气!B3-N19</f>
        <v>35.59969274056</v>
      </c>
      <c r="P19" s="178">
        <f>E19*(O26+273.15)/217</f>
        <v>3.38688130626946</v>
      </c>
      <c r="Q19" s="178">
        <f t="shared" si="1"/>
        <v>0.0722457616525055</v>
      </c>
      <c r="R19" s="178"/>
      <c r="S19" s="178"/>
      <c r="T19" s="179">
        <f>D19*4.18*天气!E4</f>
        <v>5768432.70320394</v>
      </c>
      <c r="U19" s="174">
        <f t="shared" si="6"/>
        <v>0.382725099734869</v>
      </c>
      <c r="V19" s="179">
        <f>天气!B4-U19</f>
        <v>29.1672749002651</v>
      </c>
      <c r="W19" s="179">
        <f>E19*(V26+273.15)/217</f>
        <v>3.31638697699061</v>
      </c>
      <c r="X19" s="179">
        <f t="shared" si="2"/>
        <v>0.0796633912320588</v>
      </c>
      <c r="Y19" s="179"/>
      <c r="Z19" s="179"/>
      <c r="AA19" s="180">
        <f>D19*4.18*天气!E5</f>
        <v>5728137.14982089</v>
      </c>
      <c r="AB19" s="176">
        <f t="shared" si="7"/>
        <v>0.380051562488116</v>
      </c>
      <c r="AC19" s="180">
        <f>天气!B5-AB19</f>
        <v>36.2799484375119</v>
      </c>
      <c r="AD19" s="180">
        <f>E19*(AC26+273.15)/217</f>
        <v>3.39433638308277</v>
      </c>
      <c r="AE19" s="180">
        <f t="shared" si="3"/>
        <v>0.0859543272495004</v>
      </c>
      <c r="AF19" s="180"/>
      <c r="AG19" s="180"/>
      <c r="AH19" s="145">
        <f>D19*4.18*天气!D9</f>
        <v>5751283.00636328</v>
      </c>
      <c r="AI19" s="177">
        <f t="shared" si="8"/>
        <v>0.38158724829905</v>
      </c>
      <c r="AJ19" s="150">
        <f t="shared" si="11"/>
        <v>26.268412751701</v>
      </c>
      <c r="AM19" s="45">
        <f>D19*4.18*天气!E6</f>
        <v>5743779.30556452</v>
      </c>
      <c r="AN19" s="176">
        <f t="shared" si="9"/>
        <v>0.381089391292763</v>
      </c>
      <c r="AO19" s="180">
        <f>天气!B6-AN19</f>
        <v>33.5189106087072</v>
      </c>
      <c r="AP19" s="180">
        <f>E19*(AO27+273.15)/217</f>
        <v>2.99417966958525</v>
      </c>
      <c r="AQ19" s="180">
        <f t="shared" si="10"/>
        <v>0.0692936743713319</v>
      </c>
    </row>
    <row r="20" spans="1:43">
      <c r="A20" s="19"/>
      <c r="B20" s="19" t="s">
        <v>36</v>
      </c>
      <c r="C20" s="110" t="s">
        <v>38</v>
      </c>
      <c r="D20" s="150">
        <v>928.08</v>
      </c>
      <c r="E20" s="169">
        <v>0.92808</v>
      </c>
      <c r="F20" s="145">
        <f>D20*天气!E2*4.18</f>
        <v>2256747.30589968</v>
      </c>
      <c r="G20" s="170">
        <f t="shared" si="4"/>
        <v>0.149731111060223</v>
      </c>
      <c r="H20" s="145">
        <f>天气!B2-G20</f>
        <v>26.6402688889398</v>
      </c>
      <c r="I20" s="145">
        <f>E20*(H26+273.15)/217</f>
        <v>1.28213430814808</v>
      </c>
      <c r="J20" s="145">
        <f t="shared" ref="J20:J25" si="12">I20/43.53</f>
        <v>0.0294540387812562</v>
      </c>
      <c r="K20" s="145"/>
      <c r="L20" s="145"/>
      <c r="M20" s="178">
        <f>D20*4.18*天气!E3</f>
        <v>2236425.97898016</v>
      </c>
      <c r="N20" s="172">
        <f t="shared" si="5"/>
        <v>0.14838282769242</v>
      </c>
      <c r="O20" s="178">
        <f>天气!B3-N20</f>
        <v>35.8316171723076</v>
      </c>
      <c r="P20" s="178">
        <f>E20*(O26+273.15)/217</f>
        <v>1.32144473398401</v>
      </c>
      <c r="Q20" s="178">
        <f t="shared" si="1"/>
        <v>0.0281878142914678</v>
      </c>
      <c r="R20" s="178"/>
      <c r="S20" s="178"/>
      <c r="T20" s="179">
        <f>D20*4.18*天气!E4</f>
        <v>2250644.2740936</v>
      </c>
      <c r="U20" s="174">
        <f t="shared" si="6"/>
        <v>0.149326185913854</v>
      </c>
      <c r="V20" s="179">
        <f>天气!B4-U20</f>
        <v>29.4006738140861</v>
      </c>
      <c r="W20" s="179">
        <f>E20*(V26+273.15)/217</f>
        <v>1.29394026843666</v>
      </c>
      <c r="X20" s="179">
        <f t="shared" si="2"/>
        <v>0.0310819185307868</v>
      </c>
      <c r="Y20" s="179"/>
      <c r="Z20" s="179"/>
      <c r="AA20" s="180">
        <f>D20*4.18*天气!E5</f>
        <v>2234922.33346272</v>
      </c>
      <c r="AB20" s="176">
        <f t="shared" si="7"/>
        <v>0.148283063525924</v>
      </c>
      <c r="AC20" s="180">
        <f>天气!B5-AB20</f>
        <v>36.5117169364741</v>
      </c>
      <c r="AD20" s="180">
        <f>E20*(AC26+273.15)/217</f>
        <v>1.3243534488475</v>
      </c>
      <c r="AE20" s="180">
        <f t="shared" si="3"/>
        <v>0.033536425648202</v>
      </c>
      <c r="AF20" s="180"/>
      <c r="AG20" s="180"/>
      <c r="AH20" s="145">
        <f>D20*4.18*天气!D9</f>
        <v>2243953.05154099</v>
      </c>
      <c r="AI20" s="177">
        <f t="shared" si="8"/>
        <v>0.148882235372943</v>
      </c>
      <c r="AJ20" s="150">
        <f t="shared" si="11"/>
        <v>26.5011177646271</v>
      </c>
      <c r="AM20" s="45">
        <f>D20*4.18*天气!E6</f>
        <v>2241025.3652688</v>
      </c>
      <c r="AN20" s="176">
        <f t="shared" si="9"/>
        <v>0.148687988672293</v>
      </c>
      <c r="AO20" s="180">
        <f>天气!B6-AN20</f>
        <v>33.7513120113277</v>
      </c>
      <c r="AP20" s="180">
        <f>E20*(AO27+273.15)/217</f>
        <v>1.16822604608295</v>
      </c>
      <c r="AQ20" s="180">
        <f t="shared" si="10"/>
        <v>0.0270360112493161</v>
      </c>
    </row>
    <row r="21" spans="1:43">
      <c r="A21" s="19"/>
      <c r="B21" s="19"/>
      <c r="C21" s="110" t="s">
        <v>39</v>
      </c>
      <c r="D21" s="150">
        <v>1012.86</v>
      </c>
      <c r="E21" s="169">
        <v>1.01286</v>
      </c>
      <c r="F21" s="145">
        <f>D21*天气!E2*4.18</f>
        <v>2462900.90967756</v>
      </c>
      <c r="G21" s="170">
        <f t="shared" si="4"/>
        <v>0.163409030631473</v>
      </c>
      <c r="H21" s="145">
        <f>天气!B2-G21</f>
        <v>26.6265909693685</v>
      </c>
      <c r="I21" s="145">
        <f>E21*(H26+273.15)/217</f>
        <v>1.39925712799636</v>
      </c>
      <c r="J21" s="145">
        <f t="shared" si="12"/>
        <v>0.0321446617963787</v>
      </c>
      <c r="K21" s="145"/>
      <c r="L21" s="145"/>
      <c r="M21" s="178">
        <f>D21*4.18*天气!E3</f>
        <v>2440723.23190872</v>
      </c>
      <c r="N21" s="172">
        <f t="shared" si="5"/>
        <v>0.16193758173492</v>
      </c>
      <c r="O21" s="178">
        <f>天气!B3-N21</f>
        <v>35.8180624182651</v>
      </c>
      <c r="P21" s="178">
        <f>E21*(O26+273.15)/217</f>
        <v>1.44215855665788</v>
      </c>
      <c r="Q21" s="178">
        <f t="shared" si="1"/>
        <v>0.0307627678467978</v>
      </c>
      <c r="R21" s="178"/>
      <c r="S21" s="178"/>
      <c r="T21" s="179">
        <f>D21*4.18*天气!E4</f>
        <v>2456240.3666262</v>
      </c>
      <c r="U21" s="174">
        <f t="shared" si="6"/>
        <v>0.162967115620104</v>
      </c>
      <c r="V21" s="179">
        <f>天气!B4-U21</f>
        <v>29.3870328843799</v>
      </c>
      <c r="W21" s="179">
        <f>E21*(V26+273.15)/217</f>
        <v>1.41214156138345</v>
      </c>
      <c r="X21" s="179">
        <f t="shared" si="2"/>
        <v>0.0339212481715938</v>
      </c>
      <c r="Y21" s="179"/>
      <c r="Z21" s="179"/>
      <c r="AA21" s="180">
        <f>D21*4.18*天气!E5</f>
        <v>2439082.22854824</v>
      </c>
      <c r="AB21" s="176">
        <f t="shared" si="7"/>
        <v>0.161828704123424</v>
      </c>
      <c r="AC21" s="180">
        <f>天气!B5-AB21</f>
        <v>36.4981712958766</v>
      </c>
      <c r="AD21" s="180">
        <f>E21*(AC26+273.15)/217</f>
        <v>1.44533298228566</v>
      </c>
      <c r="AE21" s="180">
        <f t="shared" si="3"/>
        <v>0.0365999742285555</v>
      </c>
      <c r="AF21" s="180"/>
      <c r="AG21" s="180"/>
      <c r="AH21" s="145">
        <f>D21*4.18*天气!D9</f>
        <v>2448937.90167206</v>
      </c>
      <c r="AI21" s="177">
        <f t="shared" si="8"/>
        <v>0.162482610248943</v>
      </c>
      <c r="AJ21" s="150">
        <f t="shared" si="11"/>
        <v>26.4875173897511</v>
      </c>
      <c r="AM21" s="45">
        <f>D21*4.18*天气!E6</f>
        <v>2445742.7715996</v>
      </c>
      <c r="AN21" s="176">
        <f t="shared" si="9"/>
        <v>0.162270619134793</v>
      </c>
      <c r="AO21" s="180">
        <f>天气!B6-AN21</f>
        <v>33.7377293808652</v>
      </c>
      <c r="AP21" s="180">
        <f>E21*(AO27+273.15)/217</f>
        <v>1.274943359447</v>
      </c>
      <c r="AQ21" s="180">
        <f t="shared" si="10"/>
        <v>0.02950574773078</v>
      </c>
    </row>
    <row r="22" spans="1:43">
      <c r="A22" s="19"/>
      <c r="B22" s="19"/>
      <c r="C22" s="110" t="s">
        <v>62</v>
      </c>
      <c r="D22" s="150">
        <v>1857.96</v>
      </c>
      <c r="E22" s="169">
        <v>1.85796</v>
      </c>
      <c r="F22" s="145">
        <f>D22*天气!E2*4.18</f>
        <v>4517871.54606216</v>
      </c>
      <c r="G22" s="170">
        <f t="shared" si="4"/>
        <v>0.299752623809857</v>
      </c>
      <c r="H22" s="145">
        <f>天气!B2-G22</f>
        <v>26.4902473761901</v>
      </c>
      <c r="I22" s="145">
        <f>E22*(H26+273.15)/217</f>
        <v>2.56675530036938</v>
      </c>
      <c r="J22" s="145">
        <f t="shared" si="12"/>
        <v>0.0589652033165489</v>
      </c>
      <c r="K22" s="145"/>
      <c r="L22" s="145"/>
      <c r="M22" s="178">
        <f>D22*4.18*天气!E3</f>
        <v>4477189.47925392</v>
      </c>
      <c r="N22" s="172">
        <f t="shared" si="5"/>
        <v>0.297053442094873</v>
      </c>
      <c r="O22" s="178">
        <f>天气!B3-N22</f>
        <v>35.6829465579051</v>
      </c>
      <c r="P22" s="178">
        <f>E22*(O26+273.15)/217</f>
        <v>2.64545239413944</v>
      </c>
      <c r="Q22" s="178">
        <f t="shared" si="1"/>
        <v>0.0564302985098004</v>
      </c>
      <c r="R22" s="178"/>
      <c r="S22" s="178"/>
      <c r="T22" s="179">
        <f>D22*4.18*天气!E4</f>
        <v>4505653.6456932</v>
      </c>
      <c r="U22" s="174">
        <f t="shared" si="6"/>
        <v>0.298941988169666</v>
      </c>
      <c r="V22" s="179">
        <f>天气!B4-U22</f>
        <v>29.2510580118303</v>
      </c>
      <c r="W22" s="179">
        <f>E22*(V26+273.15)/217</f>
        <v>2.59039011846454</v>
      </c>
      <c r="X22" s="179">
        <f t="shared" si="2"/>
        <v>0.0622241200688095</v>
      </c>
      <c r="Y22" s="179"/>
      <c r="Z22" s="179"/>
      <c r="AA22" s="180">
        <f>D22*4.18*天气!E5</f>
        <v>4474179.27191664</v>
      </c>
      <c r="AB22" s="176">
        <f t="shared" si="7"/>
        <v>0.296853720270478</v>
      </c>
      <c r="AC22" s="180">
        <f>天气!B5-AB22</f>
        <v>36.3631462797295</v>
      </c>
      <c r="AD22" s="180">
        <f>E22*(AC26+273.15)/217</f>
        <v>2.65127546528391</v>
      </c>
      <c r="AE22" s="180">
        <f t="shared" si="3"/>
        <v>0.0671378947906789</v>
      </c>
      <c r="AF22" s="180"/>
      <c r="AG22" s="180"/>
      <c r="AH22" s="145">
        <f>D22*4.18*天气!D9</f>
        <v>4492258.2230423</v>
      </c>
      <c r="AI22" s="177">
        <f t="shared" si="8"/>
        <v>0.298053226051108</v>
      </c>
      <c r="AJ22" s="150">
        <f t="shared" si="11"/>
        <v>26.3519467739489</v>
      </c>
      <c r="AM22" s="45">
        <f>D22*4.18*天气!E6</f>
        <v>4486397.1722856</v>
      </c>
      <c r="AN22" s="176">
        <f t="shared" si="9"/>
        <v>0.297664355910669</v>
      </c>
      <c r="AO22" s="180">
        <f>天气!B6-AN22</f>
        <v>33.6023356440893</v>
      </c>
      <c r="AP22" s="180">
        <f>E22*(AO27+273.15)/217</f>
        <v>2.33871785253456</v>
      </c>
      <c r="AQ22" s="180">
        <f t="shared" si="10"/>
        <v>0.054124458517347</v>
      </c>
    </row>
    <row r="23" spans="1:43">
      <c r="A23" s="19"/>
      <c r="B23" s="19"/>
      <c r="C23" s="110" t="s">
        <v>41</v>
      </c>
      <c r="D23" s="150">
        <v>397.8</v>
      </c>
      <c r="E23" s="169">
        <v>0.3978</v>
      </c>
      <c r="F23" s="145">
        <f>D23*天气!E2*4.18</f>
        <v>967302.4720788</v>
      </c>
      <c r="G23" s="170">
        <f t="shared" si="4"/>
        <v>0.064178773359793</v>
      </c>
      <c r="H23" s="145">
        <f>天气!B2-G23</f>
        <v>26.7258212266402</v>
      </c>
      <c r="I23" s="145">
        <f>E23*(H26+273.15)/217</f>
        <v>0.549557180179841</v>
      </c>
      <c r="J23" s="145">
        <f t="shared" si="12"/>
        <v>0.0126247916420823</v>
      </c>
      <c r="K23" s="145"/>
      <c r="L23" s="145"/>
      <c r="M23" s="178">
        <f>D23*4.18*天气!E3</f>
        <v>958592.2058856</v>
      </c>
      <c r="N23" s="172">
        <f t="shared" si="5"/>
        <v>0.0636008629170382</v>
      </c>
      <c r="O23" s="178">
        <f>天气!B3-N23</f>
        <v>35.916399137083</v>
      </c>
      <c r="P23" s="178">
        <f>E23*(O26+273.15)/217</f>
        <v>0.56640668388376</v>
      </c>
      <c r="Q23" s="178">
        <f t="shared" si="1"/>
        <v>0.0120820538371109</v>
      </c>
      <c r="R23" s="178"/>
      <c r="S23" s="178"/>
      <c r="T23" s="179">
        <f>D23*4.18*天气!E4</f>
        <v>964686.548826</v>
      </c>
      <c r="U23" s="174">
        <f t="shared" si="6"/>
        <v>0.0640052115728503</v>
      </c>
      <c r="V23" s="179">
        <f>天气!B4-U23</f>
        <v>29.4859947884271</v>
      </c>
      <c r="W23" s="179">
        <f>E23*(V26+273.15)/217</f>
        <v>0.554617531661173</v>
      </c>
      <c r="X23" s="179">
        <f t="shared" si="2"/>
        <v>0.0133225445991154</v>
      </c>
      <c r="Y23" s="179"/>
      <c r="Z23" s="179"/>
      <c r="AA23" s="180">
        <f>D23*4.18*天气!E5</f>
        <v>957947.7030552</v>
      </c>
      <c r="AB23" s="176">
        <f t="shared" si="7"/>
        <v>0.0635581013173567</v>
      </c>
      <c r="AC23" s="180">
        <f>天气!B5-AB23</f>
        <v>36.5964418986826</v>
      </c>
      <c r="AD23" s="180">
        <f>E23*(AC26+273.15)/217</f>
        <v>0.567653437151467</v>
      </c>
      <c r="AE23" s="180">
        <f t="shared" si="3"/>
        <v>0.0143746122347801</v>
      </c>
      <c r="AF23" s="180"/>
      <c r="AG23" s="180"/>
      <c r="AH23" s="145">
        <f>D23*4.18*天气!D9</f>
        <v>961818.51123072</v>
      </c>
      <c r="AI23" s="177">
        <f t="shared" si="8"/>
        <v>0.0638149224542675</v>
      </c>
      <c r="AJ23" s="150">
        <f t="shared" si="11"/>
        <v>26.5861850775457</v>
      </c>
      <c r="AM23" s="45">
        <f>D23*4.18*天气!E6</f>
        <v>960563.626308</v>
      </c>
      <c r="AN23" s="176">
        <f t="shared" si="9"/>
        <v>0.0637316631042994</v>
      </c>
      <c r="AO23" s="180">
        <f>天气!B6-AN23</f>
        <v>33.8362683368957</v>
      </c>
      <c r="AP23" s="180">
        <f>E23*(AO27+273.15)/217</f>
        <v>0.500733041474654</v>
      </c>
      <c r="AQ23" s="180">
        <f t="shared" si="10"/>
        <v>0.0115883601359559</v>
      </c>
    </row>
    <row r="24" spans="1:43">
      <c r="A24" s="18"/>
      <c r="B24" s="18" t="s">
        <v>102</v>
      </c>
      <c r="C24" s="107" t="s">
        <v>44</v>
      </c>
      <c r="D24" s="150">
        <v>0.72</v>
      </c>
      <c r="E24" s="169">
        <v>0.00072</v>
      </c>
      <c r="F24" s="145">
        <f>D24*天气!E2*4.18</f>
        <v>1750.77370512</v>
      </c>
      <c r="G24" s="170">
        <f t="shared" si="4"/>
        <v>0.000116160675764331</v>
      </c>
      <c r="H24" s="145">
        <f>天气!B2-G24</f>
        <v>26.7898838393242</v>
      </c>
      <c r="I24" s="145">
        <f>E24*(H26+273.15)/217</f>
        <v>0.00099467362928478</v>
      </c>
      <c r="J24" s="145">
        <f t="shared" si="12"/>
        <v>2.28503016146285e-5</v>
      </c>
      <c r="K24" s="145"/>
      <c r="L24" s="145"/>
      <c r="M24" s="178">
        <f>D24*4.18*天气!E3</f>
        <v>1735.00851744</v>
      </c>
      <c r="N24" s="172">
        <f t="shared" si="5"/>
        <v>0.000115114684012739</v>
      </c>
      <c r="O24" s="178">
        <f>天气!B3-N24</f>
        <v>35.979884885316</v>
      </c>
      <c r="P24" s="178">
        <f>E24*(O26+273.15)/217</f>
        <v>0.00102517046856789</v>
      </c>
      <c r="Q24" s="178">
        <f t="shared" si="1"/>
        <v>2.18679707459021e-5</v>
      </c>
      <c r="R24" s="178"/>
      <c r="S24" s="178"/>
      <c r="T24" s="179">
        <f>D24*4.18*天气!E4</f>
        <v>1746.0390024</v>
      </c>
      <c r="U24" s="174">
        <f t="shared" si="6"/>
        <v>0.000115846536783439</v>
      </c>
      <c r="V24" s="179">
        <f>天气!B4-U24</f>
        <v>29.5498841534632</v>
      </c>
      <c r="W24" s="179">
        <f>E24*(V26+273.15)/217</f>
        <v>0.00100383263649081</v>
      </c>
      <c r="X24" s="179">
        <f t="shared" si="2"/>
        <v>2.41132028943265e-5</v>
      </c>
      <c r="Y24" s="179"/>
      <c r="Z24" s="179"/>
      <c r="AA24" s="180">
        <f>D24*4.18*天气!E5</f>
        <v>1733.84199648</v>
      </c>
      <c r="AB24" s="176">
        <f t="shared" si="7"/>
        <v>0.000115037287452229</v>
      </c>
      <c r="AC24" s="180">
        <f>天气!B5-AB24</f>
        <v>36.6598849627125</v>
      </c>
      <c r="AD24" s="180">
        <f>E24*(AC26+273.15)/217</f>
        <v>0.00102742703556827</v>
      </c>
      <c r="AE24" s="180">
        <f t="shared" si="3"/>
        <v>2.60173977100093e-5</v>
      </c>
      <c r="AF24" s="180"/>
      <c r="AG24" s="180"/>
      <c r="AH24" s="145">
        <f>D24*4.18*天气!D9</f>
        <v>1740.847984128</v>
      </c>
      <c r="AI24" s="177">
        <f t="shared" si="8"/>
        <v>0.000115502122089172</v>
      </c>
      <c r="AJ24" s="150">
        <f t="shared" si="11"/>
        <v>26.6498844978779</v>
      </c>
      <c r="AM24" s="45">
        <f>D24*4.18*天气!E6</f>
        <v>1738.5766992</v>
      </c>
      <c r="AN24" s="176">
        <f t="shared" si="9"/>
        <v>0.000115351426433121</v>
      </c>
      <c r="AO24" s="180">
        <f>天气!B6-AN24</f>
        <v>33.8998846485736</v>
      </c>
      <c r="AP24" s="180">
        <f>E24*(AO27+273.15)/217</f>
        <v>0.000906304147465438</v>
      </c>
      <c r="AQ24" s="180">
        <f t="shared" si="10"/>
        <v>2.0974407485893e-5</v>
      </c>
    </row>
    <row r="25" spans="1:43">
      <c r="A25" s="18"/>
      <c r="B25" s="18"/>
      <c r="C25" s="107" t="s">
        <v>66</v>
      </c>
      <c r="D25" s="150">
        <v>0.36</v>
      </c>
      <c r="E25" s="169">
        <v>0.00036</v>
      </c>
      <c r="F25" s="145">
        <f>D25*天气!E2*4.18</f>
        <v>875.38685256</v>
      </c>
      <c r="G25" s="170">
        <f t="shared" si="4"/>
        <v>5.80803378821656e-5</v>
      </c>
      <c r="H25" s="145">
        <f>天气!B2-G25</f>
        <v>26.7899419196621</v>
      </c>
      <c r="I25" s="145">
        <f>E25*(H26+273.15)/217</f>
        <v>0.00049733681464239</v>
      </c>
      <c r="J25" s="145">
        <f t="shared" si="12"/>
        <v>1.14251508073143e-5</v>
      </c>
      <c r="K25" s="145"/>
      <c r="L25" s="145"/>
      <c r="M25" s="178">
        <f>D25*4.18*天气!E3</f>
        <v>867.50425872</v>
      </c>
      <c r="N25" s="172">
        <f t="shared" si="5"/>
        <v>5.75573420063694e-5</v>
      </c>
      <c r="O25" s="178">
        <f>天气!B3-N25</f>
        <v>35.979942442658</v>
      </c>
      <c r="P25" s="178">
        <f>E25*(O26+273.15)/217</f>
        <v>0.000512585234283946</v>
      </c>
      <c r="Q25" s="178">
        <f t="shared" si="1"/>
        <v>1.09339853729511e-5</v>
      </c>
      <c r="R25" s="178"/>
      <c r="S25" s="178"/>
      <c r="T25" s="179">
        <f>D25*4.18*天气!E4</f>
        <v>873.0195012</v>
      </c>
      <c r="U25" s="174">
        <f t="shared" si="6"/>
        <v>5.79232683917197e-5</v>
      </c>
      <c r="V25" s="179">
        <f>天气!B4-U25</f>
        <v>29.5499420767316</v>
      </c>
      <c r="W25" s="179">
        <f>E25*(V26+273.15)/217</f>
        <v>0.000501916318245406</v>
      </c>
      <c r="X25" s="179">
        <f t="shared" si="2"/>
        <v>1.20566014471632e-5</v>
      </c>
      <c r="Y25" s="179"/>
      <c r="Z25" s="179"/>
      <c r="AA25" s="180">
        <f>D25*4.18*天气!E5</f>
        <v>866.92099824</v>
      </c>
      <c r="AB25" s="176">
        <f t="shared" si="7"/>
        <v>5.75186437261146e-5</v>
      </c>
      <c r="AC25" s="180">
        <f>天气!B5-AB25</f>
        <v>36.6599424813563</v>
      </c>
      <c r="AD25" s="180">
        <f>E25*(AC26+273.15)/217</f>
        <v>0.000513713517784133</v>
      </c>
      <c r="AE25" s="180">
        <f t="shared" si="3"/>
        <v>1.30086988550046e-5</v>
      </c>
      <c r="AF25" s="180"/>
      <c r="AG25" s="180"/>
      <c r="AH25" s="145">
        <f>D25*4.18*天气!D9</f>
        <v>870.423992064</v>
      </c>
      <c r="AI25" s="177">
        <f t="shared" si="8"/>
        <v>5.7751061044586e-5</v>
      </c>
      <c r="AJ25" s="150">
        <f t="shared" si="11"/>
        <v>26.649942248939</v>
      </c>
      <c r="AM25" s="45">
        <f>D25*4.18*天气!E6</f>
        <v>869.2883496</v>
      </c>
      <c r="AN25" s="176">
        <f t="shared" si="9"/>
        <v>5.76757132165605e-5</v>
      </c>
      <c r="AO25" s="180">
        <f>天气!B6-AN25</f>
        <v>33.8999423242868</v>
      </c>
      <c r="AP25" s="180">
        <f>E25*(AO27+273.15)/217</f>
        <v>0.000453152073732719</v>
      </c>
      <c r="AQ25" s="180">
        <f t="shared" si="10"/>
        <v>1.04872037429465e-5</v>
      </c>
    </row>
    <row r="26" spans="8:41">
      <c r="H26" s="146">
        <f>AVERAGE(H3:H25)</f>
        <v>26.6335799372185</v>
      </c>
      <c r="J26" s="146">
        <f>AVERAGE(J3:J25)</f>
        <v>0.0307872780321069</v>
      </c>
      <c r="O26" s="171">
        <f>AVERAGE(O3:O25)</f>
        <v>35.8249884433783</v>
      </c>
      <c r="Q26" s="171">
        <f>AVERAGE(Q3:Q25)</f>
        <v>0.0294470528634305</v>
      </c>
      <c r="V26" s="173">
        <f>AVERAGE(V3:V25)</f>
        <v>29.3940029423696</v>
      </c>
      <c r="X26" s="173">
        <f>AVERAGE(X3:X25)</f>
        <v>0.0324704458674529</v>
      </c>
      <c r="AC26" s="175">
        <f>AVERAGE(AC3:AC25)</f>
        <v>36.5050926643248</v>
      </c>
      <c r="AE26" s="175">
        <f>AVERAGE(AE3:AE25)</f>
        <v>0.0350346035595967</v>
      </c>
      <c r="AO26" s="45">
        <f>AVERAGE(AO3:AO25)</f>
        <v>33.7446696498949</v>
      </c>
    </row>
    <row r="30" spans="41:41">
      <c r="AO30" s="45" t="s">
        <v>148</v>
      </c>
    </row>
  </sheetData>
  <mergeCells count="12">
    <mergeCell ref="A8:A11"/>
    <mergeCell ref="A12:A17"/>
    <mergeCell ref="A18:A25"/>
    <mergeCell ref="B8:B9"/>
    <mergeCell ref="B10:B11"/>
    <mergeCell ref="B12:B13"/>
    <mergeCell ref="B14:B17"/>
    <mergeCell ref="B18:B19"/>
    <mergeCell ref="B20:B23"/>
    <mergeCell ref="B24:B25"/>
    <mergeCell ref="A3:B4"/>
    <mergeCell ref="A5:B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J2" sqref="J2:J5"/>
    </sheetView>
  </sheetViews>
  <sheetFormatPr defaultColWidth="8.73333333333333" defaultRowHeight="13.5"/>
  <cols>
    <col min="3" max="4" width="12.8166666666667"/>
    <col min="10" max="10" width="12.8166666666667"/>
  </cols>
  <sheetData>
    <row r="1" spans="2:10">
      <c r="B1" t="s">
        <v>141</v>
      </c>
      <c r="C1" t="s">
        <v>149</v>
      </c>
      <c r="D1" t="s">
        <v>150</v>
      </c>
      <c r="E1" s="1" t="s">
        <v>151</v>
      </c>
      <c r="F1" s="1"/>
      <c r="G1" s="1" t="s">
        <v>95</v>
      </c>
      <c r="H1" s="1" t="s">
        <v>152</v>
      </c>
      <c r="I1" t="s">
        <v>124</v>
      </c>
      <c r="J1" t="s">
        <v>153</v>
      </c>
    </row>
    <row r="2" spans="1:10">
      <c r="A2" t="s">
        <v>154</v>
      </c>
      <c r="B2">
        <v>30.38</v>
      </c>
      <c r="C2">
        <f>21.382-5.3475*1000/(B2+273.15)</f>
        <v>3.76430158468685</v>
      </c>
      <c r="D2">
        <f>POWER(2.71828182,C2)</f>
        <v>43.1335696862727</v>
      </c>
      <c r="E2" s="34">
        <v>0.41</v>
      </c>
      <c r="F2" s="34">
        <v>0.03</v>
      </c>
      <c r="G2" s="34">
        <f>E2+F2</f>
        <v>0.44</v>
      </c>
      <c r="H2" s="34">
        <v>3.04</v>
      </c>
      <c r="I2">
        <f>H2*0.53</f>
        <v>1.6112</v>
      </c>
      <c r="J2">
        <f>(0.8288*B2+0.0613*B2+0.007377*238.02+13.8297*G2-8.7284)*I2-0.0551</f>
        <v>42.083869594848</v>
      </c>
    </row>
    <row r="3" spans="1:10">
      <c r="A3" t="s">
        <v>155</v>
      </c>
      <c r="B3">
        <v>26.59</v>
      </c>
      <c r="C3">
        <f>21.382-5.3475*1000/(B3+273.15)</f>
        <v>3.54153826649763</v>
      </c>
      <c r="D3">
        <f>POWER(2.71828182,C3)</f>
        <v>34.5199789173119</v>
      </c>
      <c r="E3" s="34">
        <v>0.58</v>
      </c>
      <c r="F3" s="34">
        <v>0.04</v>
      </c>
      <c r="G3" s="34">
        <f>E3+F3</f>
        <v>0.62</v>
      </c>
      <c r="H3" s="34">
        <v>3.25</v>
      </c>
      <c r="I3">
        <f>H3*0.53</f>
        <v>1.7225</v>
      </c>
      <c r="J3">
        <f>(0.8288*B3+0.0613*B3+0.007377*238.02+13.8297*G3-8.7284)*I3-0.0551</f>
        <v>43.47186616515</v>
      </c>
    </row>
    <row r="4" spans="1:10">
      <c r="A4" t="s">
        <v>156</v>
      </c>
      <c r="B4">
        <v>20.93</v>
      </c>
      <c r="C4">
        <f>21.382-5.3475*1000/(B4+273.15)</f>
        <v>3.19817247007617</v>
      </c>
      <c r="D4">
        <f>POWER(2.71828182,C4)</f>
        <v>24.4877369630866</v>
      </c>
      <c r="E4" s="34">
        <v>0.61</v>
      </c>
      <c r="F4" s="34">
        <v>0.05</v>
      </c>
      <c r="G4" s="34">
        <f>E4+F4</f>
        <v>0.66</v>
      </c>
      <c r="H4" s="34">
        <v>1.65</v>
      </c>
      <c r="I4">
        <f>H4*0.53</f>
        <v>0.8745</v>
      </c>
      <c r="J4">
        <f>(0.8288*B4+0.0613*B4+0.007377*238.02+13.8297*G4-8.7284)*I4-0.0551</f>
        <v>18.12126753823</v>
      </c>
    </row>
    <row r="5" spans="1:10">
      <c r="A5" t="s">
        <v>157</v>
      </c>
      <c r="B5">
        <v>28.05</v>
      </c>
      <c r="C5">
        <f>21.382-5.3475*1000/(B5+273.15)</f>
        <v>3.62801593625498</v>
      </c>
      <c r="D5">
        <f>POWER(2.71828182,C5)</f>
        <v>37.6380657394263</v>
      </c>
      <c r="E5" s="34">
        <v>0.54</v>
      </c>
      <c r="F5" s="34">
        <v>0.04</v>
      </c>
      <c r="G5" s="34">
        <f>E5+F5</f>
        <v>0.58</v>
      </c>
      <c r="H5" s="34">
        <v>2.29</v>
      </c>
      <c r="I5">
        <f>H5*0.53</f>
        <v>1.2137</v>
      </c>
      <c r="J5">
        <f>(0.8288*B5+0.0613*B5+0.007377*238.02+13.8297*G5-8.7284)*I5-0.0551</f>
        <v>31.520524710198</v>
      </c>
    </row>
    <row r="6" spans="5:8">
      <c r="E6" s="143"/>
      <c r="F6" s="143"/>
      <c r="G6" s="143"/>
      <c r="H6" s="143"/>
    </row>
    <row r="12" spans="5:5">
      <c r="E12" t="s">
        <v>158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17" sqref="G17:H17"/>
    </sheetView>
  </sheetViews>
  <sheetFormatPr defaultColWidth="9.90833333333333" defaultRowHeight="13.5" outlineLevelCol="7"/>
  <cols>
    <col min="1" max="1" width="8.73333333333333" style="161"/>
    <col min="2" max="2" width="11.6416666666667" style="162" customWidth="1"/>
    <col min="7" max="7" width="44.1833333333333" style="163" customWidth="1"/>
    <col min="8" max="8" width="46" customWidth="1"/>
  </cols>
  <sheetData>
    <row r="1" s="160" customFormat="1" ht="33.75" spans="1:8">
      <c r="A1" s="2" t="s">
        <v>72</v>
      </c>
      <c r="B1" s="3" t="s">
        <v>48</v>
      </c>
      <c r="C1" s="2" t="s">
        <v>74</v>
      </c>
      <c r="D1" s="2" t="s">
        <v>78</v>
      </c>
      <c r="E1" s="2" t="s">
        <v>79</v>
      </c>
      <c r="F1" s="2" t="s">
        <v>49</v>
      </c>
      <c r="G1" s="2" t="s">
        <v>159</v>
      </c>
      <c r="H1" s="2"/>
    </row>
    <row r="2" ht="28" customHeight="1" spans="1:8">
      <c r="A2" s="164" t="s">
        <v>17</v>
      </c>
      <c r="B2" s="5" t="s">
        <v>20</v>
      </c>
      <c r="C2" s="4">
        <v>4.56</v>
      </c>
      <c r="D2" s="4">
        <v>22.39</v>
      </c>
      <c r="E2" s="4">
        <v>16.28</v>
      </c>
      <c r="F2" s="132">
        <v>63.72</v>
      </c>
      <c r="G2" s="132" t="s">
        <v>101</v>
      </c>
      <c r="H2" s="132"/>
    </row>
    <row r="3" ht="28" customHeight="1" spans="1:8">
      <c r="A3" s="165"/>
      <c r="B3" s="5" t="s">
        <v>40</v>
      </c>
      <c r="C3" s="4">
        <v>3.11</v>
      </c>
      <c r="D3" s="4">
        <v>13.51</v>
      </c>
      <c r="E3" s="4">
        <v>9.83</v>
      </c>
      <c r="F3" s="133">
        <v>132.149</v>
      </c>
      <c r="G3" s="4" t="s">
        <v>109</v>
      </c>
      <c r="H3" s="4"/>
    </row>
    <row r="4" ht="28" customHeight="1" spans="1:8">
      <c r="A4" s="165"/>
      <c r="B4" s="5" t="s">
        <v>60</v>
      </c>
      <c r="C4" s="4">
        <v>2.64</v>
      </c>
      <c r="D4" s="4">
        <v>10.23</v>
      </c>
      <c r="E4" s="4">
        <v>7.44</v>
      </c>
      <c r="F4" s="133">
        <v>128.14</v>
      </c>
      <c r="G4" s="4" t="s">
        <v>109</v>
      </c>
      <c r="H4" s="4"/>
    </row>
    <row r="5" s="160" customFormat="1" ht="28" customHeight="1" spans="1:8">
      <c r="A5" s="165"/>
      <c r="B5" s="5" t="s">
        <v>22</v>
      </c>
      <c r="C5" s="4">
        <v>9.26</v>
      </c>
      <c r="D5" s="4">
        <v>6.86</v>
      </c>
      <c r="E5" s="4">
        <v>4.99</v>
      </c>
      <c r="F5" s="132">
        <v>50.8</v>
      </c>
      <c r="G5" s="132" t="s">
        <v>118</v>
      </c>
      <c r="H5" s="132"/>
    </row>
    <row r="6" ht="28" customHeight="1" spans="1:8">
      <c r="A6" s="165"/>
      <c r="B6" s="5" t="s">
        <v>28</v>
      </c>
      <c r="C6" s="4">
        <v>3.17</v>
      </c>
      <c r="D6" s="4">
        <v>6.61</v>
      </c>
      <c r="E6" s="4">
        <v>4.41</v>
      </c>
      <c r="F6" s="133">
        <v>44.267</v>
      </c>
      <c r="G6" s="132" t="s">
        <v>109</v>
      </c>
      <c r="H6" s="132"/>
    </row>
    <row r="7" ht="28" customHeight="1" spans="1:8">
      <c r="A7" s="165"/>
      <c r="B7" s="5" t="s">
        <v>55</v>
      </c>
      <c r="C7" s="4">
        <v>2.83</v>
      </c>
      <c r="D7" s="4">
        <v>6.29</v>
      </c>
      <c r="E7" s="4">
        <v>4.57</v>
      </c>
      <c r="F7" s="133">
        <v>86.77</v>
      </c>
      <c r="G7" s="4" t="s">
        <v>109</v>
      </c>
      <c r="H7" s="22"/>
    </row>
    <row r="8" ht="28" customHeight="1" spans="1:8">
      <c r="A8" s="165"/>
      <c r="B8" s="5" t="s">
        <v>18</v>
      </c>
      <c r="C8" s="4">
        <v>1.46</v>
      </c>
      <c r="D8" s="4">
        <v>3.67</v>
      </c>
      <c r="E8" s="4">
        <v>3.27</v>
      </c>
      <c r="F8" s="133">
        <v>54.44</v>
      </c>
      <c r="G8" s="132" t="s">
        <v>99</v>
      </c>
      <c r="H8" s="132"/>
    </row>
    <row r="9" ht="28" customHeight="1" spans="1:8">
      <c r="A9" s="166" t="s">
        <v>36</v>
      </c>
      <c r="B9" s="10" t="s">
        <v>62</v>
      </c>
      <c r="C9" s="9">
        <v>3.18</v>
      </c>
      <c r="D9" s="9">
        <v>8.48</v>
      </c>
      <c r="E9" s="9">
        <v>6.17</v>
      </c>
      <c r="F9" s="136">
        <v>103.22</v>
      </c>
      <c r="G9" s="9" t="s">
        <v>109</v>
      </c>
      <c r="H9" s="9"/>
    </row>
    <row r="10" ht="28" customHeight="1" spans="1:8">
      <c r="A10" s="167"/>
      <c r="B10" s="10" t="s">
        <v>38</v>
      </c>
      <c r="C10" s="9">
        <v>2.98</v>
      </c>
      <c r="D10" s="9">
        <v>7.3</v>
      </c>
      <c r="E10" s="9">
        <v>5.31</v>
      </c>
      <c r="F10" s="136">
        <v>51.56</v>
      </c>
      <c r="G10" s="137" t="s">
        <v>114</v>
      </c>
      <c r="H10" s="137"/>
    </row>
    <row r="11" ht="28" customHeight="1" spans="1:8">
      <c r="A11" s="167"/>
      <c r="B11" s="10" t="s">
        <v>61</v>
      </c>
      <c r="C11" s="9">
        <v>2.82</v>
      </c>
      <c r="D11" s="9">
        <v>4.83</v>
      </c>
      <c r="E11" s="9">
        <v>3.51</v>
      </c>
      <c r="F11" s="136">
        <v>63.6</v>
      </c>
      <c r="G11" s="9" t="s">
        <v>56</v>
      </c>
      <c r="H11" s="9"/>
    </row>
    <row r="12" ht="28" customHeight="1" spans="1:8">
      <c r="A12" s="167"/>
      <c r="B12" s="10" t="s">
        <v>39</v>
      </c>
      <c r="C12" s="9">
        <v>2.75</v>
      </c>
      <c r="D12" s="9">
        <v>3.64</v>
      </c>
      <c r="E12" s="9">
        <v>2.91</v>
      </c>
      <c r="F12" s="136">
        <v>56.27</v>
      </c>
      <c r="G12" s="137" t="s">
        <v>119</v>
      </c>
      <c r="H12" s="137"/>
    </row>
    <row r="13" ht="28" customHeight="1" spans="1:8">
      <c r="A13" s="167"/>
      <c r="B13" s="10" t="s">
        <v>111</v>
      </c>
      <c r="C13" s="9">
        <v>2.49</v>
      </c>
      <c r="D13" s="9">
        <v>3.23</v>
      </c>
      <c r="E13" s="9">
        <v>2.35</v>
      </c>
      <c r="F13" s="136">
        <v>185.861</v>
      </c>
      <c r="G13" s="137" t="s">
        <v>113</v>
      </c>
      <c r="H13" s="137"/>
    </row>
    <row r="14" s="160" customFormat="1" ht="28" customHeight="1" spans="1:8">
      <c r="A14" s="167"/>
      <c r="B14" s="10" t="s">
        <v>41</v>
      </c>
      <c r="C14" s="9">
        <v>3.14</v>
      </c>
      <c r="D14" s="9">
        <v>2.89</v>
      </c>
      <c r="E14" s="9">
        <v>2.1</v>
      </c>
      <c r="F14" s="136">
        <v>22.1</v>
      </c>
      <c r="G14" s="137" t="s">
        <v>119</v>
      </c>
      <c r="H14" s="137"/>
    </row>
    <row r="15" ht="28" customHeight="1" spans="1:8">
      <c r="A15" s="168"/>
      <c r="B15" s="10" t="s">
        <v>43</v>
      </c>
      <c r="C15" s="9">
        <v>3.45</v>
      </c>
      <c r="D15" s="9">
        <v>1.89</v>
      </c>
      <c r="E15" s="9">
        <v>1.37</v>
      </c>
      <c r="F15" s="136">
        <v>89.6</v>
      </c>
      <c r="G15" s="137" t="s">
        <v>115</v>
      </c>
      <c r="H15" s="137"/>
    </row>
    <row r="16" ht="28" customHeight="1" spans="1:8">
      <c r="A16" s="6" t="s">
        <v>102</v>
      </c>
      <c r="B16" s="7" t="s">
        <v>67</v>
      </c>
      <c r="C16" s="6">
        <v>10.24</v>
      </c>
      <c r="D16" s="6">
        <v>4.53</v>
      </c>
      <c r="E16" s="6">
        <v>3.3</v>
      </c>
      <c r="F16" s="138">
        <v>0.18</v>
      </c>
      <c r="G16" s="139" t="s">
        <v>107</v>
      </c>
      <c r="H16" s="139"/>
    </row>
    <row r="17" ht="27" customHeight="1" spans="1:8">
      <c r="A17" s="6"/>
      <c r="B17" s="7" t="s">
        <v>44</v>
      </c>
      <c r="C17" s="6">
        <v>4.11</v>
      </c>
      <c r="D17" s="6">
        <v>6.34</v>
      </c>
      <c r="E17" s="6">
        <v>4.61</v>
      </c>
      <c r="F17" s="138">
        <v>0.04</v>
      </c>
      <c r="G17" s="139" t="s">
        <v>104</v>
      </c>
      <c r="H17" s="139"/>
    </row>
    <row r="18" ht="29" customHeight="1" spans="1:8">
      <c r="A18" s="6"/>
      <c r="B18" s="7" t="s">
        <v>66</v>
      </c>
      <c r="C18" s="6">
        <v>5.02</v>
      </c>
      <c r="D18" s="6">
        <v>6.14</v>
      </c>
      <c r="E18" s="6">
        <v>4.45</v>
      </c>
      <c r="F18" s="138">
        <v>0.02</v>
      </c>
      <c r="G18" s="139" t="s">
        <v>106</v>
      </c>
      <c r="H18" s="139"/>
    </row>
  </sheetData>
  <mergeCells count="21">
    <mergeCell ref="G1:H1"/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2:A8"/>
    <mergeCell ref="A9:A15"/>
    <mergeCell ref="A16:A1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L2" sqref="L2"/>
    </sheetView>
  </sheetViews>
  <sheetFormatPr defaultColWidth="9.90833333333333" defaultRowHeight="13.5"/>
  <cols>
    <col min="4" max="4" width="11.3583333333333" customWidth="1"/>
    <col min="5" max="5" width="12.8166666666667" style="34"/>
    <col min="6" max="6" width="14.4416666666667" style="39" customWidth="1"/>
    <col min="9" max="9" width="17.7583333333333" style="1" customWidth="1"/>
    <col min="10" max="10" width="12.625" style="1"/>
    <col min="12" max="12" width="12.625" style="1"/>
    <col min="14" max="14" width="9.90833333333333" style="1"/>
  </cols>
  <sheetData>
    <row r="1" spans="1:14">
      <c r="A1" s="144" t="s">
        <v>160</v>
      </c>
      <c r="B1" s="144" t="s">
        <v>161</v>
      </c>
      <c r="C1" s="144" t="s">
        <v>151</v>
      </c>
      <c r="D1" s="144" t="s">
        <v>152</v>
      </c>
      <c r="E1" s="145" t="s">
        <v>97</v>
      </c>
      <c r="F1" s="146" t="s">
        <v>162</v>
      </c>
      <c r="H1" t="s">
        <v>163</v>
      </c>
      <c r="I1" s="38" t="s">
        <v>164</v>
      </c>
      <c r="J1" s="38" t="s">
        <v>165</v>
      </c>
      <c r="L1" s="1" t="s">
        <v>166</v>
      </c>
      <c r="M1" t="s">
        <v>167</v>
      </c>
      <c r="N1" s="1" t="s">
        <v>168</v>
      </c>
    </row>
    <row r="2" spans="1:14">
      <c r="A2" s="147" t="s">
        <v>169</v>
      </c>
      <c r="B2" s="144">
        <f>天气!B2</f>
        <v>26.79</v>
      </c>
      <c r="C2" s="144">
        <f>天气!C2</f>
        <v>0.91</v>
      </c>
      <c r="D2" s="144">
        <f>天气!D2</f>
        <v>1.48</v>
      </c>
      <c r="E2" s="145">
        <f>(0.8288*B2+0.0613*B2+0.007377*238.02+13.8297*C2-8.7284)*D2-0.0551</f>
        <v>43.5431537192</v>
      </c>
      <c r="F2" s="146">
        <v>42.08</v>
      </c>
      <c r="H2">
        <v>41</v>
      </c>
      <c r="I2" s="38">
        <f t="shared" ref="I2:I7" si="0">0.735*B2+0.0374*H2+0.00292*B2*H2+7.619*0.7-4.557*0.7*0.7-0.0572*D2-4.064</f>
        <v>23.3830628</v>
      </c>
      <c r="J2" s="38">
        <f>0.735*L2+0.0374*M2+0.00292*L2*M2+7.619*0.7-4.557*0.7*0.7-0.0572*N2-4.064</f>
        <v>23.6346659241894</v>
      </c>
      <c r="L2" s="1">
        <f>不同日期舒适度计算!H26</f>
        <v>26.6335799372185</v>
      </c>
      <c r="M2">
        <v>44</v>
      </c>
      <c r="N2" s="1">
        <f>D2*0.53</f>
        <v>0.7844</v>
      </c>
    </row>
    <row r="3" spans="1:14">
      <c r="A3" s="147" t="s">
        <v>170</v>
      </c>
      <c r="B3" s="144">
        <f>天气!B3</f>
        <v>35.98</v>
      </c>
      <c r="C3" s="144">
        <f>天气!C3</f>
        <v>0.54</v>
      </c>
      <c r="D3" s="144">
        <f>天气!D3</f>
        <v>6.08</v>
      </c>
      <c r="E3" s="145">
        <f t="shared" ref="E2:E7" si="1">(0.8288*B3+0.0613*B3+0.007377*238.02+13.8297*C3-8.7284)*D3-0.0551</f>
        <v>197.6744620032</v>
      </c>
      <c r="F3" s="146">
        <v>43.47</v>
      </c>
      <c r="H3">
        <v>58</v>
      </c>
      <c r="I3" s="38">
        <f t="shared" si="0"/>
        <v>33.3966668</v>
      </c>
      <c r="J3" s="38">
        <f>0.735*L3+0.0374*M3+0.00292*L3*M3+7.619*0.7-4.557*0.7*0.7-0.0572*N3-4.064</f>
        <v>33.9879711336723</v>
      </c>
      <c r="L3" s="1">
        <f>不同日期舒适度计算!O26</f>
        <v>35.8249884433783</v>
      </c>
      <c r="M3">
        <v>62</v>
      </c>
      <c r="N3" s="1">
        <f>D3*0.53</f>
        <v>3.2224</v>
      </c>
    </row>
    <row r="4" spans="1:14">
      <c r="A4" s="147" t="s">
        <v>171</v>
      </c>
      <c r="B4" s="144">
        <f>天气!B4</f>
        <v>29.55</v>
      </c>
      <c r="C4" s="144">
        <f>天气!C4</f>
        <v>0.89</v>
      </c>
      <c r="D4" s="144">
        <f>天气!D4</f>
        <v>3.29</v>
      </c>
      <c r="E4" s="145">
        <f t="shared" si="1"/>
        <v>104.0351094666</v>
      </c>
      <c r="F4" s="146">
        <v>18.12</v>
      </c>
      <c r="H4">
        <v>61</v>
      </c>
      <c r="I4" s="38">
        <f t="shared" si="0"/>
        <v>28.112278</v>
      </c>
      <c r="J4" s="38">
        <f>0.735*L4+0.0374*M4+0.00292*L4*M4+7.619*0.7-4.557*0.7*0.7-0.0572*N4-4.064</f>
        <v>28.6744347696952</v>
      </c>
      <c r="L4" s="1">
        <f>不同日期舒适度计算!V26</f>
        <v>29.3940029423696</v>
      </c>
      <c r="M4">
        <v>66</v>
      </c>
      <c r="N4" s="1">
        <f>D4*0.53</f>
        <v>1.7437</v>
      </c>
    </row>
    <row r="5" spans="1:14">
      <c r="A5" s="148" t="s">
        <v>172</v>
      </c>
      <c r="B5" s="144">
        <f>天气!B5</f>
        <v>36.66</v>
      </c>
      <c r="C5" s="144">
        <f>天气!C5</f>
        <v>0.51</v>
      </c>
      <c r="D5" s="144">
        <f>天气!D5</f>
        <v>4.18</v>
      </c>
      <c r="E5" s="145">
        <f t="shared" si="1"/>
        <v>136.6797497372</v>
      </c>
      <c r="F5" s="146">
        <v>31.52</v>
      </c>
      <c r="H5">
        <v>54</v>
      </c>
      <c r="I5" s="38">
        <f t="shared" si="0"/>
        <v>33.5425228</v>
      </c>
      <c r="J5" s="38">
        <f>0.735*L5+0.0374*M5+0.00292*L5*M5+7.619*0.7-4.557*0.7*0.7-0.0572*N5-4.064</f>
        <v>34.0925947219087</v>
      </c>
      <c r="L5" s="1">
        <f>不同日期舒适度计算!AC26</f>
        <v>36.5050926643248</v>
      </c>
      <c r="M5">
        <v>58</v>
      </c>
      <c r="N5" s="1">
        <f>D5*0.53</f>
        <v>2.2154</v>
      </c>
    </row>
    <row r="6" spans="1:14">
      <c r="A6" s="149" t="s">
        <v>173</v>
      </c>
      <c r="B6" s="144">
        <f>天气!B6</f>
        <v>33.9</v>
      </c>
      <c r="C6" s="144">
        <f>天气!C6</f>
        <v>0.59</v>
      </c>
      <c r="D6" s="144">
        <f>天气!D6</f>
        <v>4.36</v>
      </c>
      <c r="E6" s="150">
        <f t="shared" si="1"/>
        <v>136.6805453144</v>
      </c>
      <c r="F6" s="151"/>
      <c r="H6">
        <v>54</v>
      </c>
      <c r="I6" s="38">
        <f t="shared" si="0"/>
        <v>31.06843</v>
      </c>
      <c r="J6" s="38">
        <f>0.735*L6+0.0374*M6+0.00292*L6*M6+7.619*0.7-4.557*0.7*0.7-0.0572*N6-4.064</f>
        <v>31.5410198568901</v>
      </c>
      <c r="L6" s="1">
        <f>不同日期舒适度计算!AO26</f>
        <v>33.7446696498949</v>
      </c>
      <c r="M6">
        <f>AVERAGE(M2:M5)</f>
        <v>57.5</v>
      </c>
      <c r="N6" s="1">
        <f>AVERAGE(N2:N5)</f>
        <v>1.991475</v>
      </c>
    </row>
    <row r="7" spans="1:9">
      <c r="A7" s="147" t="s">
        <v>174</v>
      </c>
      <c r="B7" s="144">
        <f>天气!B7</f>
        <v>32.576</v>
      </c>
      <c r="C7" s="144">
        <f>天气!C7</f>
        <v>0.688</v>
      </c>
      <c r="D7" s="144">
        <f>天气!D7</f>
        <v>3.878</v>
      </c>
      <c r="E7" s="150">
        <f t="shared" si="1"/>
        <v>122.25005798172</v>
      </c>
      <c r="F7" s="151"/>
      <c r="H7">
        <v>58</v>
      </c>
      <c r="I7" s="38">
        <f t="shared" si="0"/>
        <v>30.44417976</v>
      </c>
    </row>
    <row r="8" spans="2:9">
      <c r="B8" s="144">
        <f>B7-0.16</f>
        <v>32.416</v>
      </c>
      <c r="D8">
        <v>3</v>
      </c>
      <c r="H8">
        <v>68</v>
      </c>
      <c r="I8" s="1">
        <f>0.735*B8+0.0374*H8+0.00292*B8*H8+7.619*0.9-4.557*0.9*0.9-0.0572*D8-4.064</f>
        <v>31.73581096</v>
      </c>
    </row>
    <row r="9" spans="2:9">
      <c r="B9">
        <v>32.09</v>
      </c>
      <c r="D9">
        <v>3</v>
      </c>
      <c r="H9">
        <v>68</v>
      </c>
      <c r="I9" s="1">
        <f>0.735*B9+0.0374*H9+0.00292*B9*H9+7.619*0.9-4.557*0.9*0.9-0.0572*D9-4.064</f>
        <v>31.4314704</v>
      </c>
    </row>
    <row r="10" spans="10:10">
      <c r="J10" s="1" t="s">
        <v>175</v>
      </c>
    </row>
    <row r="12" ht="15.75" spans="1:11">
      <c r="A12" s="152" t="s">
        <v>176</v>
      </c>
      <c r="B12" s="152"/>
      <c r="C12" s="152"/>
      <c r="D12" s="152"/>
      <c r="E12" s="153"/>
      <c r="F12" s="152"/>
      <c r="G12" s="152"/>
      <c r="H12" s="152"/>
      <c r="I12" s="158"/>
      <c r="J12" s="158"/>
      <c r="K12" s="159"/>
    </row>
    <row r="14" spans="2:4">
      <c r="B14" s="39" t="s">
        <v>177</v>
      </c>
      <c r="C14" s="39"/>
      <c r="D14" s="39"/>
    </row>
    <row r="15" ht="14.25" spans="2:7">
      <c r="B15" s="154" t="s">
        <v>178</v>
      </c>
      <c r="C15" s="155"/>
      <c r="D15" s="154"/>
      <c r="E15" s="156"/>
      <c r="F15" s="155"/>
      <c r="G15" s="155"/>
    </row>
    <row r="20" ht="18.75" spans="2:12">
      <c r="B20" s="157" t="s">
        <v>179</v>
      </c>
      <c r="C20" s="157"/>
      <c r="D20" s="157"/>
      <c r="E20" s="157"/>
      <c r="F20" s="157"/>
      <c r="G20" s="157"/>
      <c r="H20" s="157"/>
      <c r="I20" s="157"/>
      <c r="J20" s="158"/>
      <c r="K20" s="159"/>
      <c r="L20" s="158"/>
    </row>
  </sheetData>
  <mergeCells count="3">
    <mergeCell ref="A12:H12"/>
    <mergeCell ref="B14:F14"/>
    <mergeCell ref="B15:G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乔木</vt:lpstr>
      <vt:lpstr>灌木</vt:lpstr>
      <vt:lpstr>草本</vt:lpstr>
      <vt:lpstr>蒸腾</vt:lpstr>
      <vt:lpstr>兴趣区 固碳差值</vt:lpstr>
      <vt:lpstr>不同日期舒适度计算</vt:lpstr>
      <vt:lpstr>不同日期</vt:lpstr>
      <vt:lpstr>论文用</vt:lpstr>
      <vt:lpstr>计算人体舒适度</vt:lpstr>
      <vt:lpstr>天气</vt:lpstr>
      <vt:lpstr>Sheet1</vt:lpstr>
      <vt:lpstr>Sheet2</vt:lpstr>
      <vt:lpstr>对比表</vt:lpstr>
      <vt:lpstr>最后总表</vt:lpstr>
      <vt:lpstr>图2</vt:lpstr>
      <vt:lpstr>前期固碳</vt:lpstr>
      <vt:lpstr>固碳释氧量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WPS_1602151425</cp:lastModifiedBy>
  <dcterms:created xsi:type="dcterms:W3CDTF">2022-09-27T12:19:00Z</dcterms:created>
  <dcterms:modified xsi:type="dcterms:W3CDTF">2025-07-19T01:35:01Z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512A79F070EB4C4AA116B69A199D9799_13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