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ml.chartshapes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ml.chartshapes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ml.chartshapes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ml.chartshapes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ml.chartshapes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9.xml" ContentType="application/vnd.openxmlformats-officedocument.drawingml.chartshapes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0.xml" ContentType="application/vnd.openxmlformats-officedocument.drawingml.chartshapes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1.xml" ContentType="application/vnd.openxmlformats-officedocument.drawingml.chartshapes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1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2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3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4.xml" ContentType="application/vnd.openxmlformats-officedocument.drawingml.chartshapes+xml"/>
  <Override PartName="/xl/charts/chart4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15.xml" ContentType="application/vnd.openxmlformats-officedocument.drawingml.chartshapes+xml"/>
  <Override PartName="/xl/charts/chart4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6.xml" ContentType="application/vnd.openxmlformats-officedocument.drawingml.chartshapes+xml"/>
  <Override PartName="/xl/charts/chart4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17.xml" ContentType="application/vnd.openxmlformats-officedocument.drawingml.chartshapes+xml"/>
  <Override PartName="/xl/charts/chart48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8.xml" ContentType="application/vnd.openxmlformats-officedocument.drawingml.chartsha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C:\Users\jarda\OneDrive\Plocha\Nová složka (3)\"/>
    </mc:Choice>
  </mc:AlternateContent>
  <xr:revisionPtr revIDLastSave="0" documentId="8_{D5742D1D-F6F0-49B2-A877-673198E94973}" xr6:coauthVersionLast="47" xr6:coauthVersionMax="47" xr10:uidLastSave="{00000000-0000-0000-0000-000000000000}"/>
  <bookViews>
    <workbookView xWindow="-108" yWindow="-108" windowWidth="23256" windowHeight="12456" firstSheet="9" activeTab="1" xr2:uid="{00000000-000D-0000-FFFF-FFFF00000000}"/>
  </bookViews>
  <sheets>
    <sheet name="Main" sheetId="38" r:id="rId1"/>
    <sheet name="Ityp-CE9" sheetId="22" r:id="rId2"/>
    <sheet name="Ityp-CE10" sheetId="21" r:id="rId3"/>
    <sheet name="Ityp-CE13" sheetId="39" r:id="rId4"/>
    <sheet name="Ityp-CE15" sheetId="23" r:id="rId5"/>
    <sheet name="Ityp-CE16" sheetId="40" r:id="rId6"/>
    <sheet name="Ityp-CE20" sheetId="41" r:id="rId7"/>
    <sheet name="Ityp-CE21" sheetId="20" r:id="rId8"/>
    <sheet name="Ityp-LIP1" sheetId="42" r:id="rId9"/>
    <sheet name="ANOVA" sheetId="33" r:id="rId10"/>
    <sheet name="A" sheetId="24" state="hidden" r:id="rId11"/>
    <sheet name="B" sheetId="25" state="hidden" r:id="rId12"/>
    <sheet name="C" sheetId="26" state="hidden" r:id="rId13"/>
    <sheet name="D" sheetId="27" state="hidden" r:id="rId14"/>
    <sheet name="T-test" sheetId="37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2" i="37" l="1"/>
  <c r="H141" i="37"/>
  <c r="H140" i="37"/>
  <c r="H135" i="37"/>
  <c r="H134" i="37"/>
  <c r="H133" i="37"/>
  <c r="I129" i="37"/>
  <c r="H129" i="37"/>
  <c r="I128" i="37"/>
  <c r="H128" i="37"/>
  <c r="I127" i="37"/>
  <c r="H127" i="37"/>
  <c r="I123" i="37"/>
  <c r="H123" i="37"/>
  <c r="I122" i="37"/>
  <c r="H122" i="37"/>
  <c r="I121" i="37"/>
  <c r="H121" i="37"/>
  <c r="H117" i="37"/>
  <c r="H116" i="37"/>
  <c r="H115" i="37"/>
  <c r="H114" i="37"/>
  <c r="U105" i="37"/>
  <c r="H105" i="37"/>
  <c r="U104" i="37"/>
  <c r="H104" i="37"/>
  <c r="U103" i="37"/>
  <c r="H103" i="37"/>
  <c r="U98" i="37"/>
  <c r="H98" i="37"/>
  <c r="U97" i="37"/>
  <c r="H97" i="37"/>
  <c r="U96" i="37"/>
  <c r="H96" i="37"/>
  <c r="V92" i="37"/>
  <c r="U92" i="37"/>
  <c r="I92" i="37"/>
  <c r="H92" i="37"/>
  <c r="V91" i="37"/>
  <c r="U91" i="37"/>
  <c r="I91" i="37"/>
  <c r="H91" i="37"/>
  <c r="V90" i="37"/>
  <c r="U90" i="37"/>
  <c r="I90" i="37"/>
  <c r="H90" i="37"/>
  <c r="V86" i="37"/>
  <c r="U86" i="37"/>
  <c r="I86" i="37"/>
  <c r="H86" i="37"/>
  <c r="V85" i="37"/>
  <c r="U85" i="37"/>
  <c r="I85" i="37"/>
  <c r="H85" i="37"/>
  <c r="V84" i="37"/>
  <c r="U84" i="37"/>
  <c r="I84" i="37"/>
  <c r="H84" i="37"/>
  <c r="U80" i="37"/>
  <c r="H80" i="37"/>
  <c r="U79" i="37"/>
  <c r="H79" i="37"/>
  <c r="U78" i="37"/>
  <c r="H78" i="37"/>
  <c r="U77" i="37"/>
  <c r="H77" i="37"/>
  <c r="L101" i="41"/>
  <c r="L100" i="41"/>
  <c r="L99" i="41"/>
  <c r="L98" i="41"/>
  <c r="L94" i="41"/>
  <c r="L93" i="41"/>
  <c r="L92" i="41"/>
  <c r="L91" i="41"/>
  <c r="L88" i="41"/>
  <c r="L87" i="41"/>
  <c r="L86" i="41"/>
  <c r="L85" i="41"/>
  <c r="R85" i="41" s="1"/>
  <c r="S85" i="41" s="1"/>
  <c r="L82" i="41"/>
  <c r="L81" i="41"/>
  <c r="L80" i="41"/>
  <c r="L79" i="41"/>
  <c r="L76" i="41"/>
  <c r="L75" i="41"/>
  <c r="L74" i="41"/>
  <c r="L73" i="41"/>
  <c r="L70" i="41"/>
  <c r="L69" i="41"/>
  <c r="L68" i="41"/>
  <c r="L67" i="41"/>
  <c r="R67" i="41" s="1"/>
  <c r="S67" i="41" s="1"/>
  <c r="L64" i="41"/>
  <c r="L63" i="41"/>
  <c r="L62" i="41"/>
  <c r="L61" i="41"/>
  <c r="L57" i="41"/>
  <c r="L56" i="41"/>
  <c r="L55" i="41"/>
  <c r="L54" i="41"/>
  <c r="L51" i="41"/>
  <c r="L50" i="41"/>
  <c r="L49" i="41"/>
  <c r="L48" i="41"/>
  <c r="M48" i="41" s="1"/>
  <c r="L45" i="41"/>
  <c r="L44" i="41"/>
  <c r="L43" i="41"/>
  <c r="L42" i="41"/>
  <c r="L38" i="41"/>
  <c r="L37" i="41"/>
  <c r="L36" i="41"/>
  <c r="L35" i="41"/>
  <c r="R35" i="41" s="1"/>
  <c r="S35" i="41" s="1"/>
  <c r="L32" i="41"/>
  <c r="L31" i="41"/>
  <c r="L30" i="41"/>
  <c r="L29" i="41"/>
  <c r="M29" i="41" s="1"/>
  <c r="L26" i="41"/>
  <c r="L25" i="41"/>
  <c r="L24" i="41"/>
  <c r="L23" i="41"/>
  <c r="R23" i="41" s="1"/>
  <c r="S23" i="41" s="1"/>
  <c r="L19" i="41"/>
  <c r="L18" i="41"/>
  <c r="L17" i="41"/>
  <c r="L16" i="41"/>
  <c r="M16" i="41" s="1"/>
  <c r="L14" i="41"/>
  <c r="L13" i="41"/>
  <c r="L12" i="41"/>
  <c r="L11" i="41"/>
  <c r="R11" i="41" s="1"/>
  <c r="S11" i="41" s="1"/>
  <c r="L9" i="41"/>
  <c r="L8" i="41"/>
  <c r="L7" i="41"/>
  <c r="L6" i="41"/>
  <c r="M6" i="41" s="1"/>
  <c r="L101" i="40"/>
  <c r="L100" i="40"/>
  <c r="L99" i="40"/>
  <c r="R98" i="40" s="1"/>
  <c r="S98" i="40" s="1"/>
  <c r="L98" i="40"/>
  <c r="L94" i="40"/>
  <c r="L93" i="40"/>
  <c r="L92" i="40"/>
  <c r="L91" i="40"/>
  <c r="L88" i="40"/>
  <c r="L87" i="40"/>
  <c r="L86" i="40"/>
  <c r="L85" i="40"/>
  <c r="L82" i="40"/>
  <c r="L81" i="40"/>
  <c r="L80" i="40"/>
  <c r="R79" i="40" s="1"/>
  <c r="S79" i="40" s="1"/>
  <c r="L79" i="40"/>
  <c r="L76" i="40"/>
  <c r="L75" i="40"/>
  <c r="L74" i="40"/>
  <c r="L73" i="40"/>
  <c r="L70" i="40"/>
  <c r="L69" i="40"/>
  <c r="L68" i="40"/>
  <c r="L67" i="40"/>
  <c r="R67" i="40" s="1"/>
  <c r="S67" i="40" s="1"/>
  <c r="L64" i="40"/>
  <c r="L63" i="40"/>
  <c r="L62" i="40"/>
  <c r="M61" i="40" s="1"/>
  <c r="L61" i="40"/>
  <c r="L57" i="40"/>
  <c r="L56" i="40"/>
  <c r="L55" i="40"/>
  <c r="L54" i="40"/>
  <c r="L51" i="40"/>
  <c r="L50" i="40"/>
  <c r="L49" i="40"/>
  <c r="L48" i="40"/>
  <c r="R48" i="40" s="1"/>
  <c r="S48" i="40" s="1"/>
  <c r="L45" i="40"/>
  <c r="L44" i="40"/>
  <c r="L43" i="40"/>
  <c r="R42" i="40" s="1"/>
  <c r="S42" i="40" s="1"/>
  <c r="L42" i="40"/>
  <c r="L38" i="40"/>
  <c r="L37" i="40"/>
  <c r="L36" i="40"/>
  <c r="L35" i="40"/>
  <c r="L32" i="40"/>
  <c r="L31" i="40"/>
  <c r="L30" i="40"/>
  <c r="L29" i="40"/>
  <c r="R29" i="40" s="1"/>
  <c r="S29" i="40" s="1"/>
  <c r="L26" i="40"/>
  <c r="L25" i="40"/>
  <c r="L24" i="40"/>
  <c r="R23" i="40" s="1"/>
  <c r="S23" i="40" s="1"/>
  <c r="L23" i="40"/>
  <c r="L19" i="40"/>
  <c r="L18" i="40"/>
  <c r="L17" i="40"/>
  <c r="L16" i="40"/>
  <c r="L14" i="40"/>
  <c r="L13" i="40"/>
  <c r="L12" i="40"/>
  <c r="L11" i="40"/>
  <c r="R11" i="40" s="1"/>
  <c r="S11" i="40" s="1"/>
  <c r="L9" i="40"/>
  <c r="L8" i="40"/>
  <c r="L7" i="40"/>
  <c r="R6" i="40" s="1"/>
  <c r="S6" i="40" s="1"/>
  <c r="L6" i="40"/>
  <c r="R98" i="41"/>
  <c r="S98" i="41" s="1"/>
  <c r="M98" i="41"/>
  <c r="R91" i="41"/>
  <c r="S91" i="41" s="1"/>
  <c r="R79" i="41"/>
  <c r="S79" i="41" s="1"/>
  <c r="M79" i="41"/>
  <c r="R73" i="41"/>
  <c r="S73" i="41" s="1"/>
  <c r="M73" i="41"/>
  <c r="R61" i="41"/>
  <c r="S61" i="41" s="1"/>
  <c r="M61" i="41"/>
  <c r="R54" i="41"/>
  <c r="S54" i="41" s="1"/>
  <c r="M54" i="41"/>
  <c r="R42" i="41"/>
  <c r="S42" i="41" s="1"/>
  <c r="M42" i="41"/>
  <c r="M35" i="41"/>
  <c r="M23" i="41"/>
  <c r="R6" i="41"/>
  <c r="S6" i="41" s="1"/>
  <c r="R91" i="40"/>
  <c r="S91" i="40" s="1"/>
  <c r="R73" i="40"/>
  <c r="S73" i="40" s="1"/>
  <c r="R54" i="40"/>
  <c r="S54" i="40" s="1"/>
  <c r="R35" i="40"/>
  <c r="S35" i="40" s="1"/>
  <c r="R16" i="40"/>
  <c r="S16" i="40" s="1"/>
  <c r="S98" i="39"/>
  <c r="S91" i="39"/>
  <c r="S85" i="39"/>
  <c r="S79" i="39"/>
  <c r="S73" i="39"/>
  <c r="S67" i="39"/>
  <c r="S61" i="39"/>
  <c r="S54" i="39"/>
  <c r="S48" i="39"/>
  <c r="S42" i="39"/>
  <c r="S35" i="39"/>
  <c r="S29" i="39"/>
  <c r="S23" i="39"/>
  <c r="S16" i="39"/>
  <c r="S11" i="39"/>
  <c r="S6" i="39"/>
  <c r="R98" i="39"/>
  <c r="R91" i="39"/>
  <c r="R85" i="39"/>
  <c r="R79" i="39"/>
  <c r="R73" i="39"/>
  <c r="R67" i="39"/>
  <c r="R61" i="39"/>
  <c r="R54" i="39"/>
  <c r="R48" i="39"/>
  <c r="R42" i="39"/>
  <c r="R35" i="39"/>
  <c r="R29" i="39"/>
  <c r="R23" i="39"/>
  <c r="R16" i="39"/>
  <c r="R11" i="39"/>
  <c r="R6" i="39"/>
  <c r="M6" i="39"/>
  <c r="M61" i="39"/>
  <c r="M98" i="39"/>
  <c r="M11" i="39"/>
  <c r="M16" i="39"/>
  <c r="M23" i="39"/>
  <c r="M29" i="39"/>
  <c r="M35" i="39"/>
  <c r="M42" i="39"/>
  <c r="M48" i="39"/>
  <c r="M54" i="39"/>
  <c r="M67" i="39"/>
  <c r="M73" i="39"/>
  <c r="M79" i="39"/>
  <c r="M85" i="39"/>
  <c r="M91" i="39"/>
  <c r="L7" i="39"/>
  <c r="L8" i="39"/>
  <c r="L9" i="39"/>
  <c r="L11" i="39"/>
  <c r="L12" i="39"/>
  <c r="L13" i="39"/>
  <c r="L14" i="39"/>
  <c r="L16" i="39"/>
  <c r="L17" i="39"/>
  <c r="L18" i="39"/>
  <c r="L19" i="39"/>
  <c r="L23" i="39"/>
  <c r="L24" i="39"/>
  <c r="L25" i="39"/>
  <c r="L26" i="39"/>
  <c r="L29" i="39"/>
  <c r="L30" i="39"/>
  <c r="L31" i="39"/>
  <c r="L32" i="39"/>
  <c r="L35" i="39"/>
  <c r="L36" i="39"/>
  <c r="L37" i="39"/>
  <c r="L38" i="39"/>
  <c r="L42" i="39"/>
  <c r="L43" i="39"/>
  <c r="L44" i="39"/>
  <c r="L45" i="39"/>
  <c r="L48" i="39"/>
  <c r="L49" i="39"/>
  <c r="L50" i="39"/>
  <c r="L51" i="39"/>
  <c r="L54" i="39"/>
  <c r="L55" i="39"/>
  <c r="L56" i="39"/>
  <c r="L57" i="39"/>
  <c r="L61" i="39"/>
  <c r="L62" i="39"/>
  <c r="L63" i="39"/>
  <c r="L64" i="39"/>
  <c r="L67" i="39"/>
  <c r="L68" i="39"/>
  <c r="L69" i="39"/>
  <c r="L70" i="39"/>
  <c r="L73" i="39"/>
  <c r="L74" i="39"/>
  <c r="L75" i="39"/>
  <c r="L76" i="39"/>
  <c r="L79" i="39"/>
  <c r="L80" i="39"/>
  <c r="L81" i="39"/>
  <c r="L82" i="39"/>
  <c r="L85" i="39"/>
  <c r="L86" i="39"/>
  <c r="L87" i="39"/>
  <c r="L88" i="39"/>
  <c r="L91" i="39"/>
  <c r="L92" i="39"/>
  <c r="L93" i="39"/>
  <c r="L94" i="39"/>
  <c r="L98" i="39"/>
  <c r="L99" i="39"/>
  <c r="L100" i="39"/>
  <c r="L101" i="39"/>
  <c r="L6" i="39"/>
  <c r="J6" i="41"/>
  <c r="J101" i="41"/>
  <c r="J100" i="41"/>
  <c r="J99" i="41"/>
  <c r="J98" i="41"/>
  <c r="J94" i="41"/>
  <c r="J93" i="41"/>
  <c r="J92" i="41"/>
  <c r="J91" i="41"/>
  <c r="J88" i="41"/>
  <c r="J87" i="41"/>
  <c r="J86" i="41"/>
  <c r="J85" i="41"/>
  <c r="J82" i="41"/>
  <c r="J81" i="41"/>
  <c r="J80" i="41"/>
  <c r="J79" i="41"/>
  <c r="J76" i="41"/>
  <c r="J75" i="41"/>
  <c r="J74" i="41"/>
  <c r="J73" i="41"/>
  <c r="J70" i="41"/>
  <c r="J69" i="41"/>
  <c r="J68" i="41"/>
  <c r="J67" i="41"/>
  <c r="J64" i="41"/>
  <c r="J63" i="41"/>
  <c r="J62" i="41"/>
  <c r="J61" i="41"/>
  <c r="J57" i="41"/>
  <c r="J56" i="41"/>
  <c r="J55" i="41"/>
  <c r="J54" i="41"/>
  <c r="J51" i="41"/>
  <c r="J50" i="41"/>
  <c r="J49" i="41"/>
  <c r="J48" i="41"/>
  <c r="J45" i="41"/>
  <c r="J44" i="41"/>
  <c r="J43" i="41"/>
  <c r="J42" i="41"/>
  <c r="J38" i="41"/>
  <c r="J37" i="41"/>
  <c r="J36" i="41"/>
  <c r="J35" i="41"/>
  <c r="J32" i="41"/>
  <c r="J31" i="41"/>
  <c r="J30" i="41"/>
  <c r="J29" i="41"/>
  <c r="J26" i="41"/>
  <c r="J25" i="41"/>
  <c r="J24" i="41"/>
  <c r="J23" i="41"/>
  <c r="J19" i="41"/>
  <c r="J18" i="41"/>
  <c r="J17" i="41"/>
  <c r="J16" i="41"/>
  <c r="J14" i="41"/>
  <c r="J13" i="41"/>
  <c r="J12" i="41"/>
  <c r="J11" i="41"/>
  <c r="J9" i="41"/>
  <c r="J8" i="41"/>
  <c r="J7" i="41"/>
  <c r="J101" i="40"/>
  <c r="J100" i="40"/>
  <c r="J99" i="40"/>
  <c r="J98" i="40"/>
  <c r="J94" i="40"/>
  <c r="J93" i="40"/>
  <c r="J92" i="40"/>
  <c r="J91" i="40"/>
  <c r="J88" i="40"/>
  <c r="J87" i="40"/>
  <c r="J86" i="40"/>
  <c r="J85" i="40"/>
  <c r="J82" i="40"/>
  <c r="J81" i="40"/>
  <c r="J80" i="40"/>
  <c r="J79" i="40"/>
  <c r="J76" i="40"/>
  <c r="J75" i="40"/>
  <c r="J74" i="40"/>
  <c r="J73" i="40"/>
  <c r="J70" i="40"/>
  <c r="J69" i="40"/>
  <c r="J68" i="40"/>
  <c r="J67" i="40"/>
  <c r="J64" i="40"/>
  <c r="J63" i="40"/>
  <c r="J62" i="40"/>
  <c r="J61" i="40"/>
  <c r="J57" i="40"/>
  <c r="J56" i="40"/>
  <c r="J55" i="40"/>
  <c r="J54" i="40"/>
  <c r="J51" i="40"/>
  <c r="J50" i="40"/>
  <c r="J49" i="40"/>
  <c r="J48" i="40"/>
  <c r="J45" i="40"/>
  <c r="J44" i="40"/>
  <c r="J43" i="40"/>
  <c r="J42" i="40"/>
  <c r="J38" i="40"/>
  <c r="J37" i="40"/>
  <c r="J36" i="40"/>
  <c r="J35" i="40"/>
  <c r="J32" i="40"/>
  <c r="J31" i="40"/>
  <c r="J30" i="40"/>
  <c r="J29" i="40"/>
  <c r="J26" i="40"/>
  <c r="J25" i="40"/>
  <c r="J24" i="40"/>
  <c r="J23" i="40"/>
  <c r="J19" i="40"/>
  <c r="J18" i="40"/>
  <c r="J17" i="40"/>
  <c r="J16" i="40"/>
  <c r="J14" i="40"/>
  <c r="J13" i="40"/>
  <c r="J12" i="40"/>
  <c r="J11" i="40"/>
  <c r="J9" i="40"/>
  <c r="J8" i="40"/>
  <c r="J7" i="40"/>
  <c r="J6" i="40"/>
  <c r="J7" i="39"/>
  <c r="J8" i="39"/>
  <c r="J9" i="39"/>
  <c r="J11" i="39"/>
  <c r="J12" i="39"/>
  <c r="J13" i="39"/>
  <c r="J14" i="39"/>
  <c r="J16" i="39"/>
  <c r="J17" i="39"/>
  <c r="J18" i="39"/>
  <c r="J19" i="39"/>
  <c r="J23" i="39"/>
  <c r="J24" i="39"/>
  <c r="J25" i="39"/>
  <c r="J26" i="39"/>
  <c r="J29" i="39"/>
  <c r="J30" i="39"/>
  <c r="J31" i="39"/>
  <c r="J32" i="39"/>
  <c r="J35" i="39"/>
  <c r="J36" i="39"/>
  <c r="J37" i="39"/>
  <c r="J38" i="39"/>
  <c r="J42" i="39"/>
  <c r="J43" i="39"/>
  <c r="J44" i="39"/>
  <c r="J45" i="39"/>
  <c r="J48" i="39"/>
  <c r="J49" i="39"/>
  <c r="J50" i="39"/>
  <c r="J51" i="39"/>
  <c r="J54" i="39"/>
  <c r="J55" i="39"/>
  <c r="J56" i="39"/>
  <c r="J57" i="39"/>
  <c r="J61" i="39"/>
  <c r="J62" i="39"/>
  <c r="J63" i="39"/>
  <c r="J64" i="39"/>
  <c r="J67" i="39"/>
  <c r="J68" i="39"/>
  <c r="J69" i="39"/>
  <c r="J70" i="39"/>
  <c r="J73" i="39"/>
  <c r="J74" i="39"/>
  <c r="J75" i="39"/>
  <c r="J76" i="39"/>
  <c r="J79" i="39"/>
  <c r="J80" i="39"/>
  <c r="J81" i="39"/>
  <c r="J82" i="39"/>
  <c r="J85" i="39"/>
  <c r="J86" i="39"/>
  <c r="J87" i="39"/>
  <c r="J88" i="39"/>
  <c r="J91" i="39"/>
  <c r="J92" i="39"/>
  <c r="J93" i="39"/>
  <c r="J94" i="39"/>
  <c r="J98" i="39"/>
  <c r="J99" i="39"/>
  <c r="J100" i="39"/>
  <c r="J101" i="39"/>
  <c r="J6" i="39"/>
  <c r="J4" i="20"/>
  <c r="M4" i="20"/>
  <c r="J14" i="37"/>
  <c r="V56" i="37"/>
  <c r="U56" i="37"/>
  <c r="V55" i="37"/>
  <c r="U55" i="37"/>
  <c r="V54" i="37"/>
  <c r="U54" i="37"/>
  <c r="W50" i="37"/>
  <c r="W49" i="37"/>
  <c r="W48" i="37"/>
  <c r="I56" i="37"/>
  <c r="H56" i="37"/>
  <c r="I55" i="37"/>
  <c r="H55" i="37"/>
  <c r="I54" i="37"/>
  <c r="H54" i="37"/>
  <c r="J50" i="37"/>
  <c r="I50" i="37"/>
  <c r="J49" i="37"/>
  <c r="J48" i="37"/>
  <c r="V21" i="37"/>
  <c r="V20" i="37"/>
  <c r="V19" i="37"/>
  <c r="W15" i="37"/>
  <c r="V15" i="37"/>
  <c r="W14" i="37"/>
  <c r="W13" i="37"/>
  <c r="R48" i="41" l="1"/>
  <c r="S48" i="41" s="1"/>
  <c r="M85" i="41"/>
  <c r="R16" i="41"/>
  <c r="S16" i="41" s="1"/>
  <c r="M11" i="41"/>
  <c r="R29" i="41"/>
  <c r="S29" i="41" s="1"/>
  <c r="M67" i="41"/>
  <c r="M91" i="41"/>
  <c r="R85" i="40"/>
  <c r="S85" i="40" s="1"/>
  <c r="M6" i="40"/>
  <c r="M23" i="40"/>
  <c r="M42" i="40"/>
  <c r="M79" i="40"/>
  <c r="M98" i="40"/>
  <c r="R61" i="40"/>
  <c r="S61" i="40" s="1"/>
  <c r="M11" i="40"/>
  <c r="M29" i="40"/>
  <c r="M48" i="40"/>
  <c r="M67" i="40"/>
  <c r="M85" i="40"/>
  <c r="M16" i="40"/>
  <c r="M35" i="40"/>
  <c r="M54" i="40"/>
  <c r="M73" i="40"/>
  <c r="M91" i="40"/>
  <c r="H9" i="37"/>
  <c r="H8" i="37"/>
  <c r="H7" i="37"/>
  <c r="H6" i="37"/>
  <c r="J13" i="37"/>
  <c r="I14" i="37"/>
  <c r="I13" i="37"/>
  <c r="I15" i="37"/>
  <c r="J17" i="20"/>
  <c r="L17" i="20" s="1"/>
  <c r="J16" i="20"/>
  <c r="L16" i="20" s="1"/>
  <c r="J15" i="20"/>
  <c r="L15" i="20" s="1"/>
  <c r="J14" i="20"/>
  <c r="L14" i="20" s="1"/>
  <c r="I21" i="37"/>
  <c r="I20" i="37"/>
  <c r="I19" i="37"/>
  <c r="J15" i="37"/>
  <c r="R14" i="20" l="1"/>
  <c r="S14" i="20" s="1"/>
  <c r="M14" i="20"/>
  <c r="J92" i="20"/>
  <c r="L92" i="20" s="1"/>
  <c r="J93" i="20"/>
  <c r="L93" i="20" s="1"/>
  <c r="J91" i="20"/>
  <c r="L91" i="20" s="1"/>
  <c r="J90" i="20"/>
  <c r="L90" i="20" s="1"/>
  <c r="J89" i="20"/>
  <c r="L89" i="20" s="1"/>
  <c r="I96" i="23"/>
  <c r="K96" i="23" s="1"/>
  <c r="I97" i="23"/>
  <c r="K97" i="23" s="1"/>
  <c r="I95" i="23"/>
  <c r="K95" i="23" s="1"/>
  <c r="I94" i="23"/>
  <c r="K94" i="23" s="1"/>
  <c r="I93" i="23"/>
  <c r="K93" i="23" s="1"/>
  <c r="I96" i="22"/>
  <c r="K96" i="22" s="1"/>
  <c r="I97" i="22"/>
  <c r="K97" i="22" s="1"/>
  <c r="I95" i="22"/>
  <c r="K95" i="22" s="1"/>
  <c r="I94" i="22"/>
  <c r="K94" i="22" s="1"/>
  <c r="L93" i="22" s="1"/>
  <c r="I93" i="22"/>
  <c r="K93" i="22" s="1"/>
  <c r="I95" i="21"/>
  <c r="K95" i="21" s="1"/>
  <c r="I96" i="21"/>
  <c r="K96" i="21" s="1"/>
  <c r="I94" i="21"/>
  <c r="K94" i="21" s="1"/>
  <c r="I93" i="21"/>
  <c r="K93" i="21" s="1"/>
  <c r="I92" i="21"/>
  <c r="K92" i="21" s="1"/>
  <c r="I98" i="21"/>
  <c r="K98" i="21" s="1"/>
  <c r="H21" i="37"/>
  <c r="H20" i="37"/>
  <c r="H19" i="37"/>
  <c r="L93" i="23" l="1"/>
  <c r="Q92" i="21"/>
  <c r="R92" i="21" s="1"/>
  <c r="L92" i="21"/>
  <c r="Q93" i="23"/>
  <c r="R93" i="23" s="1"/>
  <c r="Q93" i="22"/>
  <c r="R93" i="22" s="1"/>
  <c r="M89" i="20"/>
  <c r="R89" i="20"/>
  <c r="S89" i="20" s="1"/>
  <c r="I25" i="27"/>
  <c r="I30" i="25"/>
  <c r="I29" i="25"/>
  <c r="I28" i="25"/>
  <c r="I18" i="27"/>
  <c r="I29" i="24"/>
  <c r="I34" i="25"/>
  <c r="I27" i="27"/>
  <c r="I26" i="27"/>
  <c r="I28" i="27"/>
  <c r="I29" i="27"/>
  <c r="I30" i="27"/>
  <c r="I31" i="27"/>
  <c r="I16" i="27"/>
  <c r="I31" i="26"/>
  <c r="I17" i="27"/>
  <c r="I19" i="27"/>
  <c r="I20" i="27"/>
  <c r="I21" i="27"/>
  <c r="I22" i="27"/>
  <c r="I22" i="26"/>
  <c r="I24" i="26"/>
  <c r="I32" i="26"/>
  <c r="I33" i="26"/>
  <c r="I34" i="26"/>
  <c r="I35" i="26"/>
  <c r="I36" i="26"/>
  <c r="I37" i="26"/>
  <c r="I23" i="26"/>
  <c r="I25" i="26"/>
  <c r="I26" i="26"/>
  <c r="I27" i="26"/>
  <c r="I28" i="26"/>
  <c r="I31" i="25"/>
  <c r="I32" i="25"/>
  <c r="I33" i="25"/>
  <c r="I18" i="25"/>
  <c r="I18" i="24"/>
  <c r="I27" i="24"/>
  <c r="I19" i="25"/>
  <c r="I20" i="25"/>
  <c r="I21" i="25"/>
  <c r="I22" i="25"/>
  <c r="I23" i="25"/>
  <c r="I24" i="25"/>
  <c r="I28" i="24"/>
  <c r="I30" i="24"/>
  <c r="I31" i="24"/>
  <c r="I32" i="24"/>
  <c r="I33" i="24"/>
  <c r="I20" i="24"/>
  <c r="I24" i="24"/>
  <c r="I19" i="24"/>
  <c r="I21" i="24"/>
  <c r="I22" i="24"/>
  <c r="I23" i="24"/>
  <c r="H27" i="27" l="1"/>
  <c r="H26" i="27"/>
  <c r="H25" i="27"/>
  <c r="H16" i="27"/>
  <c r="H33" i="26"/>
  <c r="H32" i="26"/>
  <c r="H31" i="26"/>
  <c r="H24" i="26"/>
  <c r="H22" i="26"/>
  <c r="H30" i="25"/>
  <c r="H29" i="25"/>
  <c r="H28" i="25"/>
  <c r="H20" i="25"/>
  <c r="H18" i="25"/>
  <c r="I4" i="22"/>
  <c r="D12" i="27" l="1"/>
  <c r="D11" i="27"/>
  <c r="D10" i="27"/>
  <c r="D9" i="27"/>
  <c r="D8" i="27"/>
  <c r="D7" i="27"/>
  <c r="D6" i="27"/>
  <c r="D5" i="27"/>
  <c r="D4" i="27"/>
  <c r="D3" i="27"/>
  <c r="D13" i="26"/>
  <c r="D12" i="26"/>
  <c r="D11" i="26"/>
  <c r="D10" i="26"/>
  <c r="D9" i="26"/>
  <c r="D8" i="26"/>
  <c r="D7" i="26"/>
  <c r="D6" i="26"/>
  <c r="D5" i="26"/>
  <c r="D4" i="26"/>
  <c r="I57" i="21"/>
  <c r="K57" i="21" s="1"/>
  <c r="D12" i="25"/>
  <c r="D11" i="25"/>
  <c r="D10" i="25"/>
  <c r="D9" i="25"/>
  <c r="D8" i="25"/>
  <c r="D7" i="25"/>
  <c r="D6" i="25"/>
  <c r="D5" i="25"/>
  <c r="D4" i="25"/>
  <c r="D3" i="25"/>
  <c r="D13" i="24"/>
  <c r="D12" i="24"/>
  <c r="D11" i="24"/>
  <c r="D10" i="24"/>
  <c r="D9" i="24"/>
  <c r="D8" i="24"/>
  <c r="D7" i="24"/>
  <c r="D6" i="24"/>
  <c r="D5" i="24"/>
  <c r="D4" i="24"/>
  <c r="J30" i="20"/>
  <c r="L30" i="20" s="1"/>
  <c r="J40" i="20"/>
  <c r="L40" i="20" s="1"/>
  <c r="K4" i="22"/>
  <c r="I30" i="23" l="1"/>
  <c r="K30" i="23" s="1"/>
  <c r="I32" i="23"/>
  <c r="K32" i="23" s="1"/>
  <c r="I33" i="23"/>
  <c r="K33" i="23" s="1"/>
  <c r="I30" i="22"/>
  <c r="K30" i="22" s="1"/>
  <c r="I99" i="23"/>
  <c r="K99" i="23" s="1"/>
  <c r="L4" i="20"/>
  <c r="I74" i="23"/>
  <c r="K74" i="23" s="1"/>
  <c r="I3" i="21"/>
  <c r="K3" i="21" s="1"/>
  <c r="J96" i="20"/>
  <c r="L96" i="20" s="1"/>
  <c r="J97" i="20"/>
  <c r="L97" i="20" s="1"/>
  <c r="J98" i="20"/>
  <c r="L98" i="20" s="1"/>
  <c r="J99" i="20"/>
  <c r="L99" i="20" s="1"/>
  <c r="J5" i="20"/>
  <c r="L5" i="20" s="1"/>
  <c r="J6" i="20"/>
  <c r="L6" i="20" s="1"/>
  <c r="J7" i="20"/>
  <c r="L7" i="20" s="1"/>
  <c r="J9" i="20"/>
  <c r="J10" i="20"/>
  <c r="L10" i="20" s="1"/>
  <c r="J11" i="20"/>
  <c r="L11" i="20" s="1"/>
  <c r="J12" i="20"/>
  <c r="L12" i="20" s="1"/>
  <c r="J21" i="20"/>
  <c r="L21" i="20" s="1"/>
  <c r="J22" i="20"/>
  <c r="L22" i="20" s="1"/>
  <c r="J23" i="20"/>
  <c r="L23" i="20" s="1"/>
  <c r="J24" i="20"/>
  <c r="L24" i="20" s="1"/>
  <c r="J27" i="20"/>
  <c r="L27" i="20" s="1"/>
  <c r="J28" i="20"/>
  <c r="L28" i="20" s="1"/>
  <c r="J29" i="20"/>
  <c r="L29" i="20" s="1"/>
  <c r="J33" i="20"/>
  <c r="L33" i="20" s="1"/>
  <c r="J34" i="20"/>
  <c r="L34" i="20" s="1"/>
  <c r="J35" i="20"/>
  <c r="L35" i="20" s="1"/>
  <c r="J36" i="20"/>
  <c r="L36" i="20" s="1"/>
  <c r="J41" i="20"/>
  <c r="L41" i="20" s="1"/>
  <c r="J42" i="20"/>
  <c r="L42" i="20" s="1"/>
  <c r="J43" i="20"/>
  <c r="L43" i="20" s="1"/>
  <c r="J46" i="20"/>
  <c r="L46" i="20" s="1"/>
  <c r="J47" i="20"/>
  <c r="L47" i="20" s="1"/>
  <c r="J48" i="20"/>
  <c r="L48" i="20" s="1"/>
  <c r="J49" i="20"/>
  <c r="J52" i="20"/>
  <c r="J53" i="20"/>
  <c r="L53" i="20" s="1"/>
  <c r="J54" i="20"/>
  <c r="L54" i="20" s="1"/>
  <c r="J55" i="20"/>
  <c r="L55" i="20" s="1"/>
  <c r="J59" i="20"/>
  <c r="L59" i="20" s="1"/>
  <c r="J60" i="20"/>
  <c r="L60" i="20" s="1"/>
  <c r="J61" i="20"/>
  <c r="L61" i="20" s="1"/>
  <c r="J62" i="20"/>
  <c r="L62" i="20" s="1"/>
  <c r="J65" i="20"/>
  <c r="J66" i="20"/>
  <c r="L66" i="20" s="1"/>
  <c r="J67" i="20"/>
  <c r="L67" i="20" s="1"/>
  <c r="J68" i="20"/>
  <c r="L68" i="20" s="1"/>
  <c r="J71" i="20"/>
  <c r="L71" i="20" s="1"/>
  <c r="J72" i="20"/>
  <c r="L72" i="20" s="1"/>
  <c r="J73" i="20"/>
  <c r="L73" i="20" s="1"/>
  <c r="J74" i="20"/>
  <c r="L74" i="20" s="1"/>
  <c r="J77" i="20"/>
  <c r="L77" i="20" s="1"/>
  <c r="J78" i="20"/>
  <c r="L78" i="20" s="1"/>
  <c r="J79" i="20"/>
  <c r="L79" i="20" s="1"/>
  <c r="J80" i="20"/>
  <c r="L80" i="20" s="1"/>
  <c r="J83" i="20"/>
  <c r="L83" i="20" s="1"/>
  <c r="J84" i="20"/>
  <c r="L84" i="20" s="1"/>
  <c r="J85" i="20"/>
  <c r="L85" i="20" s="1"/>
  <c r="J86" i="20"/>
  <c r="L86" i="20" s="1"/>
  <c r="I5" i="23"/>
  <c r="I6" i="23"/>
  <c r="K6" i="23" s="1"/>
  <c r="I7" i="23"/>
  <c r="K7" i="23" s="1"/>
  <c r="I11" i="23"/>
  <c r="K11" i="23" s="1"/>
  <c r="I12" i="23"/>
  <c r="K12" i="23" s="1"/>
  <c r="I13" i="23"/>
  <c r="K13" i="23" s="1"/>
  <c r="I14" i="23"/>
  <c r="K14" i="23" s="1"/>
  <c r="I17" i="23"/>
  <c r="K17" i="23" s="1"/>
  <c r="I18" i="23"/>
  <c r="K18" i="23" s="1"/>
  <c r="I19" i="23"/>
  <c r="K19" i="23" s="1"/>
  <c r="I20" i="23"/>
  <c r="K20" i="23" s="1"/>
  <c r="I24" i="23"/>
  <c r="K24" i="23" s="1"/>
  <c r="I25" i="23"/>
  <c r="K25" i="23" s="1"/>
  <c r="I26" i="23"/>
  <c r="I27" i="23"/>
  <c r="K27" i="23" s="1"/>
  <c r="I31" i="23"/>
  <c r="K31" i="23" s="1"/>
  <c r="I36" i="23"/>
  <c r="I37" i="23"/>
  <c r="K37" i="23" s="1"/>
  <c r="I38" i="23"/>
  <c r="K38" i="23" s="1"/>
  <c r="I39" i="23"/>
  <c r="K39" i="23" s="1"/>
  <c r="I43" i="23"/>
  <c r="K43" i="23" s="1"/>
  <c r="I44" i="23"/>
  <c r="K44" i="23" s="1"/>
  <c r="I45" i="23"/>
  <c r="K45" i="23" s="1"/>
  <c r="I46" i="23"/>
  <c r="K46" i="23" s="1"/>
  <c r="I49" i="23"/>
  <c r="K49" i="23" s="1"/>
  <c r="I50" i="23"/>
  <c r="K50" i="23" s="1"/>
  <c r="I51" i="23"/>
  <c r="K51" i="23" s="1"/>
  <c r="I52" i="23"/>
  <c r="K52" i="23" s="1"/>
  <c r="I55" i="23"/>
  <c r="K55" i="23" s="1"/>
  <c r="I56" i="23"/>
  <c r="K56" i="23" s="1"/>
  <c r="I57" i="23"/>
  <c r="K57" i="23" s="1"/>
  <c r="I58" i="23"/>
  <c r="K58" i="23" s="1"/>
  <c r="I62" i="23"/>
  <c r="K62" i="23" s="1"/>
  <c r="I63" i="23"/>
  <c r="K63" i="23" s="1"/>
  <c r="I64" i="23"/>
  <c r="I65" i="23"/>
  <c r="K65" i="23" s="1"/>
  <c r="I68" i="23"/>
  <c r="I69" i="23"/>
  <c r="K69" i="23" s="1"/>
  <c r="I70" i="23"/>
  <c r="K70" i="23" s="1"/>
  <c r="I71" i="23"/>
  <c r="K71" i="23" s="1"/>
  <c r="I75" i="23"/>
  <c r="K75" i="23" s="1"/>
  <c r="I76" i="23"/>
  <c r="K76" i="23" s="1"/>
  <c r="I77" i="23"/>
  <c r="K77" i="23" s="1"/>
  <c r="I81" i="23"/>
  <c r="K81" i="23" s="1"/>
  <c r="I83" i="23"/>
  <c r="K83" i="23" s="1"/>
  <c r="I84" i="23"/>
  <c r="K84" i="23" s="1"/>
  <c r="I87" i="23"/>
  <c r="I88" i="23"/>
  <c r="K88" i="23" s="1"/>
  <c r="I89" i="23"/>
  <c r="K89" i="23" s="1"/>
  <c r="I90" i="23"/>
  <c r="K90" i="23" s="1"/>
  <c r="I100" i="23"/>
  <c r="K100" i="23" s="1"/>
  <c r="I101" i="23"/>
  <c r="K101" i="23" s="1"/>
  <c r="I102" i="23"/>
  <c r="K102" i="23" s="1"/>
  <c r="I4" i="23"/>
  <c r="K4" i="23" s="1"/>
  <c r="I5" i="22"/>
  <c r="K5" i="22" s="1"/>
  <c r="I6" i="22"/>
  <c r="K6" i="22" s="1"/>
  <c r="I7" i="22"/>
  <c r="K7" i="22" s="1"/>
  <c r="I11" i="22"/>
  <c r="I12" i="22"/>
  <c r="K12" i="22" s="1"/>
  <c r="I13" i="22"/>
  <c r="K13" i="22" s="1"/>
  <c r="I14" i="22"/>
  <c r="K14" i="22" s="1"/>
  <c r="I17" i="22"/>
  <c r="I18" i="22"/>
  <c r="K18" i="22" s="1"/>
  <c r="I19" i="22"/>
  <c r="K19" i="22" s="1"/>
  <c r="I20" i="22"/>
  <c r="K20" i="22" s="1"/>
  <c r="I24" i="22"/>
  <c r="K24" i="22" s="1"/>
  <c r="I25" i="22"/>
  <c r="K25" i="22" s="1"/>
  <c r="I26" i="22"/>
  <c r="K26" i="22" s="1"/>
  <c r="I27" i="22"/>
  <c r="K27" i="22" s="1"/>
  <c r="I31" i="22"/>
  <c r="K31" i="22" s="1"/>
  <c r="I32" i="22"/>
  <c r="K32" i="22" s="1"/>
  <c r="I33" i="22"/>
  <c r="K33" i="22" s="1"/>
  <c r="I36" i="22"/>
  <c r="K36" i="22" s="1"/>
  <c r="I37" i="22"/>
  <c r="K37" i="22" s="1"/>
  <c r="I38" i="22"/>
  <c r="K38" i="22" s="1"/>
  <c r="I39" i="22"/>
  <c r="K39" i="22" s="1"/>
  <c r="I43" i="22"/>
  <c r="K43" i="22" s="1"/>
  <c r="I44" i="22"/>
  <c r="K44" i="22" s="1"/>
  <c r="I45" i="22"/>
  <c r="K45" i="22" s="1"/>
  <c r="I46" i="22"/>
  <c r="K46" i="22" s="1"/>
  <c r="I49" i="22"/>
  <c r="K49" i="22" s="1"/>
  <c r="I50" i="22"/>
  <c r="I51" i="22"/>
  <c r="K51" i="22" s="1"/>
  <c r="I52" i="22"/>
  <c r="K52" i="22" s="1"/>
  <c r="I55" i="22"/>
  <c r="K55" i="22" s="1"/>
  <c r="I56" i="22"/>
  <c r="K56" i="22" s="1"/>
  <c r="I57" i="22"/>
  <c r="K57" i="22" s="1"/>
  <c r="I58" i="22"/>
  <c r="K58" i="22" s="1"/>
  <c r="I62" i="22"/>
  <c r="K62" i="22" s="1"/>
  <c r="I63" i="22"/>
  <c r="K63" i="22" s="1"/>
  <c r="I64" i="22"/>
  <c r="K64" i="22" s="1"/>
  <c r="I65" i="22"/>
  <c r="I68" i="22"/>
  <c r="I69" i="22"/>
  <c r="K69" i="22" s="1"/>
  <c r="I70" i="22"/>
  <c r="K70" i="22" s="1"/>
  <c r="I71" i="22"/>
  <c r="K71" i="22" s="1"/>
  <c r="I74" i="22"/>
  <c r="I75" i="22"/>
  <c r="K75" i="22" s="1"/>
  <c r="I76" i="22"/>
  <c r="K76" i="22" s="1"/>
  <c r="I77" i="22"/>
  <c r="K77" i="22" s="1"/>
  <c r="I81" i="22"/>
  <c r="I82" i="22"/>
  <c r="K82" i="22" s="1"/>
  <c r="I83" i="22"/>
  <c r="K83" i="22" s="1"/>
  <c r="I84" i="22"/>
  <c r="K84" i="22" s="1"/>
  <c r="I87" i="22"/>
  <c r="I88" i="22"/>
  <c r="K88" i="22" s="1"/>
  <c r="I89" i="22"/>
  <c r="K89" i="22" s="1"/>
  <c r="I90" i="22"/>
  <c r="K90" i="22" s="1"/>
  <c r="I99" i="22"/>
  <c r="K99" i="22" s="1"/>
  <c r="I100" i="22"/>
  <c r="K100" i="22" s="1"/>
  <c r="I101" i="22"/>
  <c r="K101" i="22" s="1"/>
  <c r="I102" i="22"/>
  <c r="K102" i="22" s="1"/>
  <c r="I4" i="21"/>
  <c r="K4" i="21" s="1"/>
  <c r="I5" i="21"/>
  <c r="K5" i="21" s="1"/>
  <c r="I6" i="21"/>
  <c r="K6" i="21" s="1"/>
  <c r="I10" i="21"/>
  <c r="K10" i="21" s="1"/>
  <c r="I11" i="21"/>
  <c r="K11" i="21" s="1"/>
  <c r="I12" i="21"/>
  <c r="K12" i="21" s="1"/>
  <c r="I13" i="21"/>
  <c r="K13" i="21" s="1"/>
  <c r="I16" i="21"/>
  <c r="K16" i="21" s="1"/>
  <c r="I17" i="21"/>
  <c r="K17" i="21" s="1"/>
  <c r="I18" i="21"/>
  <c r="K18" i="21" s="1"/>
  <c r="I19" i="21"/>
  <c r="K19" i="21" s="1"/>
  <c r="I23" i="21"/>
  <c r="K23" i="21" s="1"/>
  <c r="I24" i="21"/>
  <c r="K24" i="21" s="1"/>
  <c r="I25" i="21"/>
  <c r="K25" i="21" s="1"/>
  <c r="I26" i="21"/>
  <c r="K26" i="21" s="1"/>
  <c r="I29" i="21"/>
  <c r="K29" i="21" s="1"/>
  <c r="I30" i="21"/>
  <c r="K30" i="21" s="1"/>
  <c r="I31" i="21"/>
  <c r="K31" i="21" s="1"/>
  <c r="I32" i="21"/>
  <c r="K32" i="21" s="1"/>
  <c r="I35" i="21"/>
  <c r="K35" i="21" s="1"/>
  <c r="I36" i="21"/>
  <c r="K36" i="21" s="1"/>
  <c r="I37" i="21"/>
  <c r="K37" i="21" s="1"/>
  <c r="I38" i="21"/>
  <c r="K38" i="21" s="1"/>
  <c r="I42" i="21"/>
  <c r="K42" i="21" s="1"/>
  <c r="I43" i="21"/>
  <c r="K43" i="21" s="1"/>
  <c r="I44" i="21"/>
  <c r="K44" i="21" s="1"/>
  <c r="I45" i="21"/>
  <c r="K45" i="21" s="1"/>
  <c r="I48" i="21"/>
  <c r="K48" i="21" s="1"/>
  <c r="I49" i="21"/>
  <c r="K49" i="21" s="1"/>
  <c r="I50" i="21"/>
  <c r="K50" i="21" s="1"/>
  <c r="I51" i="21"/>
  <c r="K51" i="21" s="1"/>
  <c r="I54" i="21"/>
  <c r="K54" i="21" s="1"/>
  <c r="I55" i="21"/>
  <c r="K55" i="21" s="1"/>
  <c r="I56" i="21"/>
  <c r="K56" i="21" s="1"/>
  <c r="I61" i="21"/>
  <c r="K61" i="21" s="1"/>
  <c r="I62" i="21"/>
  <c r="K62" i="21" s="1"/>
  <c r="I63" i="21"/>
  <c r="K63" i="21" s="1"/>
  <c r="I64" i="21"/>
  <c r="K64" i="21" s="1"/>
  <c r="I67" i="21"/>
  <c r="K67" i="21" s="1"/>
  <c r="I68" i="21"/>
  <c r="K68" i="21" s="1"/>
  <c r="I69" i="21"/>
  <c r="K69" i="21" s="1"/>
  <c r="I70" i="21"/>
  <c r="K70" i="21" s="1"/>
  <c r="I73" i="21"/>
  <c r="K73" i="21" s="1"/>
  <c r="I74" i="21"/>
  <c r="K74" i="21" s="1"/>
  <c r="I75" i="21"/>
  <c r="K75" i="21" s="1"/>
  <c r="I76" i="21"/>
  <c r="K76" i="21" s="1"/>
  <c r="I80" i="21"/>
  <c r="K80" i="21" s="1"/>
  <c r="I81" i="21"/>
  <c r="K81" i="21" s="1"/>
  <c r="I82" i="21"/>
  <c r="K82" i="21" s="1"/>
  <c r="I83" i="21"/>
  <c r="K83" i="21" s="1"/>
  <c r="I86" i="21"/>
  <c r="K86" i="21" s="1"/>
  <c r="I87" i="21"/>
  <c r="K87" i="21" s="1"/>
  <c r="I88" i="21"/>
  <c r="K88" i="21" s="1"/>
  <c r="I89" i="21"/>
  <c r="K89" i="21" s="1"/>
  <c r="I99" i="21"/>
  <c r="K99" i="21" s="1"/>
  <c r="I100" i="21"/>
  <c r="K100" i="21" s="1"/>
  <c r="I101" i="21"/>
  <c r="K101" i="21" s="1"/>
  <c r="L4" i="22" l="1"/>
  <c r="L98" i="21"/>
  <c r="R40" i="20"/>
  <c r="S40" i="20" s="1"/>
  <c r="M21" i="20"/>
  <c r="R21" i="20"/>
  <c r="S21" i="20" s="1"/>
  <c r="R4" i="20"/>
  <c r="S4" i="20" s="1"/>
  <c r="R83" i="20"/>
  <c r="S83" i="20" s="1"/>
  <c r="M83" i="20"/>
  <c r="L65" i="20"/>
  <c r="M59" i="20"/>
  <c r="R59" i="20"/>
  <c r="S59" i="20" s="1"/>
  <c r="R27" i="20"/>
  <c r="S27" i="20" s="1"/>
  <c r="M27" i="20"/>
  <c r="M77" i="20"/>
  <c r="R77" i="20"/>
  <c r="S77" i="20" s="1"/>
  <c r="R33" i="20"/>
  <c r="S33" i="20" s="1"/>
  <c r="M33" i="20"/>
  <c r="M71" i="20"/>
  <c r="R71" i="20"/>
  <c r="S71" i="20" s="1"/>
  <c r="L52" i="20"/>
  <c r="M40" i="20"/>
  <c r="M96" i="20"/>
  <c r="R96" i="20"/>
  <c r="S96" i="20" s="1"/>
  <c r="L49" i="20"/>
  <c r="M46" i="20" s="1"/>
  <c r="L9" i="20"/>
  <c r="K87" i="23"/>
  <c r="L81" i="23"/>
  <c r="Q81" i="23"/>
  <c r="R81" i="23" s="1"/>
  <c r="K64" i="23"/>
  <c r="L62" i="23" s="1"/>
  <c r="L43" i="23"/>
  <c r="Q43" i="23"/>
  <c r="R43" i="23" s="1"/>
  <c r="L74" i="23"/>
  <c r="Q74" i="23"/>
  <c r="R74" i="23" s="1"/>
  <c r="Q4" i="23"/>
  <c r="R4" i="23" s="1"/>
  <c r="L4" i="23"/>
  <c r="Q17" i="23"/>
  <c r="R17" i="23" s="1"/>
  <c r="L17" i="23"/>
  <c r="L55" i="23"/>
  <c r="Q55" i="23"/>
  <c r="R55" i="23" s="1"/>
  <c r="K36" i="23"/>
  <c r="Q30" i="23"/>
  <c r="R30" i="23" s="1"/>
  <c r="L30" i="23"/>
  <c r="Q11" i="23"/>
  <c r="R11" i="23" s="1"/>
  <c r="L11" i="23"/>
  <c r="K26" i="23"/>
  <c r="Q24" i="23" s="1"/>
  <c r="R24" i="23" s="1"/>
  <c r="Q99" i="23"/>
  <c r="R99" i="23" s="1"/>
  <c r="L99" i="23"/>
  <c r="K68" i="23"/>
  <c r="L49" i="23"/>
  <c r="Q49" i="23"/>
  <c r="R49" i="23" s="1"/>
  <c r="K5" i="23"/>
  <c r="Q55" i="22"/>
  <c r="L55" i="22"/>
  <c r="K50" i="22"/>
  <c r="Q49" i="22" s="1"/>
  <c r="R49" i="22" s="1"/>
  <c r="K11" i="22"/>
  <c r="K87" i="22"/>
  <c r="K68" i="22"/>
  <c r="L24" i="22"/>
  <c r="Q24" i="22"/>
  <c r="R24" i="22" s="1"/>
  <c r="Q99" i="22"/>
  <c r="R99" i="22" s="1"/>
  <c r="L99" i="22"/>
  <c r="K81" i="22"/>
  <c r="Q43" i="22"/>
  <c r="R43" i="22" s="1"/>
  <c r="L43" i="22"/>
  <c r="Q30" i="22"/>
  <c r="R30" i="22" s="1"/>
  <c r="L30" i="22"/>
  <c r="Q36" i="22"/>
  <c r="R36" i="22" s="1"/>
  <c r="L36" i="22"/>
  <c r="Q4" i="22"/>
  <c r="R4" i="22" s="1"/>
  <c r="K74" i="22"/>
  <c r="K65" i="22"/>
  <c r="L62" i="22" s="1"/>
  <c r="K17" i="22"/>
  <c r="Q23" i="21"/>
  <c r="R23" i="21" s="1"/>
  <c r="L23" i="21"/>
  <c r="Q16" i="21"/>
  <c r="R16" i="21" s="1"/>
  <c r="L16" i="21"/>
  <c r="L73" i="21"/>
  <c r="Q73" i="21"/>
  <c r="R73" i="21" s="1"/>
  <c r="Q42" i="21"/>
  <c r="R42" i="21" s="1"/>
  <c r="L42" i="21"/>
  <c r="Q54" i="21"/>
  <c r="R54" i="21" s="1"/>
  <c r="L54" i="21"/>
  <c r="Q35" i="21"/>
  <c r="R35" i="21" s="1"/>
  <c r="L35" i="21"/>
  <c r="Q10" i="21"/>
  <c r="R10" i="21" s="1"/>
  <c r="L10" i="21"/>
  <c r="L67" i="21"/>
  <c r="Q67" i="21"/>
  <c r="R67" i="21" s="1"/>
  <c r="L86" i="21"/>
  <c r="Q85" i="21"/>
  <c r="R85" i="21" s="1"/>
  <c r="Q29" i="21"/>
  <c r="R29" i="21" s="1"/>
  <c r="L29" i="21"/>
  <c r="L80" i="21"/>
  <c r="Q80" i="21"/>
  <c r="R80" i="21" s="1"/>
  <c r="L48" i="21"/>
  <c r="Q48" i="21"/>
  <c r="R48" i="21" s="1"/>
  <c r="Q3" i="21"/>
  <c r="R3" i="21" s="1"/>
  <c r="L3" i="21"/>
  <c r="L61" i="21"/>
  <c r="Q61" i="21"/>
  <c r="R61" i="21" s="1"/>
  <c r="Q98" i="21"/>
  <c r="R98" i="21" s="1"/>
  <c r="R55" i="22"/>
  <c r="L49" i="22" l="1"/>
  <c r="M65" i="20"/>
  <c r="R65" i="20"/>
  <c r="S65" i="20" s="1"/>
  <c r="R46" i="20"/>
  <c r="S46" i="20" s="1"/>
  <c r="R9" i="20"/>
  <c r="S9" i="20" s="1"/>
  <c r="M9" i="20"/>
  <c r="R52" i="20"/>
  <c r="S52" i="20" s="1"/>
  <c r="M52" i="20"/>
  <c r="Q62" i="23"/>
  <c r="R62" i="23" s="1"/>
  <c r="L68" i="23"/>
  <c r="Q68" i="23"/>
  <c r="R68" i="23" s="1"/>
  <c r="Q87" i="23"/>
  <c r="R87" i="23" s="1"/>
  <c r="L87" i="23"/>
  <c r="L24" i="23"/>
  <c r="L36" i="23"/>
  <c r="Q36" i="23"/>
  <c r="R36" i="23" s="1"/>
  <c r="Q62" i="22"/>
  <c r="R62" i="22" s="1"/>
  <c r="L87" i="22"/>
  <c r="Q87" i="22"/>
  <c r="R87" i="22" s="1"/>
  <c r="L68" i="22"/>
  <c r="Q68" i="22"/>
  <c r="R68" i="22" s="1"/>
  <c r="Q81" i="22"/>
  <c r="R81" i="22" s="1"/>
  <c r="L81" i="22"/>
  <c r="L11" i="22"/>
  <c r="Q11" i="22"/>
  <c r="R11" i="22" s="1"/>
  <c r="Q17" i="22"/>
  <c r="R17" i="22" s="1"/>
  <c r="L17" i="22"/>
  <c r="L74" i="22"/>
  <c r="Q74" i="22"/>
  <c r="R74" i="22" s="1"/>
</calcChain>
</file>

<file path=xl/sharedStrings.xml><?xml version="1.0" encoding="utf-8"?>
<sst xmlns="http://schemas.openxmlformats.org/spreadsheetml/2006/main" count="5697" uniqueCount="960">
  <si>
    <t>Supplementary Table S4.</t>
  </si>
  <si>
    <t>Results of quantitative real-time PCR (qRT-PCR) analysis of four esterase candidate genes Ityp-CE9, Ityp-CE10, Ityp-CE15, Ityp-CE21  in Ips typographus. Data for each gene are provided in separate worksheet tabs.</t>
  </si>
  <si>
    <t>The file includes raw Ct values, ΔCt calculations, normalized expression values (2^-ΔCt), and log-transformed data for each gene across biological replicates.</t>
  </si>
  <si>
    <t>The ribosomal protein gene RPL6 was used as the internal reference for normalization.</t>
  </si>
  <si>
    <t xml:space="preserve">Statistical analyses include One-way ANOVA (Analysis of Variance)  with Tukey’s HSD test (p &lt; 0.05) (Sheet: ANOVA) for treatment comparisons within one sex. </t>
  </si>
  <si>
    <t>Student’s t-tests (p &lt; 0.05) were conducted to compare gene expression between sexes (see sheet: T-test).</t>
  </si>
  <si>
    <t>Ityp-CE9</t>
  </si>
  <si>
    <t>Biological Replicate</t>
  </si>
  <si>
    <t>Tissue</t>
  </si>
  <si>
    <t>Reference Gene</t>
  </si>
  <si>
    <t>Cт</t>
  </si>
  <si>
    <t>Target Gene</t>
  </si>
  <si>
    <t>Δct</t>
  </si>
  <si>
    <t>2^(-Δct)</t>
  </si>
  <si>
    <t>Average 2^(-Δct)</t>
  </si>
  <si>
    <t>STDEV</t>
  </si>
  <si>
    <t>SE</t>
  </si>
  <si>
    <t>Female Emerged Midgut</t>
  </si>
  <si>
    <t>RPL6</t>
  </si>
  <si>
    <t>Female Emerged Fatbody</t>
  </si>
  <si>
    <t>Male Emerged Midgut</t>
  </si>
  <si>
    <t>Male Emerged Fatbody</t>
  </si>
  <si>
    <t>Male Fed Midgut</t>
  </si>
  <si>
    <t>Male Fed Fatbody</t>
  </si>
  <si>
    <t>Male Immature Midgut</t>
  </si>
  <si>
    <t>Male Immature Fatbody</t>
  </si>
  <si>
    <t>Female Immature Midgut</t>
  </si>
  <si>
    <t>Female Immature Fatbody</t>
  </si>
  <si>
    <t>Larvae L1</t>
  </si>
  <si>
    <t>Larvae L2</t>
  </si>
  <si>
    <t>Larvae L3</t>
  </si>
  <si>
    <t>Pupa</t>
  </si>
  <si>
    <t>Female Fed Midgut</t>
  </si>
  <si>
    <t>Female Fed Fatbody</t>
  </si>
  <si>
    <t>Ityp-CE10</t>
  </si>
  <si>
    <t>Ityp-CE21</t>
  </si>
  <si>
    <t>Ityp-CE13</t>
  </si>
  <si>
    <t>Ityp-CE15</t>
  </si>
  <si>
    <t/>
  </si>
  <si>
    <t>Ityp-CE16</t>
  </si>
  <si>
    <t>Ityp-LIP1</t>
  </si>
  <si>
    <t>19.9222908</t>
  </si>
  <si>
    <t>29.55507278</t>
  </si>
  <si>
    <t>9.632781982</t>
  </si>
  <si>
    <t>0.00125963199005558</t>
  </si>
  <si>
    <t>0.00135576</t>
  </si>
  <si>
    <t>0.000717</t>
  </si>
  <si>
    <t>0.000358599</t>
  </si>
  <si>
    <t>20.36951447</t>
  </si>
  <si>
    <t>29.07450485</t>
  </si>
  <si>
    <t>8.704990387</t>
  </si>
  <si>
    <t>0.00239627568812859</t>
  </si>
  <si>
    <t>19.1083107</t>
  </si>
  <si>
    <t>29.33905411</t>
  </si>
  <si>
    <t>10.23074341</t>
  </si>
  <si>
    <t>0.00083222231406709</t>
  </si>
  <si>
    <t>18.78450012</t>
  </si>
  <si>
    <t>28.8473835</t>
  </si>
  <si>
    <t>10.06288338</t>
  </si>
  <si>
    <t>0.00093491098059942</t>
  </si>
  <si>
    <t>20.39411926</t>
  </si>
  <si>
    <t>27.23931122</t>
  </si>
  <si>
    <t>6.845191956</t>
  </si>
  <si>
    <t>0.00869744908973027</t>
  </si>
  <si>
    <t>0.011623392</t>
  </si>
  <si>
    <t>0.002535</t>
  </si>
  <si>
    <t>0.001463766</t>
  </si>
  <si>
    <t>19.40697479</t>
  </si>
  <si>
    <t>25.65359116</t>
  </si>
  <si>
    <t>6.246616364</t>
  </si>
  <si>
    <t>0.01316985832856580</t>
  </si>
  <si>
    <t>19.35480881</t>
  </si>
  <si>
    <t>25.6198349</t>
  </si>
  <si>
    <t>6.265026093</t>
  </si>
  <si>
    <t>0.01300287005831270</t>
  </si>
  <si>
    <t>21.00750351</t>
  </si>
  <si>
    <t>30.88829422</t>
  </si>
  <si>
    <t>9.88079071</t>
  </si>
  <si>
    <t>0.00106068301705832</t>
  </si>
  <si>
    <t>0.001967958</t>
  </si>
  <si>
    <t>0.001995</t>
  </si>
  <si>
    <t>0.000997537</t>
  </si>
  <si>
    <t>21.04353714</t>
  </si>
  <si>
    <t>28.69926262</t>
  </si>
  <si>
    <t>7.655725479</t>
  </si>
  <si>
    <t>0.00495903293023990</t>
  </si>
  <si>
    <t>21.67980194</t>
  </si>
  <si>
    <t>31.74198341</t>
  </si>
  <si>
    <t>10.06218147</t>
  </si>
  <si>
    <t>0.00093536594694666</t>
  </si>
  <si>
    <t>21.88676453</t>
  </si>
  <si>
    <t>31.97795105</t>
  </si>
  <si>
    <t>10.09118652</t>
  </si>
  <si>
    <t>0.00091674840832868</t>
  </si>
  <si>
    <t>22.04221725</t>
  </si>
  <si>
    <t>28.60599518</t>
  </si>
  <si>
    <t>6.563777924</t>
  </si>
  <si>
    <t>0.01057075385334390</t>
  </si>
  <si>
    <t>0.010641177</t>
  </si>
  <si>
    <t>0.004316</t>
  </si>
  <si>
    <t>0.002157882</t>
  </si>
  <si>
    <t>21.55231857</t>
  </si>
  <si>
    <t>28.83265114</t>
  </si>
  <si>
    <t>7.280332565</t>
  </si>
  <si>
    <t>0.00643282177859394</t>
  </si>
  <si>
    <t>20.59936523</t>
  </si>
  <si>
    <t>27.39969826</t>
  </si>
  <si>
    <t>6.800333023</t>
  </si>
  <si>
    <t>0.00897213458561764</t>
  </si>
  <si>
    <t>23.4011631</t>
  </si>
  <si>
    <t>29.31479263</t>
  </si>
  <si>
    <t>5.913629532</t>
  </si>
  <si>
    <t>0.01658899696399710</t>
  </si>
  <si>
    <t>16.77742767</t>
  </si>
  <si>
    <t>31.45212173</t>
  </si>
  <si>
    <t>14.67469406</t>
  </si>
  <si>
    <t>0.00003823639244130</t>
  </si>
  <si>
    <t>0.000518937</t>
  </si>
  <si>
    <t>0.00058</t>
  </si>
  <si>
    <t>0.000289815</t>
  </si>
  <si>
    <t>18.3134079</t>
  </si>
  <si>
    <t>30.76857948</t>
  </si>
  <si>
    <t>12.45517159</t>
  </si>
  <si>
    <t>0.00017808188816490</t>
  </si>
  <si>
    <t>21.92862511</t>
  </si>
  <si>
    <t>31.48114204</t>
  </si>
  <si>
    <t>9.552516937</t>
  </si>
  <si>
    <t>0.00133169836886313</t>
  </si>
  <si>
    <t>20.76553345</t>
  </si>
  <si>
    <t>31.65344238</t>
  </si>
  <si>
    <t>10.88790894</t>
  </si>
  <si>
    <t>0.00052773126012449</t>
  </si>
  <si>
    <t>21.79050255</t>
  </si>
  <si>
    <t>30.96905136</t>
  </si>
  <si>
    <t>9.178548813</t>
  </si>
  <si>
    <t>0.00172576433950726</t>
  </si>
  <si>
    <t>0.003432743</t>
  </si>
  <si>
    <t>0.001813</t>
  </si>
  <si>
    <t>0.000906673</t>
  </si>
  <si>
    <t>21.85221863</t>
  </si>
  <si>
    <t>30.32203865</t>
  </si>
  <si>
    <t>8.469820023</t>
  </si>
  <si>
    <t>0.00282052605104991</t>
  </si>
  <si>
    <t>21.84508133</t>
  </si>
  <si>
    <t>30.133564</t>
  </si>
  <si>
    <t>8.288482666</t>
  </si>
  <si>
    <t>0.00319829190597976</t>
  </si>
  <si>
    <t>23.6360054</t>
  </si>
  <si>
    <t>31.02010345</t>
  </si>
  <si>
    <t>7.384098053</t>
  </si>
  <si>
    <t>0.00598638983987789</t>
  </si>
  <si>
    <t>26.58324814</t>
  </si>
  <si>
    <t>13.41675186</t>
  </si>
  <si>
    <t>0.00009144400638108</t>
  </si>
  <si>
    <t>9.69244E-05</t>
  </si>
  <si>
    <t>2.7E-05</t>
  </si>
  <si>
    <t>1.35092E-05</t>
  </si>
  <si>
    <t>27.13095284</t>
  </si>
  <si>
    <t>12.86904716</t>
  </si>
  <si>
    <t>0.00013366902730375</t>
  </si>
  <si>
    <t>26.16904068</t>
  </si>
  <si>
    <t>13.83095932</t>
  </si>
  <si>
    <t>0.00006862247471440</t>
  </si>
  <si>
    <t>26.62244034</t>
  </si>
  <si>
    <t>13.37755966</t>
  </si>
  <si>
    <t>0.00009396222084406</t>
  </si>
  <si>
    <t>22.17807961</t>
  </si>
  <si>
    <t>31.58400345</t>
  </si>
  <si>
    <t>9.405923843</t>
  </si>
  <si>
    <t>0.00147412661114742</t>
  </si>
  <si>
    <t>0.002831251</t>
  </si>
  <si>
    <t>0.001687</t>
  </si>
  <si>
    <t>0.000843422</t>
  </si>
  <si>
    <t>22.49285889</t>
  </si>
  <si>
    <t>31.07292175</t>
  </si>
  <si>
    <t>8.580062866</t>
  </si>
  <si>
    <t>0.00261302588895480</t>
  </si>
  <si>
    <t>22.20664978</t>
  </si>
  <si>
    <t>31.19070053</t>
  </si>
  <si>
    <t>8.984050751</t>
  </si>
  <si>
    <t>0.00197483693641599</t>
  </si>
  <si>
    <t>23.29722595</t>
  </si>
  <si>
    <t>30.86712074</t>
  </si>
  <si>
    <t>7.569894791</t>
  </si>
  <si>
    <t>0.00526301495397491</t>
  </si>
  <si>
    <t>25.80897522</t>
  </si>
  <si>
    <t>36.0647583</t>
  </si>
  <si>
    <t>10.25578308</t>
  </si>
  <si>
    <t>0.00081790274091500</t>
  </si>
  <si>
    <t>0.000747198</t>
  </si>
  <si>
    <t>0.000131</t>
  </si>
  <si>
    <t>7.59204E-05</t>
  </si>
  <si>
    <t>26.27278519</t>
  </si>
  <si>
    <t>36.98645782</t>
  </si>
  <si>
    <t>10.71367264</t>
  </si>
  <si>
    <t>0.00059547450524881</t>
  </si>
  <si>
    <t>25.45412445</t>
  </si>
  <si>
    <t>35.69182587</t>
  </si>
  <si>
    <t>10.23770142</t>
  </si>
  <si>
    <t>0.00082821823296325</t>
  </si>
  <si>
    <t>23.81815529</t>
  </si>
  <si>
    <t>34.65201569</t>
  </si>
  <si>
    <t>10.8338604</t>
  </si>
  <si>
    <t>0.00054787697795823</t>
  </si>
  <si>
    <t>0.00034097</t>
  </si>
  <si>
    <t>0.000202</t>
  </si>
  <si>
    <t>0.000101025</t>
  </si>
  <si>
    <t>22.23017502</t>
  </si>
  <si>
    <t>35.33822632</t>
  </si>
  <si>
    <t>13.1080513</t>
  </si>
  <si>
    <t>0.00011326177774457</t>
  </si>
  <si>
    <t>23.67042351</t>
  </si>
  <si>
    <t>35.73219299</t>
  </si>
  <si>
    <t>12.06176949</t>
  </si>
  <si>
    <t>0.00023390827388030</t>
  </si>
  <si>
    <t>23.63242722</t>
  </si>
  <si>
    <t>34.69107056</t>
  </si>
  <si>
    <t>11.05864334</t>
  </si>
  <si>
    <t>0.00046883134830922</t>
  </si>
  <si>
    <t>23.79798508</t>
  </si>
  <si>
    <t>35.29248428</t>
  </si>
  <si>
    <t>11.49449921</t>
  </si>
  <si>
    <t>0.00034658595040976</t>
  </si>
  <si>
    <t>0.000416759</t>
  </si>
  <si>
    <t>0.000162</t>
  </si>
  <si>
    <t>8.07562E-05</t>
  </si>
  <si>
    <t>22.29965019</t>
  </si>
  <si>
    <t>33.95491409</t>
  </si>
  <si>
    <t>11.6552639</t>
  </si>
  <si>
    <t>0.00031003873660795</t>
  </si>
  <si>
    <t>23.61296844</t>
  </si>
  <si>
    <t>34.18400574</t>
  </si>
  <si>
    <t>10.57103729</t>
  </si>
  <si>
    <t>0.00065735608836760</t>
  </si>
  <si>
    <t>23.01833725</t>
  </si>
  <si>
    <t>34.48616028</t>
  </si>
  <si>
    <t>11.46782303</t>
  </si>
  <si>
    <t>0.00035305411962046</t>
  </si>
  <si>
    <t>21.84909439</t>
  </si>
  <si>
    <t>35.43405914</t>
  </si>
  <si>
    <t>13.58496475</t>
  </si>
  <si>
    <t>0.00008138008133113</t>
  </si>
  <si>
    <t>0.000276631</t>
  </si>
  <si>
    <t>0.000171</t>
  </si>
  <si>
    <t>8.56164E-05</t>
  </si>
  <si>
    <t>23.76509094</t>
  </si>
  <si>
    <t>36.02039337</t>
  </si>
  <si>
    <t>12.25530243</t>
  </si>
  <si>
    <t>0.00020454382020420</t>
  </si>
  <si>
    <t>24.19318771</t>
  </si>
  <si>
    <t>35.22679901</t>
  </si>
  <si>
    <t>11.0336113</t>
  </si>
  <si>
    <t>0.00047703697119606</t>
  </si>
  <si>
    <t>24.05588722</t>
  </si>
  <si>
    <t>35.56302261</t>
  </si>
  <si>
    <t>11.50713539</t>
  </si>
  <si>
    <t>0.00034356355116098</t>
  </si>
  <si>
    <t>24.93937874</t>
  </si>
  <si>
    <t>15.06062126</t>
  </si>
  <si>
    <t>0.00002926181410061</t>
  </si>
  <si>
    <t>3.97389E-05</t>
  </si>
  <si>
    <t>2.55E-05</t>
  </si>
  <si>
    <t>1.27478E-05</t>
  </si>
  <si>
    <t>24.04823685</t>
  </si>
  <si>
    <t>15.95176315</t>
  </si>
  <si>
    <t>0.00001577759512241</t>
  </si>
  <si>
    <t>25.33940887</t>
  </si>
  <si>
    <t>14.66059113</t>
  </si>
  <si>
    <t>0.00003861200173768</t>
  </si>
  <si>
    <t>26.30309296</t>
  </si>
  <si>
    <t>13.69690704</t>
  </si>
  <si>
    <t>0.00007530436177299</t>
  </si>
  <si>
    <t>23.99931717</t>
  </si>
  <si>
    <t>35.80400467</t>
  </si>
  <si>
    <t>11.8046875</t>
  </si>
  <si>
    <t>0.00027953421494917</t>
  </si>
  <si>
    <t>0.000460062</t>
  </si>
  <si>
    <t>0.000306</t>
  </si>
  <si>
    <t>0.000152947</t>
  </si>
  <si>
    <t>23.71316147</t>
  </si>
  <si>
    <t>33.83166122</t>
  </si>
  <si>
    <t>10.11849976</t>
  </si>
  <si>
    <t>0.00089955570533411</t>
  </si>
  <si>
    <t>22.75842667</t>
  </si>
  <si>
    <t>33.92807007</t>
  </si>
  <si>
    <t>11.1696434</t>
  </si>
  <si>
    <t>0.00043411250383733</t>
  </si>
  <si>
    <t>23.58662224</t>
  </si>
  <si>
    <t>35.69134521</t>
  </si>
  <si>
    <t>12.10472298</t>
  </si>
  <si>
    <t>0.00022704675267970</t>
  </si>
  <si>
    <t>25.55563927</t>
  </si>
  <si>
    <t>14.44436073</t>
  </si>
  <si>
    <t>0.00004485533981653</t>
  </si>
  <si>
    <t>6.20573E-05</t>
  </si>
  <si>
    <t>7.82E-05</t>
  </si>
  <si>
    <t>3.91075E-05</t>
  </si>
  <si>
    <t>23.60953522</t>
  </si>
  <si>
    <t>16.39046478</t>
  </si>
  <si>
    <t>0.00001164068286265</t>
  </si>
  <si>
    <t>27.53763199</t>
  </si>
  <si>
    <t>12.46236801</t>
  </si>
  <si>
    <t>0.00017719579501224</t>
  </si>
  <si>
    <t>23.93011093</t>
  </si>
  <si>
    <t>16.06988907</t>
  </si>
  <si>
    <t>0.00001453722001489</t>
  </si>
  <si>
    <t>21.97312927</t>
  </si>
  <si>
    <t>35.63567352</t>
  </si>
  <si>
    <t>13.66254425</t>
  </si>
  <si>
    <t>0.00007711952811654</t>
  </si>
  <si>
    <t>0.000116085</t>
  </si>
  <si>
    <t>4.74E-05</t>
  </si>
  <si>
    <t>2.3706E-05</t>
  </si>
  <si>
    <t>23.92473221</t>
  </si>
  <si>
    <t>36.41899872</t>
  </si>
  <si>
    <t>12.49426651</t>
  </si>
  <si>
    <t>0.00017332092839362</t>
  </si>
  <si>
    <t>21.75493622</t>
  </si>
  <si>
    <t>35.41791916</t>
  </si>
  <si>
    <t>13.66298294</t>
  </si>
  <si>
    <t>0.00007709608141717</t>
  </si>
  <si>
    <t>22.55891609</t>
  </si>
  <si>
    <t>35.39450836</t>
  </si>
  <si>
    <t>12.83559227</t>
  </si>
  <si>
    <t>0.00013680491942731</t>
  </si>
  <si>
    <t>Treatment letter</t>
  </si>
  <si>
    <t>Treatment</t>
  </si>
  <si>
    <t>Graph ANOVA letter</t>
  </si>
  <si>
    <t>A</t>
  </si>
  <si>
    <t>a</t>
  </si>
  <si>
    <t>Treatments</t>
  </si>
  <si>
    <t>Tukey HSD</t>
  </si>
  <si>
    <t>B</t>
  </si>
  <si>
    <t>L3</t>
  </si>
  <si>
    <t>b</t>
  </si>
  <si>
    <t>pair</t>
  </si>
  <si>
    <t>Q statistic</t>
  </si>
  <si>
    <t>p-value</t>
  </si>
  <si>
    <t>inferfence</t>
  </si>
  <si>
    <t>C</t>
  </si>
  <si>
    <t>L2</t>
  </si>
  <si>
    <t>A vs B</t>
  </si>
  <si>
    <t xml:space="preserve"> 11.5219</t>
  </si>
  <si>
    <t>0.0010053</t>
  </si>
  <si>
    <t>** p&lt;0.01</t>
  </si>
  <si>
    <t>D</t>
  </si>
  <si>
    <t>L1</t>
  </si>
  <si>
    <t>Tissue - Whole body</t>
  </si>
  <si>
    <t>Entry value</t>
  </si>
  <si>
    <t>A vs C</t>
  </si>
  <si>
    <t xml:space="preserve"> 2.2353</t>
  </si>
  <si>
    <t>0.4258150</t>
  </si>
  <si>
    <t>insignificant</t>
  </si>
  <si>
    <t>-</t>
  </si>
  <si>
    <t>Treatment:</t>
  </si>
  <si>
    <t>1) 2^(-Δct)</t>
  </si>
  <si>
    <t>2) 2^(-Δct)</t>
  </si>
  <si>
    <t>3) 2^(-Δct)</t>
  </si>
  <si>
    <t>4) 2^(-Δct)</t>
  </si>
  <si>
    <t>A vs D</t>
  </si>
  <si>
    <t xml:space="preserve"> 1.6837</t>
  </si>
  <si>
    <t>0.6330889</t>
  </si>
  <si>
    <t>0.00864198465397957</t>
  </si>
  <si>
    <t>0.00631001958759768</t>
  </si>
  <si>
    <t>0.00309885459003091</t>
  </si>
  <si>
    <t>0.00642560537122856</t>
  </si>
  <si>
    <t>B vs C</t>
  </si>
  <si>
    <t xml:space="preserve"> 9.2866</t>
  </si>
  <si>
    <t>0.0855821103053423</t>
  </si>
  <si>
    <t>0.0461001416337036</t>
  </si>
  <si>
    <t>0.0796121556999011</t>
  </si>
  <si>
    <t>0.0814135368848156</t>
  </si>
  <si>
    <t>B vs D</t>
  </si>
  <si>
    <t xml:space="preserve"> 9.8382</t>
  </si>
  <si>
    <t>0.0155515913410014</t>
  </si>
  <si>
    <t>0.00842712794473946</t>
  </si>
  <si>
    <t>0.0136689923535801</t>
  </si>
  <si>
    <t>0.0388669505096244</t>
  </si>
  <si>
    <t>C vs D</t>
  </si>
  <si>
    <t>0.5516</t>
  </si>
  <si>
    <t>0.8999947</t>
  </si>
  <si>
    <t>0.011030722715283</t>
  </si>
  <si>
    <t>0.0176139355118837</t>
  </si>
  <si>
    <t>0.0133078838305408</t>
  </si>
  <si>
    <t>0.0217217564514994</t>
  </si>
  <si>
    <t>Tissue - Female Midgut</t>
  </si>
  <si>
    <t>5) 2^(-Δct)</t>
  </si>
  <si>
    <t>Fed</t>
  </si>
  <si>
    <t>0.00633660397270442</t>
  </si>
  <si>
    <t>0.00339939964898397</t>
  </si>
  <si>
    <t>0.0098553386043322</t>
  </si>
  <si>
    <t>0.0260817308865112</t>
  </si>
  <si>
    <t>0.0152367131117146</t>
  </si>
  <si>
    <t>Emerged</t>
  </si>
  <si>
    <t>0.00295756025340823</t>
  </si>
  <si>
    <t>0.00250980607414456</t>
  </si>
  <si>
    <t>0.00533061183040922</t>
  </si>
  <si>
    <t>0.000958782813379716</t>
  </si>
  <si>
    <t>0.4291</t>
  </si>
  <si>
    <t>Immature</t>
  </si>
  <si>
    <t>0.0114502675232456</t>
  </si>
  <si>
    <t>0.0219865266269053</t>
  </si>
  <si>
    <t>0.0218706201511966</t>
  </si>
  <si>
    <t>0.182609895735296</t>
  </si>
  <si>
    <t xml:space="preserve"> 2.1960</t>
  </si>
  <si>
    <t>0.3091685</t>
  </si>
  <si>
    <t xml:space="preserve"> 2.4904</t>
  </si>
  <si>
    <t>0.2312608</t>
  </si>
  <si>
    <t>Tissue -Female Fatbody</t>
  </si>
  <si>
    <t>0.0167687524929846</t>
  </si>
  <si>
    <t>0.016537821281936</t>
  </si>
  <si>
    <t>0.00905011902149078</t>
  </si>
  <si>
    <t>0.00434509248417711</t>
  </si>
  <si>
    <t>ab</t>
  </si>
  <si>
    <t>0.00637752536936345</t>
  </si>
  <si>
    <t>0.00286484607072008</t>
  </si>
  <si>
    <t>0.00386647664567563</t>
  </si>
  <si>
    <t>0.00135224301433707</t>
  </si>
  <si>
    <t>2.0705</t>
  </si>
  <si>
    <t>0.3518540</t>
  </si>
  <si>
    <t>0.00918492889547376</t>
  </si>
  <si>
    <t>0.0114381634507373</t>
  </si>
  <si>
    <t>0.035313204316015</t>
  </si>
  <si>
    <t>0.0205416414787811</t>
  </si>
  <si>
    <t xml:space="preserve"> 1.9122	</t>
  </si>
  <si>
    <t>0.4049545</t>
  </si>
  <si>
    <t xml:space="preserve"> 3.9828</t>
  </si>
  <si>
    <t>0.0479666</t>
  </si>
  <si>
    <t>* p&lt;0.05</t>
  </si>
  <si>
    <t>Tissue - Male Midgut</t>
  </si>
  <si>
    <t>0.0150406344156934</t>
  </si>
  <si>
    <t>0.0360101139430804</t>
  </si>
  <si>
    <t>0.0607731364554085</t>
  </si>
  <si>
    <t>0.0282173434906588</t>
  </si>
  <si>
    <t>0.00313228830508425</t>
  </si>
  <si>
    <t>0.00493919430456862</t>
  </si>
  <si>
    <t>0.00371363006272852</t>
  </si>
  <si>
    <t>0.00166453925309127</t>
  </si>
  <si>
    <t xml:space="preserve"> 3.3969</t>
  </si>
  <si>
    <t>0.0014842291063875</t>
  </si>
  <si>
    <t>0.0450083557093769</t>
  </si>
  <si>
    <t>0.0546807404747639</t>
  </si>
  <si>
    <t>0.0569271655145248</t>
  </si>
  <si>
    <t>0.4846</t>
  </si>
  <si>
    <t xml:space="preserve"> 3.8815</t>
  </si>
  <si>
    <t>0.0536433</t>
  </si>
  <si>
    <t>Tissue - Male Fatbody</t>
  </si>
  <si>
    <t>0.00582400451015898</t>
  </si>
  <si>
    <t>0.0372070165113619</t>
  </si>
  <si>
    <t>0.0662260154565482</t>
  </si>
  <si>
    <t>0.0753891221473086</t>
  </si>
  <si>
    <t>0.00309674539795872</t>
  </si>
  <si>
    <t>0.0161498721001507</t>
  </si>
  <si>
    <t>0.00404685749130639</t>
  </si>
  <si>
    <t>0.0104613660172145</t>
  </si>
  <si>
    <t>3.1739</t>
  </si>
  <si>
    <t>0.1162690</t>
  </si>
  <si>
    <t>0.056433642439863</t>
  </si>
  <si>
    <t>0.0354946731187563</t>
  </si>
  <si>
    <t>0.0952269296555305</t>
  </si>
  <si>
    <t>0.0472093605198731</t>
  </si>
  <si>
    <t>1.0458</t>
  </si>
  <si>
    <t>0.7358030</t>
  </si>
  <si>
    <t xml:space="preserve"> 4.2197</t>
  </si>
  <si>
    <t>0.0369272</t>
  </si>
  <si>
    <t xml:space="preserve"> 4.4786</t>
  </si>
  <si>
    <t>0.0354657</t>
  </si>
  <si>
    <t>0.00230568991059324</t>
  </si>
  <si>
    <t>0.00608553090995352</t>
  </si>
  <si>
    <t>0.00529829189277015</t>
  </si>
  <si>
    <t>0.00649261357033044</t>
  </si>
  <si>
    <t>3.1247</t>
  </si>
  <si>
    <t>0.1757768</t>
  </si>
  <si>
    <t>0.294265710294358</t>
  </si>
  <si>
    <t>0.0836971245175448</t>
  </si>
  <si>
    <t>0.252629453931632</t>
  </si>
  <si>
    <t>0.111095047488554</t>
  </si>
  <si>
    <t xml:space="preserve"> 3.4412</t>
  </si>
  <si>
    <t>0.1233116</t>
  </si>
  <si>
    <t>0.0871969248070465</t>
  </si>
  <si>
    <t>0.0564434917418291</t>
  </si>
  <si>
    <t>0.071920035172158</t>
  </si>
  <si>
    <t>0.308013083238186</t>
  </si>
  <si>
    <t xml:space="preserve"> 1.3539	</t>
  </si>
  <si>
    <t>0.7574173</t>
  </si>
  <si>
    <t>0.0982845594684708</t>
  </si>
  <si>
    <t>0.169194682639817</t>
  </si>
  <si>
    <t>0.139313076613524</t>
  </si>
  <si>
    <t>0.167766458789065</t>
  </si>
  <si>
    <t>1.0374</t>
  </si>
  <si>
    <t>0.8767087</t>
  </si>
  <si>
    <t>0.3165</t>
  </si>
  <si>
    <t>0.0888323428467042</t>
  </si>
  <si>
    <t>0.0353297819651155</t>
  </si>
  <si>
    <t>0.0593112636961749</t>
  </si>
  <si>
    <t>0.130022161900725</t>
  </si>
  <si>
    <t>0.0736436927281905</t>
  </si>
  <si>
    <t>0.0331844863967954</t>
  </si>
  <si>
    <t>0.013406421357911</t>
  </si>
  <si>
    <t>0.0210627223116419</t>
  </si>
  <si>
    <t>0.00441221930213496</t>
  </si>
  <si>
    <t xml:space="preserve"> 1.3934</t>
  </si>
  <si>
    <t>0.5998389</t>
  </si>
  <si>
    <t>0.0178345755825091</t>
  </si>
  <si>
    <t>0.0584153982713933</t>
  </si>
  <si>
    <t>0.0873082417040405</t>
  </si>
  <si>
    <t>0.366289897311585</t>
  </si>
  <si>
    <t xml:space="preserve"> 1.2908</t>
  </si>
  <si>
    <t>0.6402170</t>
  </si>
  <si>
    <t xml:space="preserve"> 2.5465</t>
  </si>
  <si>
    <t>0.2183726</t>
  </si>
  <si>
    <t>0.0943422321846519</t>
  </si>
  <si>
    <t>0.118201410204226</t>
  </si>
  <si>
    <t>0.0789426300357238</t>
  </si>
  <si>
    <t>0.0545680091082221</t>
  </si>
  <si>
    <t>0.0383779391022879</t>
  </si>
  <si>
    <t>0.0215230252933336</t>
  </si>
  <si>
    <t>0.0174972372056342</t>
  </si>
  <si>
    <t>0.00714183293420522</t>
  </si>
  <si>
    <t xml:space="preserve"> 1.5350</t>
  </si>
  <si>
    <t>0.5459659</t>
  </si>
  <si>
    <t>0.106422401090354</t>
  </si>
  <si>
    <t>0.146738314101605</t>
  </si>
  <si>
    <t>0.402941022203302</t>
  </si>
  <si>
    <t>0.0979865414191964</t>
  </si>
  <si>
    <t xml:space="preserve"> 2.3950</t>
  </si>
  <si>
    <t>0.2593332</t>
  </si>
  <si>
    <t xml:space="preserve"> 3.9300</t>
  </si>
  <si>
    <t>0.0508464</t>
  </si>
  <si>
    <t>0.0245850148134963</t>
  </si>
  <si>
    <t>0.0536188088550125</t>
  </si>
  <si>
    <t>0.143560796142671</t>
  </si>
  <si>
    <t>0.045821480789266</t>
  </si>
  <si>
    <t>0.0151343240174446</t>
  </si>
  <si>
    <t>0.0180468815040124</t>
  </si>
  <si>
    <t>0.0560815444629972</t>
  </si>
  <si>
    <t>0.0132622530330498</t>
  </si>
  <si>
    <t xml:space="preserve"> 2.4182</t>
  </si>
  <si>
    <t>0.2535172</t>
  </si>
  <si>
    <t>0.00901707256691888</t>
  </si>
  <si>
    <t>0.0140956581671443</t>
  </si>
  <si>
    <t>0.0489534516914218</t>
  </si>
  <si>
    <t>0.0225528454544453</t>
  </si>
  <si>
    <t xml:space="preserve"> 2.5340</t>
  </si>
  <si>
    <t>0.2261625</t>
  </si>
  <si>
    <t>0.1158</t>
  </si>
  <si>
    <t>0.0524930427146241</t>
  </si>
  <si>
    <t>0.20353302499417</t>
  </si>
  <si>
    <t>0.532413862677953</t>
  </si>
  <si>
    <t>0.682889566667952</t>
  </si>
  <si>
    <t>0.0251583894656711</t>
  </si>
  <si>
    <t>0.15974870198159</t>
  </si>
  <si>
    <t>0.0272811911257113</t>
  </si>
  <si>
    <t>0.0507901034661914</t>
  </si>
  <si>
    <t xml:space="preserve"> 3.4143</t>
  </si>
  <si>
    <t>0.0895855</t>
  </si>
  <si>
    <t>0.11789769782745</t>
  </si>
  <si>
    <t>0.114692962020637</t>
  </si>
  <si>
    <t>0.236112335092091</t>
  </si>
  <si>
    <t>0.254667988245203</t>
  </si>
  <si>
    <t>2.1134</t>
  </si>
  <si>
    <t>0.3383056</t>
  </si>
  <si>
    <t xml:space="preserve"> 1.3009</t>
  </si>
  <si>
    <t>0.6368095</t>
  </si>
  <si>
    <t xml:space="preserve"> 3.6692</t>
  </si>
  <si>
    <t>0.0987888</t>
  </si>
  <si>
    <t>0.1360</t>
  </si>
  <si>
    <t>0.1405</t>
  </si>
  <si>
    <t>0.000692874126970519</t>
  </si>
  <si>
    <t>0.000320648444571576</t>
  </si>
  <si>
    <t>0.000606435211533909</t>
  </si>
  <si>
    <t>0.00337515015982987</t>
  </si>
  <si>
    <t xml:space="preserve"> 3.7951</t>
  </si>
  <si>
    <t>0.0855952</t>
  </si>
  <si>
    <t>0.0109175565034538</t>
  </si>
  <si>
    <t>0.0131106186852467</t>
  </si>
  <si>
    <t>0.0814016979324799</t>
  </si>
  <si>
    <t xml:space="preserve"> 3.7993</t>
  </si>
  <si>
    <t>0.0851908</t>
  </si>
  <si>
    <t>0.0000378414165939111</t>
  </si>
  <si>
    <t>0.0000581621044214355</t>
  </si>
  <si>
    <t>0.0000329445912711532</t>
  </si>
  <si>
    <t>0.00021272189868156</t>
  </si>
  <si>
    <t>0.0045</t>
  </si>
  <si>
    <t>0.0000182264539763813</t>
  </si>
  <si>
    <t>0.0000416986251998156</t>
  </si>
  <si>
    <t>0.0000380147128599301</t>
  </si>
  <si>
    <t>0.0000909595354477434</t>
  </si>
  <si>
    <t>0.0197286660952361</t>
  </si>
  <si>
    <t>0.0111317351254185</t>
  </si>
  <si>
    <t>0.000102739453387163</t>
  </si>
  <si>
    <t>0.000494928712870832</t>
  </si>
  <si>
    <t>0.00866361699661315</t>
  </si>
  <si>
    <t>1.1145</t>
  </si>
  <si>
    <t>0.7095689</t>
  </si>
  <si>
    <t>0.0349477776813097</t>
  </si>
  <si>
    <t>0.000264455145929956</t>
  </si>
  <si>
    <t>0.0127067285088125</t>
  </si>
  <si>
    <t>0.00718172318235459</t>
  </si>
  <si>
    <t xml:space="preserve"> 4.4231	</t>
  </si>
  <si>
    <t>0.0264312</t>
  </si>
  <si>
    <t>0.0228889724632072</t>
  </si>
  <si>
    <t>0.0240098157504356</t>
  </si>
  <si>
    <t>0.0349364596508534</t>
  </si>
  <si>
    <t>0.0415577832802091</t>
  </si>
  <si>
    <t>3.1388</t>
  </si>
  <si>
    <t>0.1155921</t>
  </si>
  <si>
    <t>A 2^(-Δct)</t>
  </si>
  <si>
    <t>B 2^(-Δct)</t>
  </si>
  <si>
    <t>C 2^(-Δct)</t>
  </si>
  <si>
    <t>D 2^(-Δct)</t>
  </si>
  <si>
    <t>0.020997662275796</t>
  </si>
  <si>
    <t>0.0306034304408909</t>
  </si>
  <si>
    <t>0.0130768970550378</t>
  </si>
  <si>
    <t>0.00714217285526023</t>
  </si>
  <si>
    <t>0.109220602467171</t>
  </si>
  <si>
    <t>0.0609981204661888</t>
  </si>
  <si>
    <t>0.0525873720945393</t>
  </si>
  <si>
    <t>0.0788404156794741</t>
  </si>
  <si>
    <t>7.1638</t>
  </si>
  <si>
    <t>0.0017399</t>
  </si>
  <si>
    <t>0.0102799905055791</t>
  </si>
  <si>
    <t>0.0122706197644925</t>
  </si>
  <si>
    <t>0.020446404127956</t>
  </si>
  <si>
    <t>0.00507619786283812</t>
  </si>
  <si>
    <t>0.7402</t>
  </si>
  <si>
    <t>0.8543952</t>
  </si>
  <si>
    <t xml:space="preserve"> 7.9040</t>
  </si>
  <si>
    <t>0.000355552165049644</t>
  </si>
  <si>
    <t>0.000861687446020063</t>
  </si>
  <si>
    <t>0.000915022921926765</t>
  </si>
  <si>
    <t>0.00244660505633622</t>
  </si>
  <si>
    <t>0.015910647933228</t>
  </si>
  <si>
    <t>0.0220566042649552</t>
  </si>
  <si>
    <t>0.0214831683083783</t>
  </si>
  <si>
    <t>0.0204031182838541</t>
  </si>
  <si>
    <t xml:space="preserve"> 4.6940</t>
  </si>
  <si>
    <t>0.0219440</t>
  </si>
  <si>
    <t>0.000665591306057767</t>
  </si>
  <si>
    <t>0.0282233502988702</t>
  </si>
  <si>
    <t>0.00143341002851976</t>
  </si>
  <si>
    <t>0.00114099055416221</t>
  </si>
  <si>
    <t xml:space="preserve"> 1.6765	</t>
  </si>
  <si>
    <t>0.4912717</t>
  </si>
  <si>
    <t>3.0175</t>
  </si>
  <si>
    <t>0.1373066</t>
  </si>
  <si>
    <t>0.0182487302614538</t>
  </si>
  <si>
    <t>0.125280262747019</t>
  </si>
  <si>
    <t>0.132979111208969</t>
  </si>
  <si>
    <t>0.195856526659839</t>
  </si>
  <si>
    <t>0.041905033731825</t>
  </si>
  <si>
    <t>0.195393836312494</t>
  </si>
  <si>
    <t>0.0412557686243769</t>
  </si>
  <si>
    <t>0.23528158724948</t>
  </si>
  <si>
    <t>0.2854</t>
  </si>
  <si>
    <t xml:space="preserve"> 2.4013</t>
  </si>
  <si>
    <t>0.2577352</t>
  </si>
  <si>
    <t xml:space="preserve"> 2.6867</t>
  </si>
  <si>
    <t>0.1938342</t>
  </si>
  <si>
    <t xml:space="preserve"> 3.5976</t>
  </si>
  <si>
    <t>0.1027942</t>
  </si>
  <si>
    <t xml:space="preserve"> 3.6752</t>
  </si>
  <si>
    <t>0.0938060</t>
  </si>
  <si>
    <t>0.0462360723214877</t>
  </si>
  <si>
    <t>0.174752972498657</t>
  </si>
  <si>
    <t>0.00978144022227659</t>
  </si>
  <si>
    <t>0.0497853631288547</t>
  </si>
  <si>
    <t xml:space="preserve"> 3.6633</t>
  </si>
  <si>
    <t>0.0951326</t>
  </si>
  <si>
    <t>0.00790322324082145</t>
  </si>
  <si>
    <t>0.00390189372038495</t>
  </si>
  <si>
    <t>0.00557126394658972</t>
  </si>
  <si>
    <t>0.00330857907334156</t>
  </si>
  <si>
    <t>0.0776</t>
  </si>
  <si>
    <t>0.00244123506747789</t>
  </si>
  <si>
    <t>0.000582994433781069</t>
  </si>
  <si>
    <t>0.0106092979878766</t>
  </si>
  <si>
    <t>0.00144670268534742</t>
  </si>
  <si>
    <t>0.0657</t>
  </si>
  <si>
    <t>0.00489124387632164</t>
  </si>
  <si>
    <t>0.00492838597569351</t>
  </si>
  <si>
    <t>0.0035480740402341</t>
  </si>
  <si>
    <t>0.00256875435974977</t>
  </si>
  <si>
    <t>0.0119</t>
  </si>
  <si>
    <t>0.00162073673277538</t>
  </si>
  <si>
    <t>0.0029351933977078</t>
  </si>
  <si>
    <t>0.000480829729572643</t>
  </si>
  <si>
    <t>0.00221959054419341</t>
  </si>
  <si>
    <t>0.00117120932499685</t>
  </si>
  <si>
    <t xml:space="preserve"> 4.9259</t>
  </si>
  <si>
    <t>0.0147729</t>
  </si>
  <si>
    <t>0.000137372384972445</t>
  </si>
  <si>
    <t>9.26042312136982E-06</t>
  </si>
  <si>
    <t>0.000392741401216243</t>
  </si>
  <si>
    <t>0.000236193232484095</t>
  </si>
  <si>
    <t xml:space="preserve"> 4.4103</t>
  </si>
  <si>
    <t>0.0268246</t>
  </si>
  <si>
    <t>0.000180780704364849</t>
  </si>
  <si>
    <t>0.000125139078622498</t>
  </si>
  <si>
    <t>0.000177596607955559</t>
  </si>
  <si>
    <t>0.000916518155611442</t>
  </si>
  <si>
    <t>0.4891</t>
  </si>
  <si>
    <t>0.00349211762904755</t>
  </si>
  <si>
    <t>0.00850022917108075</t>
  </si>
  <si>
    <t>0.00444441337983011</t>
  </si>
  <si>
    <t>0.00272610380441093</t>
  </si>
  <si>
    <t>0.00342995326074904</t>
  </si>
  <si>
    <t>0.00152887540383294</t>
  </si>
  <si>
    <t>0.0015527760380551</t>
  </si>
  <si>
    <t>0.000429714535446505</t>
  </si>
  <si>
    <t>1.1583</t>
  </si>
  <si>
    <t>0.6921265</t>
  </si>
  <si>
    <t>0.0300356479101381</t>
  </si>
  <si>
    <t>0.0189630023178388</t>
  </si>
  <si>
    <t>0.00891915069653433</t>
  </si>
  <si>
    <t>0.0212584961025546</t>
  </si>
  <si>
    <t xml:space="preserve"> 5.6880</t>
  </si>
  <si>
    <t>0.0075736</t>
  </si>
  <si>
    <t xml:space="preserve"> 6.8464</t>
  </si>
  <si>
    <t>0.0023579</t>
  </si>
  <si>
    <t>0.00036528600117148</t>
  </si>
  <si>
    <t>0.00113066380015033</t>
  </si>
  <si>
    <t>0.000882459070260055</t>
  </si>
  <si>
    <t>0.00212994860182695</t>
  </si>
  <si>
    <t>0.00094020122904099</t>
  </si>
  <si>
    <t>0.00443425392955498</t>
  </si>
  <si>
    <t>0.00273971796942069</t>
  </si>
  <si>
    <t>0.00102602623832662</t>
  </si>
  <si>
    <t xml:space="preserve"> 2.1945</t>
  </si>
  <si>
    <t>0.3139127</t>
  </si>
  <si>
    <t>0.00225411913126572</t>
  </si>
  <si>
    <t>0.00195540639143303</t>
  </si>
  <si>
    <t>0.00246023788503173</t>
  </si>
  <si>
    <t>0.00242172259083022</t>
  </si>
  <si>
    <t>2.1714</t>
  </si>
  <si>
    <t>0.3206855</t>
  </si>
  <si>
    <t>0.0231</t>
  </si>
  <si>
    <t>0.00995734956043415</t>
  </si>
  <si>
    <t>0.010688885527032</t>
  </si>
  <si>
    <t>0.00924930571296918</t>
  </si>
  <si>
    <t>0.00844642441991885</t>
  </si>
  <si>
    <t>0.00747947572232734</t>
  </si>
  <si>
    <t>0.0176030871519128</t>
  </si>
  <si>
    <t>0.00696771731665721</t>
  </si>
  <si>
    <t>0.0167245825752709</t>
  </si>
  <si>
    <t xml:space="preserve"> 1.5051	</t>
  </si>
  <si>
    <t>0.5575451</t>
  </si>
  <si>
    <t>0.00259158519597381</t>
  </si>
  <si>
    <t>0.00173603913111873</t>
  </si>
  <si>
    <t>0.00281733215724189</t>
  </si>
  <si>
    <t>0.00505506842162347</t>
  </si>
  <si>
    <t xml:space="preserve"> 3.7715</t>
  </si>
  <si>
    <t>0.0605636</t>
  </si>
  <si>
    <t xml:space="preserve"> 5.2766</t>
  </si>
  <si>
    <t>0.0116999</t>
  </si>
  <si>
    <t>A vs B</t>
  </si>
  <si>
    <t>Ityp-CE20</t>
  </si>
  <si>
    <t> </t>
  </si>
  <si>
    <t xml:space="preserve"> Tukey HSD </t>
  </si>
  <si>
    <t xml:space="preserve"> Q statistic </t>
  </si>
  <si>
    <t xml:space="preserve">                4.3465</t>
  </si>
  <si>
    <t>0.0417365</t>
  </si>
  <si>
    <t xml:space="preserve">                1.8968</t>
  </si>
  <si>
    <t>0.5527782</t>
  </si>
  <si>
    <t xml:space="preserve">                0.4478</t>
  </si>
  <si>
    <t>0.000279534</t>
  </si>
  <si>
    <t>0.000899556</t>
  </si>
  <si>
    <t>0.000434113</t>
  </si>
  <si>
    <t>0.000227047</t>
  </si>
  <si>
    <t xml:space="preserve">                2.4496</t>
  </si>
  <si>
    <t>0.3506222</t>
  </si>
  <si>
    <t>2.92618E-05</t>
  </si>
  <si>
    <t>1.57776E-05</t>
  </si>
  <si>
    <t>3.8612E-05</t>
  </si>
  <si>
    <t>7.53044E-05</t>
  </si>
  <si>
    <t xml:space="preserve">                3.8987</t>
  </si>
  <si>
    <t>0.0719951</t>
  </si>
  <si>
    <t>8.13801E-05</t>
  </si>
  <si>
    <t>0.000204544</t>
  </si>
  <si>
    <t>0.000477037</t>
  </si>
  <si>
    <t>0.000343564</t>
  </si>
  <si>
    <t xml:space="preserve">                1.4490</t>
  </si>
  <si>
    <t>0.7215635</t>
  </si>
  <si>
    <t>0.000346586</t>
  </si>
  <si>
    <t>0.000310039</t>
  </si>
  <si>
    <t>0.000657356</t>
  </si>
  <si>
    <t>0.000353054</t>
  </si>
  <si>
    <t>0.0000448553</t>
  </si>
  <si>
    <t>0.0000116407</t>
  </si>
  <si>
    <t>0.0001771958</t>
  </si>
  <si>
    <t>0.0000145372</t>
  </si>
  <si>
    <t xml:space="preserve">                5.7928</t>
  </si>
  <si>
    <t>0.0085494</t>
  </si>
  <si>
    <t>0.0012596320</t>
  </si>
  <si>
    <t>0.0023962757</t>
  </si>
  <si>
    <t>0.0008322223</t>
  </si>
  <si>
    <t>0.0009349110</t>
  </si>
  <si>
    <t xml:space="preserve">                2.8403</t>
  </si>
  <si>
    <t>0.1719235</t>
  </si>
  <si>
    <t>0.000817903</t>
  </si>
  <si>
    <t>0.000595475</t>
  </si>
  <si>
    <t>0.000828218</t>
  </si>
  <si>
    <t xml:space="preserve">                2.5228</t>
  </si>
  <si>
    <t>0.234797</t>
  </si>
  <si>
    <t>0.0000771195</t>
  </si>
  <si>
    <t>0.0001733209</t>
  </si>
  <si>
    <t>0.0000770961</t>
  </si>
  <si>
    <t>0.0001368049</t>
  </si>
  <si>
    <t>0.0086974491</t>
  </si>
  <si>
    <t>0.0131698583</t>
  </si>
  <si>
    <t>0.0130028701</t>
  </si>
  <si>
    <t xml:space="preserve">              16.7431</t>
  </si>
  <si>
    <t>0.0001132618</t>
  </si>
  <si>
    <t>0.0002339083</t>
  </si>
  <si>
    <t>0.0004688313</t>
  </si>
  <si>
    <t xml:space="preserve">                0.1685</t>
  </si>
  <si>
    <t xml:space="preserve">              16.5871</t>
  </si>
  <si>
    <t>3.82364E-05</t>
  </si>
  <si>
    <t>0.000178082</t>
  </si>
  <si>
    <t>0.001331698</t>
  </si>
  <si>
    <t>0.000527731</t>
  </si>
  <si>
    <t>0.001060683</t>
  </si>
  <si>
    <t>0.004959033</t>
  </si>
  <si>
    <t>0.000935366</t>
  </si>
  <si>
    <t>0.000916748</t>
  </si>
  <si>
    <t xml:space="preserve">                2.4159</t>
  </si>
  <si>
    <t>0.2541019</t>
  </si>
  <si>
    <t>9.1444E-05</t>
  </si>
  <si>
    <t>0.000133669</t>
  </si>
  <si>
    <t>6.86225E-05</t>
  </si>
  <si>
    <t>9.39622E-05</t>
  </si>
  <si>
    <t xml:space="preserve">                0.7036</t>
  </si>
  <si>
    <t>0.8686029</t>
  </si>
  <si>
    <t xml:space="preserve">                3.1195</t>
  </si>
  <si>
    <t>I.00</t>
  </si>
  <si>
    <t>0.0017257643</t>
  </si>
  <si>
    <t>0.0028205261</t>
  </si>
  <si>
    <t>0.0031982919</t>
  </si>
  <si>
    <t>0.0059863898</t>
  </si>
  <si>
    <t>0.0105707539</t>
  </si>
  <si>
    <t>0.0064328218</t>
  </si>
  <si>
    <t>0.0089721346</t>
  </si>
  <si>
    <t>0.0165889970</t>
  </si>
  <si>
    <t xml:space="preserve">                5.0183</t>
  </si>
  <si>
    <t>0.0154338</t>
  </si>
  <si>
    <t>0.0014741266</t>
  </si>
  <si>
    <t>0.0026130259</t>
  </si>
  <si>
    <t>0.0019748369</t>
  </si>
  <si>
    <t>0.0052630150</t>
  </si>
  <si>
    <t xml:space="preserve">                0.4187</t>
  </si>
  <si>
    <t xml:space="preserve">                5.4371</t>
  </si>
  <si>
    <t>0.0098644</t>
  </si>
  <si>
    <t>Breaker - Ityp-N8625 (gut)</t>
  </si>
  <si>
    <t>Female gut</t>
  </si>
  <si>
    <t>Live stage</t>
  </si>
  <si>
    <t>SE (F)</t>
  </si>
  <si>
    <t>Female</t>
  </si>
  <si>
    <t>Male</t>
  </si>
  <si>
    <t>SE (M)</t>
  </si>
  <si>
    <t>Y</t>
  </si>
  <si>
    <t>L1 (Whole body)</t>
  </si>
  <si>
    <t>L2 (Whole body)</t>
  </si>
  <si>
    <t>L3 (Whole body)</t>
  </si>
  <si>
    <t>Pupa (Whole body)</t>
  </si>
  <si>
    <t>Immature (Gut)</t>
  </si>
  <si>
    <t>Immature (FB)</t>
  </si>
  <si>
    <t>Female FB</t>
  </si>
  <si>
    <t>Emerged (Gut)</t>
  </si>
  <si>
    <t>Emerged (FB)</t>
  </si>
  <si>
    <t>Fed (Gut)</t>
  </si>
  <si>
    <t>Fed (FB)</t>
  </si>
  <si>
    <t> ** represents P &lt; 0.01, * represents P &lt; 0.05</t>
  </si>
  <si>
    <t>Male gut</t>
  </si>
  <si>
    <t>T-Test</t>
  </si>
  <si>
    <t>Male FB</t>
  </si>
  <si>
    <t>*</t>
  </si>
  <si>
    <t>*** represents P &lt; 0.001, ** represents P &lt; 0.01, * represents P &lt; 0.05</t>
  </si>
  <si>
    <t>Breaker - Ityp-N58466 (gut)</t>
  </si>
  <si>
    <t>male gut</t>
  </si>
  <si>
    <t>male FB</t>
  </si>
  <si>
    <t>male</t>
  </si>
  <si>
    <t>Maker - Ityp-N62638 = 11977</t>
  </si>
  <si>
    <t>**</t>
  </si>
  <si>
    <t>Maker - Ityp-N109299 (gut)</t>
  </si>
  <si>
    <t>F_F_G</t>
  </si>
  <si>
    <t>F_E_G</t>
  </si>
  <si>
    <t>F_I_G</t>
  </si>
  <si>
    <t>***</t>
  </si>
  <si>
    <t>Student’s t-tests ( * = p &lt; 0.05, * * = p &lt; 0.01, * * * = p &lt; 0.001)</t>
  </si>
  <si>
    <t>Whole body</t>
  </si>
  <si>
    <t>Female Midgut</t>
  </si>
  <si>
    <t>Female Fatbody</t>
  </si>
  <si>
    <t>Male Midgut</t>
  </si>
  <si>
    <t>Male Fatbody</t>
  </si>
  <si>
    <t>0.0001529473</t>
  </si>
  <si>
    <t>0.0002795342</t>
  </si>
  <si>
    <t>0.0008995557</t>
  </si>
  <si>
    <t>0.0004341125</t>
  </si>
  <si>
    <t>0.0002270468</t>
  </si>
  <si>
    <t>0.0004600623</t>
  </si>
  <si>
    <t>0.0000127478</t>
  </si>
  <si>
    <t>0.0000292618</t>
  </si>
  <si>
    <t>0.0000157776</t>
  </si>
  <si>
    <t>0.0000386120</t>
  </si>
  <si>
    <t>0.0000753044</t>
  </si>
  <si>
    <t>0.0000397389</t>
  </si>
  <si>
    <t>0.0000856164</t>
  </si>
  <si>
    <t>0.0000813801</t>
  </si>
  <si>
    <t>0.0002045438</t>
  </si>
  <si>
    <t>0.0004770370</t>
  </si>
  <si>
    <t>0.0003435636</t>
  </si>
  <si>
    <t>0.0002766311</t>
  </si>
  <si>
    <t>0.0000807562</t>
  </si>
  <si>
    <t>0.0003465860</t>
  </si>
  <si>
    <t>0.0003100387</t>
  </si>
  <si>
    <t>0.0006573561</t>
  </si>
  <si>
    <t>0.0003530541</t>
  </si>
  <si>
    <t>0.0004167587</t>
  </si>
  <si>
    <t>0.0000391075</t>
  </si>
  <si>
    <t>0.0000620573</t>
  </si>
  <si>
    <t>0.213001897</t>
  </si>
  <si>
    <t>0.0003585990</t>
  </si>
  <si>
    <t>0.0013557602</t>
  </si>
  <si>
    <t>0.596371634</t>
  </si>
  <si>
    <t>0.0000759204</t>
  </si>
  <si>
    <t>0.0007471985</t>
  </si>
  <si>
    <t>0.011406018</t>
  </si>
  <si>
    <t>0.0000237060</t>
  </si>
  <si>
    <t>0.0001160854</t>
  </si>
  <si>
    <t>0.035243624</t>
  </si>
  <si>
    <t>0.0014637657</t>
  </si>
  <si>
    <t>0.0116233925</t>
  </si>
  <si>
    <t>0.722307132</t>
  </si>
  <si>
    <t>0.0001010249</t>
  </si>
  <si>
    <t>0.0003409696</t>
  </si>
  <si>
    <t>0.052801358</t>
  </si>
  <si>
    <t>0.0002898151</t>
  </si>
  <si>
    <t>0.0000382364</t>
  </si>
  <si>
    <t>0.0001780819</t>
  </si>
  <si>
    <t>0.0013316984</t>
  </si>
  <si>
    <t>0.0005277313</t>
  </si>
  <si>
    <t>0.0005189370</t>
  </si>
  <si>
    <t>0.0009975372</t>
  </si>
  <si>
    <t>0.0010606830</t>
  </si>
  <si>
    <t>0.0049590329</t>
  </si>
  <si>
    <t>0.0009353659</t>
  </si>
  <si>
    <t>0.0009167484</t>
  </si>
  <si>
    <t>0.0019679576</t>
  </si>
  <si>
    <t>0.0000135092</t>
  </si>
  <si>
    <t>0.0000914440</t>
  </si>
  <si>
    <t>0.0001336690</t>
  </si>
  <si>
    <t>0.0000686225</t>
  </si>
  <si>
    <t>0.0000939622</t>
  </si>
  <si>
    <t>0.0000969244</t>
  </si>
  <si>
    <t>0.0009066727</t>
  </si>
  <si>
    <t>0.0034327430</t>
  </si>
  <si>
    <t>0.0021578824</t>
  </si>
  <si>
    <t>0.0106411768</t>
  </si>
  <si>
    <t>0.0008434221</t>
  </si>
  <si>
    <t>0.0028312511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</si>
</sst>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_-* #,##0.0000_-;\-* #,##0.0000_-;_-* &quot;-&quot;??_-;_-@_-"/>
    <numFmt numFmtId="166" formatCode="0.00000"/>
    <numFmt numFmtId="167" formatCode="0.000000"/>
    <numFmt numFmtId="168" formatCode="0.0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rgb="FF202124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Aptos"/>
      <family val="2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2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/>
    <xf numFmtId="0" fontId="7" fillId="3" borderId="0" xfId="0" applyFont="1" applyFill="1"/>
    <xf numFmtId="0" fontId="0" fillId="3" borderId="0" xfId="0" applyFill="1"/>
    <xf numFmtId="0" fontId="6" fillId="3" borderId="0" xfId="0" applyFont="1" applyFill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0" fillId="0" borderId="14" xfId="0" applyBorder="1"/>
    <xf numFmtId="0" fontId="5" fillId="0" borderId="0" xfId="0" applyFont="1"/>
    <xf numFmtId="0" fontId="0" fillId="0" borderId="17" xfId="0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3" borderId="0" xfId="0" applyFont="1" applyFill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0" borderId="19" xfId="0" applyBorder="1"/>
    <xf numFmtId="0" fontId="0" fillId="0" borderId="24" xfId="0" applyBorder="1"/>
    <xf numFmtId="0" fontId="0" fillId="3" borderId="5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/>
    <xf numFmtId="0" fontId="1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7" fontId="0" fillId="2" borderId="22" xfId="0" applyNumberFormat="1" applyFill="1" applyBorder="1" applyAlignment="1">
      <alignment horizontal="center" vertical="center"/>
    </xf>
    <xf numFmtId="17" fontId="0" fillId="5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" fontId="0" fillId="2" borderId="5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17" fontId="0" fillId="5" borderId="22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" fontId="0" fillId="4" borderId="5" xfId="0" applyNumberFormat="1" applyFill="1" applyBorder="1" applyAlignment="1">
      <alignment horizontal="center" vertical="center"/>
    </xf>
    <xf numFmtId="164" fontId="0" fillId="5" borderId="22" xfId="0" applyNumberFormat="1" applyFill="1" applyBorder="1" applyAlignment="1">
      <alignment horizontal="center" vertical="center"/>
    </xf>
    <xf numFmtId="17" fontId="5" fillId="0" borderId="3" xfId="0" applyNumberFormat="1" applyFont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17" fontId="0" fillId="4" borderId="22" xfId="0" applyNumberFormat="1" applyFill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6" borderId="19" xfId="0" applyFill="1" applyBorder="1"/>
    <xf numFmtId="0" fontId="0" fillId="6" borderId="0" xfId="0" applyFill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4" xfId="0" applyFill="1" applyBorder="1"/>
    <xf numFmtId="0" fontId="0" fillId="6" borderId="23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" fontId="0" fillId="6" borderId="0" xfId="0" applyNumberFormat="1" applyFill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0" fillId="6" borderId="17" xfId="0" applyFill="1" applyBorder="1"/>
    <xf numFmtId="0" fontId="0" fillId="6" borderId="18" xfId="0" applyFill="1" applyBorder="1" applyAlignment="1">
      <alignment horizontal="center" vertical="center"/>
    </xf>
    <xf numFmtId="17" fontId="0" fillId="6" borderId="18" xfId="0" applyNumberForma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7" fontId="0" fillId="0" borderId="23" xfId="0" applyNumberForma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7" fontId="0" fillId="5" borderId="3" xfId="0" applyNumberForma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65" fontId="5" fillId="0" borderId="3" xfId="2" applyNumberFormat="1" applyFont="1" applyBorder="1" applyAlignment="1">
      <alignment horizontal="center" vertical="center"/>
    </xf>
    <xf numFmtId="165" fontId="0" fillId="2" borderId="22" xfId="2" applyNumberFormat="1" applyFont="1" applyFill="1" applyBorder="1" applyAlignment="1">
      <alignment horizontal="center" vertical="center"/>
    </xf>
    <xf numFmtId="165" fontId="0" fillId="4" borderId="5" xfId="2" applyNumberFormat="1" applyFont="1" applyFill="1" applyBorder="1" applyAlignment="1">
      <alignment horizontal="center" vertical="center"/>
    </xf>
    <xf numFmtId="165" fontId="0" fillId="5" borderId="5" xfId="2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5" fontId="0" fillId="5" borderId="22" xfId="2" applyNumberFormat="1" applyFont="1" applyFill="1" applyBorder="1" applyAlignment="1">
      <alignment horizontal="center" vertical="center"/>
    </xf>
    <xf numFmtId="165" fontId="0" fillId="2" borderId="5" xfId="2" applyNumberFormat="1" applyFont="1" applyFill="1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165" fontId="0" fillId="4" borderId="22" xfId="2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5" fontId="0" fillId="2" borderId="3" xfId="2" applyNumberFormat="1" applyFont="1" applyFill="1" applyBorder="1" applyAlignment="1">
      <alignment horizontal="center" vertical="center"/>
    </xf>
    <xf numFmtId="165" fontId="0" fillId="0" borderId="0" xfId="2" applyNumberFormat="1" applyFont="1"/>
    <xf numFmtId="0" fontId="5" fillId="6" borderId="14" xfId="0" applyFont="1" applyFill="1" applyBorder="1" applyAlignment="1">
      <alignment horizontal="center" vertical="center"/>
    </xf>
    <xf numFmtId="165" fontId="5" fillId="6" borderId="1" xfId="2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165" fontId="5" fillId="6" borderId="3" xfId="2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65" fontId="0" fillId="6" borderId="0" xfId="2" applyNumberFormat="1" applyFont="1" applyFill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167" fontId="0" fillId="4" borderId="5" xfId="0" applyNumberFormat="1" applyFill="1" applyBorder="1" applyAlignment="1">
      <alignment horizontal="center" vertical="center"/>
    </xf>
    <xf numFmtId="165" fontId="0" fillId="5" borderId="3" xfId="2" applyNumberFormat="1" applyFont="1" applyFill="1" applyBorder="1" applyAlignment="1">
      <alignment horizontal="center" vertical="center"/>
    </xf>
    <xf numFmtId="168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3" fillId="0" borderId="15" xfId="0" applyFont="1" applyFill="1" applyBorder="1" applyAlignment="1"/>
    <xf numFmtId="0" fontId="14" fillId="0" borderId="0" xfId="0" applyFont="1" applyFill="1" applyBorder="1" applyAlignment="1"/>
    <xf numFmtId="0" fontId="14" fillId="0" borderId="5" xfId="0" applyFont="1" applyFill="1" applyBorder="1" applyAlignment="1"/>
    <xf numFmtId="0" fontId="15" fillId="0" borderId="6" xfId="0" applyFont="1" applyFill="1" applyBorder="1" applyAlignment="1"/>
    <xf numFmtId="0" fontId="14" fillId="0" borderId="22" xfId="0" applyFont="1" applyFill="1" applyBorder="1" applyAlignment="1"/>
    <xf numFmtId="0" fontId="14" fillId="7" borderId="22" xfId="0" applyFont="1" applyFill="1" applyBorder="1" applyAlignment="1"/>
    <xf numFmtId="0" fontId="16" fillId="0" borderId="0" xfId="0" applyFont="1" applyFill="1" applyBorder="1" applyAlignment="1"/>
    <xf numFmtId="0" fontId="14" fillId="8" borderId="17" xfId="0" applyFont="1" applyFill="1" applyBorder="1" applyAlignment="1"/>
    <xf numFmtId="0" fontId="14" fillId="8" borderId="18" xfId="0" applyFont="1" applyFill="1" applyBorder="1" applyAlignment="1"/>
    <xf numFmtId="0" fontId="15" fillId="8" borderId="14" xfId="0" applyFont="1" applyFill="1" applyBorder="1" applyAlignment="1"/>
    <xf numFmtId="0" fontId="15" fillId="8" borderId="27" xfId="0" applyFont="1" applyFill="1" applyBorder="1" applyAlignment="1"/>
    <xf numFmtId="0" fontId="15" fillId="8" borderId="28" xfId="0" applyFont="1" applyFill="1" applyBorder="1" applyAlignment="1"/>
    <xf numFmtId="0" fontId="14" fillId="8" borderId="16" xfId="0" applyFont="1" applyFill="1" applyBorder="1" applyAlignment="1"/>
    <xf numFmtId="0" fontId="14" fillId="8" borderId="19" xfId="0" applyFont="1" applyFill="1" applyBorder="1" applyAlignment="1"/>
    <xf numFmtId="0" fontId="14" fillId="8" borderId="0" xfId="0" applyFont="1" applyFill="1" applyBorder="1" applyAlignment="1"/>
    <xf numFmtId="0" fontId="15" fillId="8" borderId="29" xfId="0" applyFont="1" applyFill="1" applyBorder="1" applyAlignment="1"/>
    <xf numFmtId="0" fontId="15" fillId="8" borderId="30" xfId="0" applyFont="1" applyFill="1" applyBorder="1" applyAlignment="1"/>
    <xf numFmtId="0" fontId="15" fillId="8" borderId="25" xfId="0" applyFont="1" applyFill="1" applyBorder="1" applyAlignment="1"/>
    <xf numFmtId="0" fontId="14" fillId="8" borderId="5" xfId="0" applyFont="1" applyFill="1" applyBorder="1" applyAlignment="1"/>
    <xf numFmtId="0" fontId="14" fillId="8" borderId="6" xfId="0" applyFont="1" applyFill="1" applyBorder="1" applyAlignment="1"/>
    <xf numFmtId="0" fontId="14" fillId="8" borderId="20" xfId="0" applyFont="1" applyFill="1" applyBorder="1" applyAlignment="1"/>
    <xf numFmtId="0" fontId="17" fillId="8" borderId="15" xfId="0" applyFont="1" applyFill="1" applyBorder="1" applyAlignment="1"/>
    <xf numFmtId="0" fontId="14" fillId="9" borderId="22" xfId="0" applyFont="1" applyFill="1" applyBorder="1" applyAlignment="1"/>
    <xf numFmtId="0" fontId="14" fillId="9" borderId="31" xfId="0" applyFont="1" applyFill="1" applyBorder="1" applyAlignment="1"/>
    <xf numFmtId="0" fontId="14" fillId="0" borderId="31" xfId="0" applyFont="1" applyFill="1" applyBorder="1" applyAlignment="1"/>
    <xf numFmtId="0" fontId="14" fillId="8" borderId="31" xfId="0" applyFont="1" applyFill="1" applyBorder="1" applyAlignment="1"/>
    <xf numFmtId="0" fontId="15" fillId="8" borderId="22" xfId="0" applyFont="1" applyFill="1" applyBorder="1" applyAlignment="1"/>
    <xf numFmtId="0" fontId="15" fillId="8" borderId="6" xfId="0" applyFont="1" applyFill="1" applyBorder="1" applyAlignment="1"/>
    <xf numFmtId="0" fontId="15" fillId="8" borderId="32" xfId="0" applyFont="1" applyFill="1" applyBorder="1" applyAlignment="1"/>
    <xf numFmtId="0" fontId="15" fillId="8" borderId="6" xfId="0" applyFont="1" applyFill="1" applyBorder="1" applyAlignment="1"/>
    <xf numFmtId="0" fontId="14" fillId="10" borderId="22" xfId="0" applyFont="1" applyFill="1" applyBorder="1" applyAlignment="1"/>
    <xf numFmtId="0" fontId="14" fillId="10" borderId="31" xfId="0" applyFont="1" applyFill="1" applyBorder="1" applyAlignment="1"/>
    <xf numFmtId="0" fontId="15" fillId="8" borderId="22" xfId="0" quotePrefix="1" applyFont="1" applyFill="1" applyBorder="1" applyAlignment="1"/>
    <xf numFmtId="0" fontId="15" fillId="8" borderId="31" xfId="0" applyFont="1" applyFill="1" applyBorder="1" applyAlignment="1"/>
    <xf numFmtId="0" fontId="14" fillId="8" borderId="22" xfId="0" applyFont="1" applyFill="1" applyBorder="1" applyAlignment="1"/>
    <xf numFmtId="0" fontId="15" fillId="8" borderId="5" xfId="0" applyFont="1" applyFill="1" applyBorder="1" applyAlignment="1"/>
    <xf numFmtId="0" fontId="15" fillId="8" borderId="33" xfId="0" applyFont="1" applyFill="1" applyBorder="1" applyAlignment="1"/>
    <xf numFmtId="0" fontId="15" fillId="8" borderId="0" xfId="0" applyFont="1" applyFill="1" applyBorder="1" applyAlignment="1"/>
    <xf numFmtId="0" fontId="14" fillId="11" borderId="22" xfId="0" applyFont="1" applyFill="1" applyBorder="1" applyAlignment="1"/>
    <xf numFmtId="0" fontId="14" fillId="11" borderId="31" xfId="0" applyFont="1" applyFill="1" applyBorder="1" applyAlignment="1"/>
    <xf numFmtId="0" fontId="14" fillId="8" borderId="24" xfId="0" applyFont="1" applyFill="1" applyBorder="1" applyAlignment="1"/>
    <xf numFmtId="0" fontId="14" fillId="8" borderId="23" xfId="0" applyFont="1" applyFill="1" applyBorder="1" applyAlignment="1"/>
    <xf numFmtId="0" fontId="14" fillId="11" borderId="34" xfId="0" applyFont="1" applyFill="1" applyBorder="1" applyAlignment="1"/>
    <xf numFmtId="0" fontId="14" fillId="11" borderId="30" xfId="0" applyFont="1" applyFill="1" applyBorder="1" applyAlignment="1"/>
    <xf numFmtId="0" fontId="14" fillId="8" borderId="25" xfId="0" applyFont="1" applyFill="1" applyBorder="1" applyAlignment="1"/>
    <xf numFmtId="0" fontId="15" fillId="8" borderId="27" xfId="0" applyFont="1" applyFill="1" applyBorder="1" applyAlignment="1">
      <alignment wrapText="1"/>
    </xf>
    <xf numFmtId="0" fontId="15" fillId="8" borderId="30" xfId="0" applyFont="1" applyFill="1" applyBorder="1" applyAlignment="1">
      <alignment wrapText="1"/>
    </xf>
    <xf numFmtId="0" fontId="14" fillId="9" borderId="31" xfId="0" applyFont="1" applyFill="1" applyBorder="1" applyAlignment="1">
      <alignment wrapText="1"/>
    </xf>
    <xf numFmtId="0" fontId="14" fillId="10" borderId="31" xfId="0" applyFont="1" applyFill="1" applyBorder="1" applyAlignment="1">
      <alignment wrapText="1"/>
    </xf>
    <xf numFmtId="0" fontId="14" fillId="8" borderId="0" xfId="0" applyFont="1" applyFill="1" applyBorder="1" applyAlignment="1">
      <alignment wrapText="1"/>
    </xf>
    <xf numFmtId="0" fontId="14" fillId="11" borderId="31" xfId="0" applyFont="1" applyFill="1" applyBorder="1" applyAlignment="1">
      <alignment wrapText="1"/>
    </xf>
    <xf numFmtId="0" fontId="14" fillId="11" borderId="30" xfId="0" applyFont="1" applyFill="1" applyBorder="1" applyAlignment="1">
      <alignment wrapText="1"/>
    </xf>
    <xf numFmtId="0" fontId="18" fillId="0" borderId="15" xfId="0" applyFont="1" applyFill="1" applyBorder="1" applyAlignment="1"/>
    <xf numFmtId="0" fontId="13" fillId="0" borderId="0" xfId="0" applyFont="1" applyFill="1" applyBorder="1" applyAlignment="1"/>
    <xf numFmtId="0" fontId="8" fillId="0" borderId="0" xfId="0" applyFont="1" applyFill="1" applyBorder="1" applyAlignment="1"/>
    <xf numFmtId="0" fontId="14" fillId="0" borderId="0" xfId="0" quotePrefix="1" applyFont="1" applyFill="1" applyBorder="1" applyAlignment="1"/>
  </cellXfs>
  <cellStyles count="3">
    <cellStyle name="Čárka" xfId="2" builtinId="3"/>
    <cellStyle name="Normal 2" xfId="1" xr:uid="{869555C0-E70B-4C60-98E3-1602AA6E689E}"/>
    <cellStyle name="Normální" xfId="0" builtinId="0"/>
  </cellStyles>
  <dxfs count="0"/>
  <tableStyles count="0" defaultTableStyle="TableStyleMedium2" defaultPivotStyle="PivotStyleLight16"/>
  <colors>
    <mruColors>
      <color rgb="FF0000FF"/>
      <color rgb="FFFF3399"/>
      <color rgb="FFF99DF2"/>
      <color rgb="FFF06AD6"/>
      <color rgb="FFEE8512"/>
      <color rgb="FFFFC000"/>
      <color rgb="FFE4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A!$D$3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A!$C$4:$C$13</c:f>
                <c:numCache>
                  <c:formatCode>General</c:formatCode>
                  <c:ptCount val="10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4.1117770308747456E-2</c:v>
                  </c:pt>
                  <c:pt idx="5">
                    <c:v>5.9298480873821949E-3</c:v>
                  </c:pt>
                  <c:pt idx="6">
                    <c:v>9.0487655777681127E-4</c:v>
                  </c:pt>
                  <c:pt idx="7">
                    <c:v>1.0558403728725841E-3</c:v>
                  </c:pt>
                  <c:pt idx="8">
                    <c:v>4.5816759038038932E-2</c:v>
                  </c:pt>
                  <c:pt idx="9">
                    <c:v>3.0305512263294914E-3</c:v>
                  </c:pt>
                </c:numCache>
              </c:numRef>
            </c:plus>
            <c:minus>
              <c:numRef>
                <c:f>A!$C$4:$C$13</c:f>
                <c:numCache>
                  <c:formatCode>General</c:formatCode>
                  <c:ptCount val="10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4.1117770308747456E-2</c:v>
                  </c:pt>
                  <c:pt idx="5">
                    <c:v>5.9298480873821949E-3</c:v>
                  </c:pt>
                  <c:pt idx="6">
                    <c:v>9.0487655777681127E-4</c:v>
                  </c:pt>
                  <c:pt idx="7">
                    <c:v>1.0558403728725841E-3</c:v>
                  </c:pt>
                  <c:pt idx="8">
                    <c:v>4.5816759038038932E-2</c:v>
                  </c:pt>
                  <c:pt idx="9">
                    <c:v>3.0305512263294914E-3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A!$B$4:$B$13</c:f>
              <c:strCache>
                <c:ptCount val="10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Immature (FB)</c:v>
                </c:pt>
                <c:pt idx="6">
                  <c:v>Emerged (Gut)</c:v>
                </c:pt>
                <c:pt idx="7">
                  <c:v>Emerged (FB)</c:v>
                </c:pt>
                <c:pt idx="8">
                  <c:v>Fed (Gut)</c:v>
                </c:pt>
                <c:pt idx="9">
                  <c:v>Fed (FB)</c:v>
                </c:pt>
              </c:strCache>
            </c:strRef>
          </c:cat>
          <c:val>
            <c:numRef>
              <c:f>A!$D$4:$D$13</c:f>
              <c:numCache>
                <c:formatCode>General</c:formatCode>
                <c:ptCount val="10"/>
                <c:pt idx="0">
                  <c:v>-1.5918574627301701E-2</c:v>
                </c:pt>
                <c:pt idx="1">
                  <c:v>-1.91286655372363E-2</c:v>
                </c:pt>
                <c:pt idx="2">
                  <c:v>-7.3176986130940702E-2</c:v>
                </c:pt>
                <c:pt idx="3">
                  <c:v>-6.1191160507091799E-3</c:v>
                </c:pt>
                <c:pt idx="4">
                  <c:v>-5.9479327509160802E-2</c:v>
                </c:pt>
                <c:pt idx="5">
                  <c:v>-1.91194845352518E-2</c:v>
                </c:pt>
                <c:pt idx="6">
                  <c:v>-2.9391902428354301E-3</c:v>
                </c:pt>
                <c:pt idx="7">
                  <c:v>-3.6152727750240598E-3</c:v>
                </c:pt>
                <c:pt idx="8">
                  <c:v>-7.4508064690238601E-2</c:v>
                </c:pt>
                <c:pt idx="9">
                  <c:v>-1.1675446320147101E-2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E-4E6D-B744-6449E8581B51}"/>
            </c:ext>
          </c:extLst>
        </c:ser>
        <c:ser>
          <c:idx val="1"/>
          <c:order val="1"/>
          <c:tx>
            <c:strRef>
              <c:f>A!$E$3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A!$F$4:$F$13</c:f>
                <c:numCache>
                  <c:formatCode>General</c:formatCode>
                  <c:ptCount val="10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1.2941210897390818E-2</c:v>
                  </c:pt>
                  <c:pt idx="5">
                    <c:v>1.2941623951216412E-2</c:v>
                  </c:pt>
                  <c:pt idx="6">
                    <c:v>6.7978705876918575E-4</c:v>
                  </c:pt>
                  <c:pt idx="7">
                    <c:v>3.0465569714892139E-3</c:v>
                  </c:pt>
                  <c:pt idx="8">
                    <c:v>9.6161980179085577E-3</c:v>
                  </c:pt>
                  <c:pt idx="9">
                    <c:v>1.5716591535239795E-2</c:v>
                  </c:pt>
                </c:numCache>
              </c:numRef>
            </c:plus>
            <c:minus>
              <c:numRef>
                <c:f>A!$F$4:$F$13</c:f>
                <c:numCache>
                  <c:formatCode>General</c:formatCode>
                  <c:ptCount val="10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1.2941210897390818E-2</c:v>
                  </c:pt>
                  <c:pt idx="5">
                    <c:v>1.2941623951216412E-2</c:v>
                  </c:pt>
                  <c:pt idx="6">
                    <c:v>6.7978705876918575E-4</c:v>
                  </c:pt>
                  <c:pt idx="7">
                    <c:v>3.0465569714892139E-3</c:v>
                  </c:pt>
                  <c:pt idx="8">
                    <c:v>9.6161980179085577E-3</c:v>
                  </c:pt>
                  <c:pt idx="9">
                    <c:v>1.5716591535239795E-2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A!$B$4:$B$13</c:f>
              <c:strCache>
                <c:ptCount val="10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Immature (FB)</c:v>
                </c:pt>
                <c:pt idx="6">
                  <c:v>Emerged (Gut)</c:v>
                </c:pt>
                <c:pt idx="7">
                  <c:v>Emerged (FB)</c:v>
                </c:pt>
                <c:pt idx="8">
                  <c:v>Fed (Gut)</c:v>
                </c:pt>
                <c:pt idx="9">
                  <c:v>Fed (FB)</c:v>
                </c:pt>
              </c:strCache>
            </c:strRef>
          </c:cat>
          <c:val>
            <c:numRef>
              <c:f>A!$E$4:$E$13</c:f>
              <c:numCache>
                <c:formatCode>General</c:formatCode>
                <c:ptCount val="10"/>
                <c:pt idx="0">
                  <c:v>1.5918574627301733E-2</c:v>
                </c:pt>
                <c:pt idx="1">
                  <c:v>1.9128665537236335E-2</c:v>
                </c:pt>
                <c:pt idx="2">
                  <c:v>7.3176986130940661E-2</c:v>
                </c:pt>
                <c:pt idx="3">
                  <c:v>6.1191160507091816E-3</c:v>
                </c:pt>
                <c:pt idx="4">
                  <c:v>3.9525122701263266E-2</c:v>
                </c:pt>
                <c:pt idx="5">
                  <c:v>5.8591151433505725E-2</c:v>
                </c:pt>
                <c:pt idx="6">
                  <c:v>3.3624129813681668E-3</c:v>
                </c:pt>
                <c:pt idx="7">
                  <c:v>8.4387102516575649E-3</c:v>
                </c:pt>
                <c:pt idx="8">
                  <c:v>3.5010307076210265E-2</c:v>
                </c:pt>
                <c:pt idx="9">
                  <c:v>4.6161539656344452E-2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E-4E6D-B744-6449E8581B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baseline="0">
                <a:solidFill>
                  <a:schemeClr val="tx1"/>
                </a:solidFill>
              </a:rPr>
              <a:t>Average 2^(-</a:t>
            </a:r>
            <a:r>
              <a:rPr lang="el-GR" baseline="0">
                <a:solidFill>
                  <a:schemeClr val="tx1"/>
                </a:solidFill>
              </a:rPr>
              <a:t>Δ</a:t>
            </a:r>
            <a:r>
              <a:rPr lang="cs-CZ" baseline="0">
                <a:solidFill>
                  <a:schemeClr val="tx1"/>
                </a:solidFill>
              </a:rPr>
              <a:t>ct) for guts</a:t>
            </a:r>
          </a:p>
        </c:rich>
      </c:tx>
      <c:layout>
        <c:manualLayout>
          <c:xMode val="edge"/>
          <c:yMode val="edge"/>
          <c:x val="0.27691497995834968"/>
          <c:y val="3.30579766647195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A!$H$17</c:f>
              <c:strCache>
                <c:ptCount val="1"/>
                <c:pt idx="0">
                  <c:v>Female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A!$C$18:$C$24</c:f>
                <c:numCache>
                  <c:formatCode>General</c:formatCode>
                  <c:ptCount val="7"/>
                  <c:pt idx="0">
                    <c:v>4.5816759038038932E-2</c:v>
                  </c:pt>
                  <c:pt idx="1">
                    <c:v>9.0487655777681127E-4</c:v>
                  </c:pt>
                  <c:pt idx="2">
                    <c:v>4.1117770308747456E-2</c:v>
                  </c:pt>
                  <c:pt idx="3">
                    <c:v>1.3915808249714157E-3</c:v>
                  </c:pt>
                  <c:pt idx="4">
                    <c:v>9.1117817019702192E-3</c:v>
                  </c:pt>
                  <c:pt idx="5">
                    <c:v>6.7498536500957464E-3</c:v>
                  </c:pt>
                  <c:pt idx="6">
                    <c:v>2.3674524029672901E-3</c:v>
                  </c:pt>
                </c:numCache>
              </c:numRef>
            </c:plus>
            <c:minus>
              <c:numRef>
                <c:f>A!$C$18:$C$24</c:f>
                <c:numCache>
                  <c:formatCode>General</c:formatCode>
                  <c:ptCount val="7"/>
                  <c:pt idx="0">
                    <c:v>4.5816759038038932E-2</c:v>
                  </c:pt>
                  <c:pt idx="1">
                    <c:v>9.0487655777681127E-4</c:v>
                  </c:pt>
                  <c:pt idx="2">
                    <c:v>4.1117770308747456E-2</c:v>
                  </c:pt>
                  <c:pt idx="3">
                    <c:v>1.3915808249714157E-3</c:v>
                  </c:pt>
                  <c:pt idx="4">
                    <c:v>9.1117817019702192E-3</c:v>
                  </c:pt>
                  <c:pt idx="5">
                    <c:v>6.7498536500957464E-3</c:v>
                  </c:pt>
                  <c:pt idx="6">
                    <c:v>2.3674524029672901E-3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A!$H$18:$H$24</c:f>
              <c:numCache>
                <c:formatCode>General</c:formatCode>
                <c:ptCount val="7"/>
                <c:pt idx="0">
                  <c:v>7.4508064690238601E-2</c:v>
                </c:pt>
                <c:pt idx="1">
                  <c:v>2.9391902428354301E-3</c:v>
                </c:pt>
                <c:pt idx="2">
                  <c:v>5.9479327509160802E-2</c:v>
                </c:pt>
                <c:pt idx="3">
                  <c:v>6.1191160507091816E-3</c:v>
                </c:pt>
                <c:pt idx="4">
                  <c:v>7.3176986130940661E-2</c:v>
                </c:pt>
                <c:pt idx="5">
                  <c:v>1.9128665537236335E-2</c:v>
                </c:pt>
                <c:pt idx="6">
                  <c:v>1.5918574627301733E-2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C-4F82-AC71-FE98DB1B0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tx>
            <c:v>data points fed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A!$L$4:$L$7</c:f>
              <c:numCache>
                <c:formatCode>General</c:formatCode>
                <c:ptCount val="4"/>
                <c:pt idx="0">
                  <c:v>7.9826106481348205E-2</c:v>
                </c:pt>
                <c:pt idx="1">
                  <c:v>5.3843357318307901E-3</c:v>
                </c:pt>
                <c:pt idx="2">
                  <c:v>0.20219230149288325</c:v>
                </c:pt>
                <c:pt idx="3">
                  <c:v>1.0629515054892177E-2</c:v>
                </c:pt>
              </c:numCache>
            </c:numRef>
          </c:xVal>
          <c:yVal>
            <c:numRef>
              <c:f>A!$K$4:$K$7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9C-4F82-AC71-FE98DB1B0CF5}"/>
            </c:ext>
          </c:extLst>
        </c:ser>
        <c:ser>
          <c:idx val="2"/>
          <c:order val="2"/>
          <c:tx>
            <c:v>data L1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A!$Y$4:$Y$7</c:f>
              <c:numCache>
                <c:formatCode>General</c:formatCode>
                <c:ptCount val="4"/>
                <c:pt idx="0">
                  <c:v>1.1030722715282987E-2</c:v>
                </c:pt>
                <c:pt idx="1">
                  <c:v>1.7613935511883748E-2</c:v>
                </c:pt>
                <c:pt idx="2">
                  <c:v>1.3307883830540769E-2</c:v>
                </c:pt>
                <c:pt idx="3">
                  <c:v>2.172175645149943E-2</c:v>
                </c:pt>
              </c:numCache>
            </c:numRef>
          </c:xVal>
          <c:yVal>
            <c:numRef>
              <c:f>A!$X$4:$X$7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9C-4F82-AC71-FE98DB1B0CF5}"/>
            </c:ext>
          </c:extLst>
        </c:ser>
        <c:ser>
          <c:idx val="3"/>
          <c:order val="3"/>
          <c:tx>
            <c:v>data L2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A!$W$4:$W$7</c:f>
              <c:numCache>
                <c:formatCode>General</c:formatCode>
                <c:ptCount val="4"/>
                <c:pt idx="0">
                  <c:v>1.5551591341001373E-2</c:v>
                </c:pt>
                <c:pt idx="1">
                  <c:v>8.4271279447394615E-3</c:v>
                </c:pt>
                <c:pt idx="2">
                  <c:v>1.3668992353580076E-2</c:v>
                </c:pt>
                <c:pt idx="3">
                  <c:v>3.8866950509624423E-2</c:v>
                </c:pt>
              </c:numCache>
            </c:numRef>
          </c:xVal>
          <c:yVal>
            <c:numRef>
              <c:f>A!$V$4:$V$7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99C-4F82-AC71-FE98DB1B0CF5}"/>
            </c:ext>
          </c:extLst>
        </c:ser>
        <c:ser>
          <c:idx val="4"/>
          <c:order val="4"/>
          <c:tx>
            <c:v>data L3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A!$U$4:$U$7</c:f>
              <c:numCache>
                <c:formatCode>General</c:formatCode>
                <c:ptCount val="4"/>
                <c:pt idx="0">
                  <c:v>8.5582110305342338E-2</c:v>
                </c:pt>
                <c:pt idx="1">
                  <c:v>4.6100141633703573E-2</c:v>
                </c:pt>
                <c:pt idx="2">
                  <c:v>7.9612155699901099E-2</c:v>
                </c:pt>
                <c:pt idx="3">
                  <c:v>8.1413536884815618E-2</c:v>
                </c:pt>
              </c:numCache>
            </c:numRef>
          </c:xVal>
          <c:yVal>
            <c:numRef>
              <c:f>A!$T$4:$T$7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99C-4F82-AC71-FE98DB1B0CF5}"/>
            </c:ext>
          </c:extLst>
        </c:ser>
        <c:ser>
          <c:idx val="5"/>
          <c:order val="5"/>
          <c:tx>
            <c:v>data Pupa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A!$S$4:$S$7</c:f>
              <c:numCache>
                <c:formatCode>General</c:formatCode>
                <c:ptCount val="4"/>
                <c:pt idx="0">
                  <c:v>8.6419846539795685E-3</c:v>
                </c:pt>
                <c:pt idx="1">
                  <c:v>6.310019587597685E-3</c:v>
                </c:pt>
                <c:pt idx="2">
                  <c:v>3.0988545900309116E-3</c:v>
                </c:pt>
                <c:pt idx="3">
                  <c:v>6.4256053712285627E-3</c:v>
                </c:pt>
              </c:numCache>
            </c:numRef>
          </c:xVal>
          <c:yVal>
            <c:numRef>
              <c:f>A!$R$4:$R$7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99C-4F82-AC71-FE98DB1B0CF5}"/>
            </c:ext>
          </c:extLst>
        </c:ser>
        <c:ser>
          <c:idx val="6"/>
          <c:order val="6"/>
          <c:tx>
            <c:v>data Immature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A!$Q$4:$Q$7</c:f>
              <c:numCache>
                <c:formatCode>General</c:formatCode>
                <c:ptCount val="4"/>
                <c:pt idx="0">
                  <c:v>1.1450267523245607E-2</c:v>
                </c:pt>
                <c:pt idx="1">
                  <c:v>2.1986526626905294E-2</c:v>
                </c:pt>
                <c:pt idx="2">
                  <c:v>2.1870620151196569E-2</c:v>
                </c:pt>
                <c:pt idx="3">
                  <c:v>0.18260989573529574</c:v>
                </c:pt>
              </c:numCache>
            </c:numRef>
          </c:xVal>
          <c:yVal>
            <c:numRef>
              <c:f>A!$P$4:$P$7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99C-4F82-AC71-FE98DB1B0CF5}"/>
            </c:ext>
          </c:extLst>
        </c:ser>
        <c:ser>
          <c:idx val="7"/>
          <c:order val="7"/>
          <c:tx>
            <c:v>data Emmerged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A!$O$4:$O$7</c:f>
              <c:numCache>
                <c:formatCode>General</c:formatCode>
                <c:ptCount val="4"/>
                <c:pt idx="0">
                  <c:v>2.9575602534082273E-3</c:v>
                </c:pt>
                <c:pt idx="1">
                  <c:v>2.5098060741445567E-3</c:v>
                </c:pt>
                <c:pt idx="2">
                  <c:v>5.3306118304092187E-3</c:v>
                </c:pt>
                <c:pt idx="3">
                  <c:v>9.5878281337971583E-4</c:v>
                </c:pt>
              </c:numCache>
            </c:numRef>
          </c:xVal>
          <c:yVal>
            <c:numRef>
              <c:f>A!$M$4:$M$7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99C-4F82-AC71-FE98DB1B0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axMin"/>
          <c:max val="0.2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axMin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7.8247919915532191E-2"/>
          <c:y val="3.6750233717038477E-2"/>
          <c:w val="0.11961262070737962"/>
          <c:h val="0.15460503901333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baseline="0">
                <a:solidFill>
                  <a:schemeClr val="tx1"/>
                </a:solidFill>
              </a:rPr>
              <a:t>Average 2^(-</a:t>
            </a:r>
            <a:r>
              <a:rPr lang="el-GR" baseline="0">
                <a:solidFill>
                  <a:schemeClr val="tx1"/>
                </a:solidFill>
              </a:rPr>
              <a:t>Δ</a:t>
            </a:r>
            <a:r>
              <a:rPr lang="cs-CZ" baseline="0">
                <a:solidFill>
                  <a:schemeClr val="tx1"/>
                </a:solidFill>
              </a:rPr>
              <a:t>ct) for fatbody</a:t>
            </a:r>
          </a:p>
        </c:rich>
      </c:tx>
      <c:layout>
        <c:manualLayout>
          <c:xMode val="edge"/>
          <c:yMode val="edge"/>
          <c:x val="0.27418893095702346"/>
          <c:y val="3.2988729224399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A!$H$26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A!$C$27:$C$33</c:f>
                <c:numCache>
                  <c:formatCode>General</c:formatCode>
                  <c:ptCount val="7"/>
                  <c:pt idx="0">
                    <c:v>3.0305512263294914E-3</c:v>
                  </c:pt>
                  <c:pt idx="1">
                    <c:v>1.0558403728725841E-3</c:v>
                  </c:pt>
                  <c:pt idx="2">
                    <c:v>5.9298480873821949E-3</c:v>
                  </c:pt>
                  <c:pt idx="3">
                    <c:v>1.3915808249714157E-3</c:v>
                  </c:pt>
                  <c:pt idx="4">
                    <c:v>9.1117817019702192E-3</c:v>
                  </c:pt>
                  <c:pt idx="5">
                    <c:v>6.7498536500957464E-3</c:v>
                  </c:pt>
                  <c:pt idx="6">
                    <c:v>2.3674524029672901E-3</c:v>
                  </c:pt>
                </c:numCache>
              </c:numRef>
            </c:plus>
            <c:minus>
              <c:numRef>
                <c:f>A!$C$27:$C$33</c:f>
                <c:numCache>
                  <c:formatCode>General</c:formatCode>
                  <c:ptCount val="7"/>
                  <c:pt idx="0">
                    <c:v>3.0305512263294914E-3</c:v>
                  </c:pt>
                  <c:pt idx="1">
                    <c:v>1.0558403728725841E-3</c:v>
                  </c:pt>
                  <c:pt idx="2">
                    <c:v>5.9298480873821949E-3</c:v>
                  </c:pt>
                  <c:pt idx="3">
                    <c:v>1.3915808249714157E-3</c:v>
                  </c:pt>
                  <c:pt idx="4">
                    <c:v>9.1117817019702192E-3</c:v>
                  </c:pt>
                  <c:pt idx="5">
                    <c:v>6.7498536500957464E-3</c:v>
                  </c:pt>
                  <c:pt idx="6">
                    <c:v>2.3674524029672901E-3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A!$H$27:$H$33</c:f>
              <c:numCache>
                <c:formatCode>General</c:formatCode>
                <c:ptCount val="7"/>
                <c:pt idx="0">
                  <c:v>1.1675446320147101E-2</c:v>
                </c:pt>
                <c:pt idx="1">
                  <c:v>3.6152727750240598E-3</c:v>
                </c:pt>
                <c:pt idx="2">
                  <c:v>1.91194845352518E-2</c:v>
                </c:pt>
                <c:pt idx="3">
                  <c:v>6.1191160507091816E-3</c:v>
                </c:pt>
                <c:pt idx="4">
                  <c:v>7.3176986130940661E-2</c:v>
                </c:pt>
                <c:pt idx="5">
                  <c:v>1.9128665537236335E-2</c:v>
                </c:pt>
                <c:pt idx="6">
                  <c:v>1.5918574627301733E-2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6-4F9D-AD34-ADF0BE0A6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A!$L$11:$L$14</c:f>
              <c:numCache>
                <c:formatCode>General</c:formatCode>
                <c:ptCount val="4"/>
                <c:pt idx="0">
                  <c:v>1.6768752492984589E-2</c:v>
                </c:pt>
                <c:pt idx="1">
                  <c:v>1.6537821281936028E-2</c:v>
                </c:pt>
                <c:pt idx="2">
                  <c:v>9.0501190214907767E-3</c:v>
                </c:pt>
                <c:pt idx="3">
                  <c:v>4.3450924841771125E-3</c:v>
                </c:pt>
              </c:numCache>
            </c:numRef>
          </c:xVal>
          <c:yVal>
            <c:numRef>
              <c:f>A!$K$11:$K$14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56-4F9D-AD34-ADF0BE0A69A6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A!$Y$11:$Y$14</c:f>
              <c:numCache>
                <c:formatCode>General</c:formatCode>
                <c:ptCount val="4"/>
                <c:pt idx="0">
                  <c:v>1.1030722715282987E-2</c:v>
                </c:pt>
                <c:pt idx="1">
                  <c:v>1.7613935511883748E-2</c:v>
                </c:pt>
                <c:pt idx="2">
                  <c:v>1.3307883830540769E-2</c:v>
                </c:pt>
                <c:pt idx="3">
                  <c:v>2.172175645149943E-2</c:v>
                </c:pt>
              </c:numCache>
            </c:numRef>
          </c:xVal>
          <c:yVal>
            <c:numRef>
              <c:f>A!$X$11:$X$14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56-4F9D-AD34-ADF0BE0A69A6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A!$W$11:$W$14</c:f>
              <c:numCache>
                <c:formatCode>General</c:formatCode>
                <c:ptCount val="4"/>
                <c:pt idx="0">
                  <c:v>1.5551591341001373E-2</c:v>
                </c:pt>
                <c:pt idx="1">
                  <c:v>8.4271279447394615E-3</c:v>
                </c:pt>
                <c:pt idx="2">
                  <c:v>1.3668992353580076E-2</c:v>
                </c:pt>
                <c:pt idx="3">
                  <c:v>3.8866950509624423E-2</c:v>
                </c:pt>
              </c:numCache>
            </c:numRef>
          </c:xVal>
          <c:yVal>
            <c:numRef>
              <c:f>A!$V$11:$V$14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56-4F9D-AD34-ADF0BE0A69A6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A!$U$11:$U$14</c:f>
              <c:numCache>
                <c:formatCode>General</c:formatCode>
                <c:ptCount val="4"/>
                <c:pt idx="0">
                  <c:v>8.5582110305342338E-2</c:v>
                </c:pt>
                <c:pt idx="1">
                  <c:v>4.6100141633703573E-2</c:v>
                </c:pt>
                <c:pt idx="2">
                  <c:v>7.9612155699901099E-2</c:v>
                </c:pt>
                <c:pt idx="3">
                  <c:v>8.1413536884815618E-2</c:v>
                </c:pt>
              </c:numCache>
            </c:numRef>
          </c:xVal>
          <c:yVal>
            <c:numRef>
              <c:f>A!$T$11:$T$14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56-4F9D-AD34-ADF0BE0A69A6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A!$S$11:$S$14</c:f>
              <c:numCache>
                <c:formatCode>General</c:formatCode>
                <c:ptCount val="4"/>
                <c:pt idx="0">
                  <c:v>8.6419846539795685E-3</c:v>
                </c:pt>
                <c:pt idx="1">
                  <c:v>6.310019587597685E-3</c:v>
                </c:pt>
                <c:pt idx="2">
                  <c:v>3.0988545900309116E-3</c:v>
                </c:pt>
                <c:pt idx="3">
                  <c:v>6.4256053712285627E-3</c:v>
                </c:pt>
              </c:numCache>
            </c:numRef>
          </c:xVal>
          <c:yVal>
            <c:numRef>
              <c:f>A!$R$11:$R$14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56-4F9D-AD34-ADF0BE0A69A6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A!$Q$11:$Q$14</c:f>
              <c:numCache>
                <c:formatCode>General</c:formatCode>
                <c:ptCount val="4"/>
                <c:pt idx="0">
                  <c:v>9.1849288954737561E-3</c:v>
                </c:pt>
                <c:pt idx="1">
                  <c:v>1.1438163450737277E-2</c:v>
                </c:pt>
                <c:pt idx="2">
                  <c:v>3.5313204316015021E-2</c:v>
                </c:pt>
                <c:pt idx="3">
                  <c:v>2.0541641478781091E-2</c:v>
                </c:pt>
              </c:numCache>
            </c:numRef>
          </c:xVal>
          <c:yVal>
            <c:numRef>
              <c:f>A!$P$11:$P$14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56-4F9D-AD34-ADF0BE0A69A6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A!$O$11:$O$14</c:f>
              <c:numCache>
                <c:formatCode>General</c:formatCode>
                <c:ptCount val="4"/>
                <c:pt idx="0">
                  <c:v>6.3775253693634532E-3</c:v>
                </c:pt>
                <c:pt idx="1">
                  <c:v>2.8648460707200759E-3</c:v>
                </c:pt>
                <c:pt idx="2">
                  <c:v>3.866476645675626E-3</c:v>
                </c:pt>
                <c:pt idx="3">
                  <c:v>1.3522430143370664E-3</c:v>
                </c:pt>
              </c:numCache>
            </c:numRef>
          </c:xVal>
          <c:yVal>
            <c:numRef>
              <c:f>A!$M$11:$M$14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56-4F9D-AD34-ADF0BE0A6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axMin"/>
          <c:max val="0.2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axMin"/>
          <c:max val="0.25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2684297776034172E-2"/>
          <c:y val="0.14800737558056604"/>
          <c:w val="0.11961262070737962"/>
          <c:h val="0.15460503901333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A!$H$35</c:f>
              <c:strCache>
                <c:ptCount val="1"/>
                <c:pt idx="0">
                  <c:v>Male</c:v>
                </c:pt>
              </c:strCache>
            </c:strRef>
          </c:tx>
          <c:spPr>
            <a:pattFill prst="wdDnDiag">
              <a:fgClr>
                <a:schemeClr val="bg1"/>
              </a:fgClr>
              <a:bgClr>
                <a:schemeClr val="tx1">
                  <a:lumMod val="95000"/>
                  <a:lumOff val="5000"/>
                </a:schemeClr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A!$C$36:$C$42</c:f>
                <c:numCache>
                  <c:formatCode>General</c:formatCode>
                  <c:ptCount val="7"/>
                  <c:pt idx="0">
                    <c:v>9.6161980179085577E-3</c:v>
                  </c:pt>
                  <c:pt idx="1">
                    <c:v>6.7978705876918575E-4</c:v>
                  </c:pt>
                  <c:pt idx="2">
                    <c:v>1.2941210897390818E-2</c:v>
                  </c:pt>
                  <c:pt idx="3">
                    <c:v>1.3915808249714157E-3</c:v>
                  </c:pt>
                  <c:pt idx="4">
                    <c:v>9.1117817019702192E-3</c:v>
                  </c:pt>
                  <c:pt idx="5">
                    <c:v>6.7498536500957464E-3</c:v>
                  </c:pt>
                  <c:pt idx="6">
                    <c:v>2.3674524029672901E-3</c:v>
                  </c:pt>
                </c:numCache>
              </c:numRef>
            </c:plus>
            <c:minus>
              <c:numRef>
                <c:f>A!$C$36:$C$42</c:f>
                <c:numCache>
                  <c:formatCode>General</c:formatCode>
                  <c:ptCount val="7"/>
                  <c:pt idx="0">
                    <c:v>9.6161980179085577E-3</c:v>
                  </c:pt>
                  <c:pt idx="1">
                    <c:v>6.7978705876918575E-4</c:v>
                  </c:pt>
                  <c:pt idx="2">
                    <c:v>1.2941210897390818E-2</c:v>
                  </c:pt>
                  <c:pt idx="3">
                    <c:v>1.3915808249714157E-3</c:v>
                  </c:pt>
                  <c:pt idx="4">
                    <c:v>9.1117817019702192E-3</c:v>
                  </c:pt>
                  <c:pt idx="5">
                    <c:v>6.7498536500957464E-3</c:v>
                  </c:pt>
                  <c:pt idx="6">
                    <c:v>2.3674524029672901E-3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A!$H$36:$H$42</c:f>
              <c:numCache>
                <c:formatCode>General</c:formatCode>
                <c:ptCount val="7"/>
                <c:pt idx="0">
                  <c:v>3.5010307076210265E-2</c:v>
                </c:pt>
                <c:pt idx="1">
                  <c:v>3.3624129813681668E-3</c:v>
                </c:pt>
                <c:pt idx="2">
                  <c:v>3.9525122701263266E-2</c:v>
                </c:pt>
                <c:pt idx="3">
                  <c:v>6.1191160507091816E-3</c:v>
                </c:pt>
                <c:pt idx="4">
                  <c:v>7.3176986130940661E-2</c:v>
                </c:pt>
                <c:pt idx="5">
                  <c:v>1.9128665537236335E-2</c:v>
                </c:pt>
                <c:pt idx="6">
                  <c:v>1.5918574627301733E-2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F-4698-A4D8-DD3D4ACEA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A!$L$18:$L$21</c:f>
              <c:numCache>
                <c:formatCode>General</c:formatCode>
                <c:ptCount val="4"/>
                <c:pt idx="0">
                  <c:v>1.5040634415693423E-2</c:v>
                </c:pt>
                <c:pt idx="1">
                  <c:v>3.6010113943080388E-2</c:v>
                </c:pt>
                <c:pt idx="2">
                  <c:v>6.0773136455408459E-2</c:v>
                </c:pt>
                <c:pt idx="3">
                  <c:v>2.8217343490658811E-2</c:v>
                </c:pt>
              </c:numCache>
            </c:numRef>
          </c:xVal>
          <c:yVal>
            <c:numRef>
              <c:f>A!$K$18:$K$21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EF-4698-A4D8-DD3D4ACEA906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A!$Y$18:$Y$21</c:f>
              <c:numCache>
                <c:formatCode>General</c:formatCode>
                <c:ptCount val="4"/>
                <c:pt idx="0">
                  <c:v>1.1030722715282987E-2</c:v>
                </c:pt>
                <c:pt idx="1">
                  <c:v>1.7613935511883748E-2</c:v>
                </c:pt>
                <c:pt idx="2">
                  <c:v>1.3307883830540769E-2</c:v>
                </c:pt>
                <c:pt idx="3">
                  <c:v>2.172175645149943E-2</c:v>
                </c:pt>
              </c:numCache>
            </c:numRef>
          </c:xVal>
          <c:yVal>
            <c:numRef>
              <c:f>A!$X$18:$X$21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EF-4698-A4D8-DD3D4ACEA906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A!$W$18:$W$21</c:f>
              <c:numCache>
                <c:formatCode>General</c:formatCode>
                <c:ptCount val="4"/>
                <c:pt idx="0">
                  <c:v>1.5551591341001373E-2</c:v>
                </c:pt>
                <c:pt idx="1">
                  <c:v>8.4271279447394615E-3</c:v>
                </c:pt>
                <c:pt idx="2">
                  <c:v>1.3668992353580076E-2</c:v>
                </c:pt>
                <c:pt idx="3">
                  <c:v>3.8866950509624423E-2</c:v>
                </c:pt>
              </c:numCache>
            </c:numRef>
          </c:xVal>
          <c:yVal>
            <c:numRef>
              <c:f>A!$V$18:$V$21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BEF-4698-A4D8-DD3D4ACEA906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A!$U$18:$U$21</c:f>
              <c:numCache>
                <c:formatCode>General</c:formatCode>
                <c:ptCount val="4"/>
                <c:pt idx="0">
                  <c:v>8.5582110305342338E-2</c:v>
                </c:pt>
                <c:pt idx="1">
                  <c:v>4.6100141633703573E-2</c:v>
                </c:pt>
                <c:pt idx="2">
                  <c:v>7.9612155699901099E-2</c:v>
                </c:pt>
                <c:pt idx="3">
                  <c:v>8.1413536884815618E-2</c:v>
                </c:pt>
              </c:numCache>
            </c:numRef>
          </c:xVal>
          <c:yVal>
            <c:numRef>
              <c:f>A!$T$18:$T$21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BEF-4698-A4D8-DD3D4ACEA906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A!$S$18:$S$21</c:f>
              <c:numCache>
                <c:formatCode>General</c:formatCode>
                <c:ptCount val="4"/>
                <c:pt idx="0">
                  <c:v>8.6419846539795685E-3</c:v>
                </c:pt>
                <c:pt idx="1">
                  <c:v>6.310019587597685E-3</c:v>
                </c:pt>
                <c:pt idx="2">
                  <c:v>3.0988545900309116E-3</c:v>
                </c:pt>
                <c:pt idx="3">
                  <c:v>6.4256053712285627E-3</c:v>
                </c:pt>
              </c:numCache>
            </c:numRef>
          </c:xVal>
          <c:yVal>
            <c:numRef>
              <c:f>A!$R$18:$R$21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BEF-4698-A4D8-DD3D4ACEA906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A!$Q$18:$Q$21</c:f>
              <c:numCache>
                <c:formatCode>General</c:formatCode>
                <c:ptCount val="4"/>
                <c:pt idx="0">
                  <c:v>1.4842291063875029E-3</c:v>
                </c:pt>
                <c:pt idx="1">
                  <c:v>4.5008355709376904E-2</c:v>
                </c:pt>
                <c:pt idx="2">
                  <c:v>5.46807404747639E-2</c:v>
                </c:pt>
                <c:pt idx="3">
                  <c:v>5.6927165514524765E-2</c:v>
                </c:pt>
              </c:numCache>
            </c:numRef>
          </c:xVal>
          <c:yVal>
            <c:numRef>
              <c:f>A!$P$18:$P$21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BEF-4698-A4D8-DD3D4ACEA906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A!$O$18:$O$21</c:f>
              <c:numCache>
                <c:formatCode>General</c:formatCode>
                <c:ptCount val="4"/>
                <c:pt idx="0">
                  <c:v>3.1322883050842491E-3</c:v>
                </c:pt>
                <c:pt idx="1">
                  <c:v>4.9391943045686247E-3</c:v>
                </c:pt>
                <c:pt idx="2">
                  <c:v>3.7136300627285193E-3</c:v>
                </c:pt>
                <c:pt idx="3">
                  <c:v>1.6645392530912741E-3</c:v>
                </c:pt>
              </c:numCache>
            </c:numRef>
          </c:xVal>
          <c:yVal>
            <c:numRef>
              <c:f>A!$M$18:$M$21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BEF-4698-A4D8-DD3D4ACEA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inMax"/>
          <c:max val="0.2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inMax"/>
          <c:max val="0.25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A!$H$44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A!$C$45:$C$51</c:f>
                <c:numCache>
                  <c:formatCode>General</c:formatCode>
                  <c:ptCount val="7"/>
                  <c:pt idx="0">
                    <c:v>1.5716591535239795E-2</c:v>
                  </c:pt>
                  <c:pt idx="1">
                    <c:v>3.0465569714892139E-3</c:v>
                  </c:pt>
                  <c:pt idx="2">
                    <c:v>1.2941623951216412E-2</c:v>
                  </c:pt>
                  <c:pt idx="3">
                    <c:v>1.3915808249714157E-3</c:v>
                  </c:pt>
                  <c:pt idx="4">
                    <c:v>9.1117817019702192E-3</c:v>
                  </c:pt>
                  <c:pt idx="5">
                    <c:v>6.7498536500957464E-3</c:v>
                  </c:pt>
                  <c:pt idx="6">
                    <c:v>2.3674524029672901E-3</c:v>
                  </c:pt>
                </c:numCache>
              </c:numRef>
            </c:plus>
            <c:minus>
              <c:numRef>
                <c:f>A!$C$45:$C$51</c:f>
                <c:numCache>
                  <c:formatCode>General</c:formatCode>
                  <c:ptCount val="7"/>
                  <c:pt idx="0">
                    <c:v>1.5716591535239795E-2</c:v>
                  </c:pt>
                  <c:pt idx="1">
                    <c:v>3.0465569714892139E-3</c:v>
                  </c:pt>
                  <c:pt idx="2">
                    <c:v>1.2941623951216412E-2</c:v>
                  </c:pt>
                  <c:pt idx="3">
                    <c:v>1.3915808249714157E-3</c:v>
                  </c:pt>
                  <c:pt idx="4">
                    <c:v>9.1117817019702192E-3</c:v>
                  </c:pt>
                  <c:pt idx="5">
                    <c:v>6.7498536500957464E-3</c:v>
                  </c:pt>
                  <c:pt idx="6">
                    <c:v>2.3674524029672901E-3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A!$H$45:$H$51</c:f>
              <c:numCache>
                <c:formatCode>General</c:formatCode>
                <c:ptCount val="7"/>
                <c:pt idx="0">
                  <c:v>4.6161539656344452E-2</c:v>
                </c:pt>
                <c:pt idx="1">
                  <c:v>8.4387102516575649E-3</c:v>
                </c:pt>
                <c:pt idx="2">
                  <c:v>5.8591151433505725E-2</c:v>
                </c:pt>
                <c:pt idx="3">
                  <c:v>6.1191160507091816E-3</c:v>
                </c:pt>
                <c:pt idx="4">
                  <c:v>7.3176986130940661E-2</c:v>
                </c:pt>
                <c:pt idx="5">
                  <c:v>1.9128665537236335E-2</c:v>
                </c:pt>
                <c:pt idx="6">
                  <c:v>1.5918574627301733E-2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6-44C7-843B-4B2EB8F9A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A!$L$25:$L$28</c:f>
              <c:numCache>
                <c:formatCode>General</c:formatCode>
                <c:ptCount val="4"/>
                <c:pt idx="0">
                  <c:v>5.82400451015898E-3</c:v>
                </c:pt>
                <c:pt idx="1">
                  <c:v>3.7207016511361934E-2</c:v>
                </c:pt>
                <c:pt idx="2">
                  <c:v>6.6226015456548243E-2</c:v>
                </c:pt>
                <c:pt idx="3">
                  <c:v>7.538912214730864E-2</c:v>
                </c:pt>
              </c:numCache>
            </c:numRef>
          </c:xVal>
          <c:yVal>
            <c:numRef>
              <c:f>A!$K$25:$K$28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36-44C7-843B-4B2EB8F9AD6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A!$Y$25:$Y$28</c:f>
              <c:numCache>
                <c:formatCode>General</c:formatCode>
                <c:ptCount val="4"/>
                <c:pt idx="0">
                  <c:v>1.1030722715282987E-2</c:v>
                </c:pt>
                <c:pt idx="1">
                  <c:v>1.7613935511883748E-2</c:v>
                </c:pt>
                <c:pt idx="2">
                  <c:v>1.3307883830540769E-2</c:v>
                </c:pt>
                <c:pt idx="3">
                  <c:v>2.172175645149943E-2</c:v>
                </c:pt>
              </c:numCache>
            </c:numRef>
          </c:xVal>
          <c:yVal>
            <c:numRef>
              <c:f>A!$X$25:$X$28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36-44C7-843B-4B2EB8F9AD69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A!$W$25:$W$28</c:f>
              <c:numCache>
                <c:formatCode>General</c:formatCode>
                <c:ptCount val="4"/>
                <c:pt idx="0">
                  <c:v>1.5551591341001373E-2</c:v>
                </c:pt>
                <c:pt idx="1">
                  <c:v>8.4271279447394615E-3</c:v>
                </c:pt>
                <c:pt idx="2">
                  <c:v>1.3668992353580076E-2</c:v>
                </c:pt>
                <c:pt idx="3">
                  <c:v>3.8866950509624423E-2</c:v>
                </c:pt>
              </c:numCache>
            </c:numRef>
          </c:xVal>
          <c:yVal>
            <c:numRef>
              <c:f>A!$V$25:$V$28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36-44C7-843B-4B2EB8F9AD69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A!$U$25:$U$28</c:f>
              <c:numCache>
                <c:formatCode>General</c:formatCode>
                <c:ptCount val="4"/>
                <c:pt idx="0">
                  <c:v>8.5582110305342338E-2</c:v>
                </c:pt>
                <c:pt idx="1">
                  <c:v>4.6100141633703573E-2</c:v>
                </c:pt>
                <c:pt idx="2">
                  <c:v>7.9612155699901099E-2</c:v>
                </c:pt>
                <c:pt idx="3">
                  <c:v>8.1413536884815618E-2</c:v>
                </c:pt>
              </c:numCache>
            </c:numRef>
          </c:xVal>
          <c:yVal>
            <c:numRef>
              <c:f>A!$T$25:$T$28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D36-44C7-843B-4B2EB8F9AD69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A!$S$25:$S$28</c:f>
              <c:numCache>
                <c:formatCode>General</c:formatCode>
                <c:ptCount val="4"/>
                <c:pt idx="0">
                  <c:v>8.6419846539795685E-3</c:v>
                </c:pt>
                <c:pt idx="1">
                  <c:v>6.310019587597685E-3</c:v>
                </c:pt>
                <c:pt idx="2">
                  <c:v>3.0988545900309116E-3</c:v>
                </c:pt>
                <c:pt idx="3">
                  <c:v>6.4256053712285627E-3</c:v>
                </c:pt>
              </c:numCache>
            </c:numRef>
          </c:xVal>
          <c:yVal>
            <c:numRef>
              <c:f>A!$R$25:$R$28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D36-44C7-843B-4B2EB8F9AD69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A!$Q$25:$Q$28</c:f>
              <c:numCache>
                <c:formatCode>General</c:formatCode>
                <c:ptCount val="4"/>
                <c:pt idx="0">
                  <c:v>5.6433642439862972E-2</c:v>
                </c:pt>
                <c:pt idx="1">
                  <c:v>3.549467311875628E-2</c:v>
                </c:pt>
                <c:pt idx="2">
                  <c:v>9.5226929655530548E-2</c:v>
                </c:pt>
                <c:pt idx="3">
                  <c:v>4.7209360519873129E-2</c:v>
                </c:pt>
              </c:numCache>
            </c:numRef>
          </c:xVal>
          <c:yVal>
            <c:numRef>
              <c:f>A!$P$25:$P$28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D36-44C7-843B-4B2EB8F9AD69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A!$O$25:$O$28</c:f>
              <c:numCache>
                <c:formatCode>General</c:formatCode>
                <c:ptCount val="4"/>
                <c:pt idx="0">
                  <c:v>3.0967453979587195E-3</c:v>
                </c:pt>
                <c:pt idx="1">
                  <c:v>1.6149872100150672E-2</c:v>
                </c:pt>
                <c:pt idx="2">
                  <c:v>4.0468574913063906E-3</c:v>
                </c:pt>
                <c:pt idx="3">
                  <c:v>1.0461366017214483E-2</c:v>
                </c:pt>
              </c:numCache>
            </c:numRef>
          </c:xVal>
          <c:yVal>
            <c:numRef>
              <c:f>A!$M$25:$M$28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D36-44C7-843B-4B2EB8F9A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inMax"/>
          <c:max val="0.2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inMax"/>
          <c:max val="0.25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A!$B$21:$B$24</c:f>
              <c:strCache>
                <c:ptCount val="4"/>
                <c:pt idx="0">
                  <c:v>Pupa</c:v>
                </c:pt>
                <c:pt idx="1">
                  <c:v>L3</c:v>
                </c:pt>
                <c:pt idx="2">
                  <c:v>L2</c:v>
                </c:pt>
                <c:pt idx="3">
                  <c:v>L1</c:v>
                </c:pt>
              </c:strCache>
            </c:strRef>
          </c:cat>
          <c:val>
            <c:numRef>
              <c:f>A!$H$21:$H$24</c:f>
              <c:numCache>
                <c:formatCode>General</c:formatCode>
                <c:ptCount val="4"/>
                <c:pt idx="0">
                  <c:v>6.1191160507091816E-3</c:v>
                </c:pt>
                <c:pt idx="1">
                  <c:v>7.3176986130940661E-2</c:v>
                </c:pt>
                <c:pt idx="2">
                  <c:v>1.9128665537236335E-2</c:v>
                </c:pt>
                <c:pt idx="3">
                  <c:v>1.5918574627301733E-2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A-4F51-A631-7D14DDEA1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4276656"/>
        <c:axId val="2084284816"/>
      </c:barChart>
      <c:catAx>
        <c:axId val="2084276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4284816"/>
        <c:crosses val="autoZero"/>
        <c:auto val="1"/>
        <c:lblAlgn val="ctr"/>
        <c:lblOffset val="100"/>
        <c:noMultiLvlLbl val="0"/>
      </c:catAx>
      <c:valAx>
        <c:axId val="208428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42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B!$D$2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B!$C$3:$C$12</c:f>
                <c:numCache>
                  <c:formatCode>General</c:formatCode>
                  <c:ptCount val="10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7.9234195640490515E-2</c:v>
                  </c:pt>
                  <c:pt idx="5">
                    <c:v>7.2260182034216636E-2</c:v>
                  </c:pt>
                  <c:pt idx="6">
                    <c:v>6.0942360752612758E-3</c:v>
                  </c:pt>
                  <c:pt idx="7">
                    <c:v>6.4968681890616433E-3</c:v>
                  </c:pt>
                  <c:pt idx="8">
                    <c:v>1.3819217446871548E-2</c:v>
                  </c:pt>
                  <c:pt idx="9">
                    <c:v>1.3364271900116499E-2</c:v>
                  </c:pt>
                </c:numCache>
              </c:numRef>
            </c:plus>
            <c:minus>
              <c:numRef>
                <c:f>B!$C$3:$C$12</c:f>
                <c:numCache>
                  <c:formatCode>General</c:formatCode>
                  <c:ptCount val="10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7.9234195640490515E-2</c:v>
                  </c:pt>
                  <c:pt idx="5">
                    <c:v>7.2260182034216636E-2</c:v>
                  </c:pt>
                  <c:pt idx="6">
                    <c:v>6.0942360752612758E-3</c:v>
                  </c:pt>
                  <c:pt idx="7">
                    <c:v>6.4968681890616433E-3</c:v>
                  </c:pt>
                  <c:pt idx="8">
                    <c:v>1.3819217446871548E-2</c:v>
                  </c:pt>
                  <c:pt idx="9">
                    <c:v>1.3364271900116499E-2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A!$B$4:$B$13</c:f>
              <c:strCache>
                <c:ptCount val="10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Immature (FB)</c:v>
                </c:pt>
                <c:pt idx="6">
                  <c:v>Emerged (Gut)</c:v>
                </c:pt>
                <c:pt idx="7">
                  <c:v>Emerged (FB)</c:v>
                </c:pt>
                <c:pt idx="8">
                  <c:v>Fed (Gut)</c:v>
                </c:pt>
                <c:pt idx="9">
                  <c:v>Fed (FB)</c:v>
                </c:pt>
              </c:strCache>
            </c:strRef>
          </c:cat>
          <c:val>
            <c:numRef>
              <c:f>B!$D$3:$D$12</c:f>
              <c:numCache>
                <c:formatCode>General</c:formatCode>
                <c:ptCount val="10"/>
                <c:pt idx="0">
                  <c:v>-0.14363969437771901</c:v>
                </c:pt>
                <c:pt idx="1">
                  <c:v>-0.130893383739805</c:v>
                </c:pt>
                <c:pt idx="2">
                  <c:v>-0.18542183405802201</c:v>
                </c:pt>
                <c:pt idx="3">
                  <c:v>-5.0455315709118402E-3</c:v>
                </c:pt>
                <c:pt idx="4">
                  <c:v>-0.13246202821738201</c:v>
                </c:pt>
                <c:pt idx="5">
                  <c:v>-0.18852206970361399</c:v>
                </c:pt>
                <c:pt idx="6">
                  <c:v>-3.3184486396795401E-2</c:v>
                </c:pt>
                <c:pt idx="7">
                  <c:v>-2.11350086338652E-2</c:v>
                </c:pt>
                <c:pt idx="8">
                  <c:v>-5.1137399527183498E-2</c:v>
                </c:pt>
                <c:pt idx="9">
                  <c:v>-8.6513570383205896E-2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6-46B4-BF0F-D46CF6CAF0EB}"/>
            </c:ext>
          </c:extLst>
        </c:ser>
        <c:ser>
          <c:idx val="1"/>
          <c:order val="1"/>
          <c:tx>
            <c:strRef>
              <c:f>B!$E$2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B!$F$3:$F$12</c:f>
                <c:numCache>
                  <c:formatCode>General</c:formatCode>
                  <c:ptCount val="10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8.8829252792589283E-3</c:v>
                  </c:pt>
                  <c:pt idx="5">
                    <c:v>3.7464168304453017E-2</c:v>
                  </c:pt>
                  <c:pt idx="6">
                    <c:v>1.0197714692590985E-2</c:v>
                  </c:pt>
                  <c:pt idx="7">
                    <c:v>3.1868326051259284E-2</c:v>
                  </c:pt>
                  <c:pt idx="8">
                    <c:v>2.6280743264810964E-2</c:v>
                  </c:pt>
                  <c:pt idx="9">
                    <c:v>0.14513823037783366</c:v>
                  </c:pt>
                </c:numCache>
              </c:numRef>
            </c:plus>
            <c:minus>
              <c:numRef>
                <c:f>B!$F$3:$F$12</c:f>
                <c:numCache>
                  <c:formatCode>General</c:formatCode>
                  <c:ptCount val="10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8.8829252792589283E-3</c:v>
                  </c:pt>
                  <c:pt idx="5">
                    <c:v>3.7464168304453017E-2</c:v>
                  </c:pt>
                  <c:pt idx="6">
                    <c:v>1.0197714692590985E-2</c:v>
                  </c:pt>
                  <c:pt idx="7">
                    <c:v>3.1868326051259284E-2</c:v>
                  </c:pt>
                  <c:pt idx="8">
                    <c:v>2.6280743264810964E-2</c:v>
                  </c:pt>
                  <c:pt idx="9">
                    <c:v>0.14513823037783366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A!$B$4:$B$13</c:f>
              <c:strCache>
                <c:ptCount val="10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Immature (FB)</c:v>
                </c:pt>
                <c:pt idx="6">
                  <c:v>Emerged (Gut)</c:v>
                </c:pt>
                <c:pt idx="7">
                  <c:v>Emerged (FB)</c:v>
                </c:pt>
                <c:pt idx="8">
                  <c:v>Fed (Gut)</c:v>
                </c:pt>
                <c:pt idx="9">
                  <c:v>Fed (FB)</c:v>
                </c:pt>
              </c:strCache>
            </c:strRef>
          </c:cat>
          <c:val>
            <c:numRef>
              <c:f>B!$E$3:$E$12</c:f>
              <c:numCache>
                <c:formatCode>General</c:formatCode>
                <c:ptCount val="10"/>
                <c:pt idx="0">
                  <c:v>0.14363969437771934</c:v>
                </c:pt>
                <c:pt idx="1">
                  <c:v>0.1308933837398048</c:v>
                </c:pt>
                <c:pt idx="2">
                  <c:v>0.18542183405802196</c:v>
                </c:pt>
                <c:pt idx="3">
                  <c:v>5.0455315709118402E-3</c:v>
                </c:pt>
                <c:pt idx="4">
                  <c:v>2.3654756969982562E-2</c:v>
                </c:pt>
                <c:pt idx="5">
                  <c:v>0.1808427457963451</c:v>
                </c:pt>
                <c:pt idx="6">
                  <c:v>2.5631250754376007E-2</c:v>
                </c:pt>
                <c:pt idx="7">
                  <c:v>6.5744596509791045E-2</c:v>
                </c:pt>
                <c:pt idx="8">
                  <c:v>6.6896525150111505E-2</c:v>
                </c:pt>
                <c:pt idx="9">
                  <c:v>0.3678323742636746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6-46B4-BF0F-D46CF6CAF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female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gut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118123099876382"/>
          <c:y val="0.17144304630236004"/>
          <c:w val="0.86903168475406622"/>
          <c:h val="0.69430162784897587"/>
        </c:manualLayout>
      </c:layout>
      <c:barChart>
        <c:barDir val="bar"/>
        <c:grouping val="clustered"/>
        <c:varyColors val="0"/>
        <c:ser>
          <c:idx val="3"/>
          <c:order val="0"/>
          <c:tx>
            <c:v>methyl oleat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1.462938848610452E-2</c:v>
              </c:pt>
              <c:pt idx="1">
                <c:v>1.462938848610452E-2</c:v>
              </c:pt>
              <c:pt idx="2">
                <c:v>4.1940223759803139</c:v>
              </c:pt>
              <c:pt idx="3">
                <c:v>1.462938848610452E-2</c:v>
              </c:pt>
              <c:pt idx="4">
                <c:v>1.6323288805439347</c:v>
              </c:pt>
              <c:pt idx="5">
                <c:v>2.0906414059494223</c:v>
              </c:pt>
              <c:pt idx="7">
                <c:v>92.039119172068027</c:v>
              </c:pt>
            </c:numLit>
          </c:val>
          <c:extLst>
            <c:ext xmlns:c16="http://schemas.microsoft.com/office/drawing/2014/chart" uri="{C3380CC4-5D6E-409C-BE32-E72D297353CC}">
              <c16:uniqueId val="{00000000-A7AC-4F85-973D-4A9CE6E2E658}"/>
            </c:ext>
          </c:extLst>
        </c:ser>
        <c:ser>
          <c:idx val="4"/>
          <c:order val="1"/>
          <c:tx>
            <c:v>verbenyl oleate</c:v>
          </c:tx>
          <c:spPr>
            <a:solidFill>
              <a:schemeClr val="accent2"/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1.7397275633399687E-2</c:v>
              </c:pt>
              <c:pt idx="1">
                <c:v>39.189967295664133</c:v>
              </c:pt>
              <c:pt idx="2">
                <c:v>60.72304632616887</c:v>
              </c:pt>
              <c:pt idx="3">
                <c:v>1.7397275633399687E-2</c:v>
              </c:pt>
              <c:pt idx="4">
                <c:v>1.7397275633399687E-2</c:v>
              </c:pt>
              <c:pt idx="5">
                <c:v>1.7397275633399687E-2</c:v>
              </c:pt>
              <c:pt idx="7">
                <c:v>1.7397275633399687E-2</c:v>
              </c:pt>
            </c:numLit>
          </c:val>
          <c:extLst>
            <c:ext xmlns:c16="http://schemas.microsoft.com/office/drawing/2014/chart" uri="{C3380CC4-5D6E-409C-BE32-E72D297353CC}">
              <c16:uniqueId val="{00000001-A7AC-4F85-973D-4A9CE6E2E658}"/>
            </c:ext>
          </c:extLst>
        </c:ser>
        <c:ser>
          <c:idx val="5"/>
          <c:order val="2"/>
          <c:tx>
            <c:v>cis-Verbenol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1.9488538325614181E-2</c:v>
              </c:pt>
              <c:pt idx="1">
                <c:v>1.1214669115511162</c:v>
              </c:pt>
              <c:pt idx="2">
                <c:v>98.781090396820829</c:v>
              </c:pt>
              <c:pt idx="3">
                <c:v>1.9488538325614181E-2</c:v>
              </c:pt>
              <c:pt idx="4">
                <c:v>1.9488538325614181E-2</c:v>
              </c:pt>
              <c:pt idx="5">
                <c:v>1.9488538325614181E-2</c:v>
              </c:pt>
              <c:pt idx="7">
                <c:v>1.9488538325614181E-2</c:v>
              </c:pt>
            </c:numLit>
          </c:val>
          <c:extLst>
            <c:ext xmlns:c16="http://schemas.microsoft.com/office/drawing/2014/chart" uri="{C3380CC4-5D6E-409C-BE32-E72D297353CC}">
              <c16:uniqueId val="{00000002-A7AC-4F85-973D-4A9CE6E2E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axId val="450134952"/>
        <c:axId val="450129048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v>methyl oleat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1.462938848610452E-2</c:v>
                    </c:pt>
                    <c:pt idx="1">
                      <c:v>1.462938848610452E-2</c:v>
                    </c:pt>
                    <c:pt idx="2">
                      <c:v>4.1940223759803139</c:v>
                    </c:pt>
                    <c:pt idx="3">
                      <c:v>1.462938848610452E-2</c:v>
                    </c:pt>
                    <c:pt idx="4">
                      <c:v>1.6323288805439347</c:v>
                    </c:pt>
                    <c:pt idx="5">
                      <c:v>2.0906414059494223</c:v>
                    </c:pt>
                    <c:pt idx="7">
                      <c:v>92.039119172068027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3-A7AC-4F85-973D-4A9CE6E2E658}"/>
                  </c:ext>
                </c:extLst>
              </c15:ser>
            </c15:filteredBarSeries>
            <c15:filteredBarSeries>
              <c15:ser>
                <c:idx val="1"/>
                <c:order val="4"/>
                <c:tx>
                  <c:v>verbenyl oleate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1.7397275633399687E-2</c:v>
                    </c:pt>
                    <c:pt idx="1">
                      <c:v>39.189967295664133</c:v>
                    </c:pt>
                    <c:pt idx="2">
                      <c:v>60.72304632616887</c:v>
                    </c:pt>
                    <c:pt idx="3">
                      <c:v>1.7397275633399687E-2</c:v>
                    </c:pt>
                    <c:pt idx="4">
                      <c:v>1.7397275633399687E-2</c:v>
                    </c:pt>
                    <c:pt idx="5">
                      <c:v>1.7397275633399687E-2</c:v>
                    </c:pt>
                    <c:pt idx="7">
                      <c:v>1.7397275633399687E-2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7AC-4F85-973D-4A9CE6E2E658}"/>
                  </c:ext>
                </c:extLst>
              </c15:ser>
            </c15:filteredBarSeries>
            <c15:filteredBarSeries>
              <c15:ser>
                <c:idx val="2"/>
                <c:order val="5"/>
                <c:tx>
                  <c:v>cis-Verbenol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1.9488538325614181E-2</c:v>
                    </c:pt>
                    <c:pt idx="1">
                      <c:v>1.1214669115511162</c:v>
                    </c:pt>
                    <c:pt idx="2">
                      <c:v>98.781090396820829</c:v>
                    </c:pt>
                    <c:pt idx="3">
                      <c:v>1.9488538325614181E-2</c:v>
                    </c:pt>
                    <c:pt idx="4">
                      <c:v>1.9488538325614181E-2</c:v>
                    </c:pt>
                    <c:pt idx="5">
                      <c:v>1.9488538325614181E-2</c:v>
                    </c:pt>
                    <c:pt idx="7">
                      <c:v>1.9488538325614181E-2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7AC-4F85-973D-4A9CE6E2E658}"/>
                  </c:ext>
                </c:extLst>
              </c15:ser>
            </c15:filteredBarSeries>
          </c:ext>
        </c:extLst>
      </c:barChart>
      <c:catAx>
        <c:axId val="450134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male </a:t>
            </a:r>
            <a:r>
              <a:rPr lang="en-US"/>
              <a:t>in </a:t>
            </a:r>
            <a:r>
              <a:rPr lang="cs-CZ"/>
              <a:t>percentage/ methyl</a:t>
            </a:r>
            <a:r>
              <a:rPr lang="cs-CZ" baseline="0"/>
              <a:t> oleate gut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18123099876382"/>
          <c:y val="0.17144304630236004"/>
          <c:w val="0.86903168475406622"/>
          <c:h val="0.6612546958644961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1.0895468264707261E-2</c:v>
              </c:pt>
              <c:pt idx="1">
                <c:v>1.0895468264707261E-2</c:v>
              </c:pt>
              <c:pt idx="2">
                <c:v>3.5730876606994655</c:v>
              </c:pt>
              <c:pt idx="3">
                <c:v>0.85428461205365713</c:v>
              </c:pt>
              <c:pt idx="4">
                <c:v>7.4848066421298789</c:v>
              </c:pt>
              <c:pt idx="5">
                <c:v>6.3772872831468508</c:v>
              </c:pt>
              <c:pt idx="6">
                <c:v>48.339905469621499</c:v>
              </c:pt>
              <c:pt idx="7">
                <c:v>33.348837395819231</c:v>
              </c:pt>
            </c:numLit>
          </c:val>
          <c:extLst>
            <c:ext xmlns:c16="http://schemas.microsoft.com/office/drawing/2014/chart" uri="{C3380CC4-5D6E-409C-BE32-E72D297353CC}">
              <c16:uniqueId val="{00000000-4C01-4DB0-9A9E-8BAE9730375C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1.1108061342677498E-2</c:v>
              </c:pt>
              <c:pt idx="1">
                <c:v>25.022570769759845</c:v>
              </c:pt>
              <c:pt idx="2">
                <c:v>43.071694249501327</c:v>
              </c:pt>
              <c:pt idx="3">
                <c:v>2.8033734692950576</c:v>
              </c:pt>
              <c:pt idx="4">
                <c:v>8.4776890566073568</c:v>
              </c:pt>
              <c:pt idx="5">
                <c:v>7.8040644551373273</c:v>
              </c:pt>
              <c:pt idx="6">
                <c:v>3.5005084973527172</c:v>
              </c:pt>
              <c:pt idx="7">
                <c:v>9.3089914410036894</c:v>
              </c:pt>
            </c:numLit>
          </c:val>
          <c:extLst>
            <c:ext xmlns:c16="http://schemas.microsoft.com/office/drawing/2014/chart" uri="{C3380CC4-5D6E-409C-BE32-E72D297353CC}">
              <c16:uniqueId val="{00000001-4C01-4DB0-9A9E-8BAE9730375C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7.4507481781264529E-3</c:v>
              </c:pt>
              <c:pt idx="1">
                <c:v>0.42875291150421602</c:v>
              </c:pt>
              <c:pt idx="2">
                <c:v>59.912000219615877</c:v>
              </c:pt>
              <c:pt idx="3">
                <c:v>7.4507481781264529E-3</c:v>
              </c:pt>
              <c:pt idx="4">
                <c:v>1.5326046891802532</c:v>
              </c:pt>
              <c:pt idx="5">
                <c:v>12.622904867748673</c:v>
              </c:pt>
              <c:pt idx="6">
                <c:v>11.377063079331352</c:v>
              </c:pt>
              <c:pt idx="7">
                <c:v>14.111772736263385</c:v>
              </c:pt>
            </c:numLit>
          </c:val>
          <c:extLst>
            <c:ext xmlns:c16="http://schemas.microsoft.com/office/drawing/2014/chart" uri="{C3380CC4-5D6E-409C-BE32-E72D297353CC}">
              <c16:uniqueId val="{00000002-4C01-4DB0-9A9E-8BAE97303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female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skelet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02601573105415"/>
          <c:y val="0.17144304630236004"/>
          <c:w val="0.86903168475406622"/>
          <c:h val="0.7039487370543422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2.788602932446024E-2</c:v>
              </c:pt>
              <c:pt idx="1">
                <c:v>15.570744223862031</c:v>
              </c:pt>
              <c:pt idx="2">
                <c:v>2.788602932446024E-2</c:v>
              </c:pt>
              <c:pt idx="3">
                <c:v>2.788602932446024E-2</c:v>
              </c:pt>
              <c:pt idx="4">
                <c:v>5.1408764360129933</c:v>
              </c:pt>
              <c:pt idx="5">
                <c:v>2.788602932446024E-2</c:v>
              </c:pt>
              <c:pt idx="7">
                <c:v>79.176835222827123</c:v>
              </c:pt>
            </c:numLit>
          </c:val>
          <c:extLst>
            <c:ext xmlns:c16="http://schemas.microsoft.com/office/drawing/2014/chart" uri="{C3380CC4-5D6E-409C-BE32-E72D297353CC}">
              <c16:uniqueId val="{00000000-74D9-4B83-9B88-4FF5939726C5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1.7397275633399687E-2</c:v>
              </c:pt>
              <c:pt idx="1">
                <c:v>39.189967295664133</c:v>
              </c:pt>
              <c:pt idx="2">
                <c:v>60.72304632616887</c:v>
              </c:pt>
              <c:pt idx="3">
                <c:v>1.7397275633399687E-2</c:v>
              </c:pt>
              <c:pt idx="4">
                <c:v>1.7397275633399687E-2</c:v>
              </c:pt>
              <c:pt idx="5">
                <c:v>1.7397275633399687E-2</c:v>
              </c:pt>
              <c:pt idx="7">
                <c:v>1.7397275633399687E-2</c:v>
              </c:pt>
            </c:numLit>
          </c:val>
          <c:extLst>
            <c:ext xmlns:c16="http://schemas.microsoft.com/office/drawing/2014/chart" uri="{C3380CC4-5D6E-409C-BE32-E72D297353CC}">
              <c16:uniqueId val="{00000001-74D9-4B83-9B88-4FF5939726C5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1.9488538325614181E-2</c:v>
              </c:pt>
              <c:pt idx="1">
                <c:v>1.1214669115511162</c:v>
              </c:pt>
              <c:pt idx="2">
                <c:v>98.781090396820829</c:v>
              </c:pt>
              <c:pt idx="3">
                <c:v>1.9488538325614181E-2</c:v>
              </c:pt>
              <c:pt idx="4">
                <c:v>1.9488538325614181E-2</c:v>
              </c:pt>
              <c:pt idx="5">
                <c:v>1.9488538325614181E-2</c:v>
              </c:pt>
              <c:pt idx="7">
                <c:v>1.9488538325614181E-2</c:v>
              </c:pt>
            </c:numLit>
          </c:val>
          <c:extLst>
            <c:ext xmlns:c16="http://schemas.microsoft.com/office/drawing/2014/chart" uri="{C3380CC4-5D6E-409C-BE32-E72D297353CC}">
              <c16:uniqueId val="{00000002-74D9-4B83-9B88-4FF593972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skelet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0260592425947"/>
          <c:y val="0.15238474831941828"/>
          <c:w val="0.86903168475406622"/>
          <c:h val="0.6612546958644961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1.8874033677896841E-2</c:v>
              </c:pt>
              <c:pt idx="1">
                <c:v>10.538709095213864</c:v>
              </c:pt>
              <c:pt idx="2">
                <c:v>14.998218335889353</c:v>
              </c:pt>
              <c:pt idx="3">
                <c:v>1.8874033677896841E-2</c:v>
              </c:pt>
              <c:pt idx="4">
                <c:v>1.8874033677896841E-2</c:v>
              </c:pt>
              <c:pt idx="5">
                <c:v>5.6173924898800411</c:v>
              </c:pt>
              <c:pt idx="6">
                <c:v>37.150325941670651</c:v>
              </c:pt>
              <c:pt idx="7">
                <c:v>31.638732036312398</c:v>
              </c:pt>
            </c:numLit>
          </c:val>
          <c:extLst>
            <c:ext xmlns:c16="http://schemas.microsoft.com/office/drawing/2014/chart" uri="{C3380CC4-5D6E-409C-BE32-E72D297353CC}">
              <c16:uniqueId val="{00000000-9214-4BFA-AD5B-1AC8F3794B03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1.1108061342677498E-2</c:v>
              </c:pt>
              <c:pt idx="1">
                <c:v>25.022570769759845</c:v>
              </c:pt>
              <c:pt idx="2">
                <c:v>43.071694249501327</c:v>
              </c:pt>
              <c:pt idx="3">
                <c:v>2.8033734692950576</c:v>
              </c:pt>
              <c:pt idx="4">
                <c:v>8.4776890566073568</c:v>
              </c:pt>
              <c:pt idx="5">
                <c:v>7.8040644551373273</c:v>
              </c:pt>
              <c:pt idx="6">
                <c:v>3.5005084973527172</c:v>
              </c:pt>
              <c:pt idx="7">
                <c:v>9.3089914410036894</c:v>
              </c:pt>
            </c:numLit>
          </c:val>
          <c:extLst>
            <c:ext xmlns:c16="http://schemas.microsoft.com/office/drawing/2014/chart" uri="{C3380CC4-5D6E-409C-BE32-E72D297353CC}">
              <c16:uniqueId val="{00000001-9214-4BFA-AD5B-1AC8F3794B03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7.4507481781264529E-3</c:v>
              </c:pt>
              <c:pt idx="1">
                <c:v>0.42875291150421602</c:v>
              </c:pt>
              <c:pt idx="2">
                <c:v>59.912000219615877</c:v>
              </c:pt>
              <c:pt idx="3">
                <c:v>7.4507481781264529E-3</c:v>
              </c:pt>
              <c:pt idx="4">
                <c:v>1.5326046891802532</c:v>
              </c:pt>
              <c:pt idx="5">
                <c:v>12.622904867748673</c:v>
              </c:pt>
              <c:pt idx="6">
                <c:v>11.377063079331352</c:v>
              </c:pt>
              <c:pt idx="7">
                <c:v>14.111772736263385</c:v>
              </c:pt>
            </c:numLit>
          </c:val>
          <c:extLst>
            <c:ext xmlns:c16="http://schemas.microsoft.com/office/drawing/2014/chart" uri="{C3380CC4-5D6E-409C-BE32-E72D297353CC}">
              <c16:uniqueId val="{00000002-9214-4BFA-AD5B-1AC8F379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female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gut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118123099876382"/>
          <c:y val="0.17144304630236004"/>
          <c:w val="0.86903168475406622"/>
          <c:h val="0.69430162784897587"/>
        </c:manualLayout>
      </c:layout>
      <c:barChart>
        <c:barDir val="bar"/>
        <c:grouping val="clustered"/>
        <c:varyColors val="0"/>
        <c:ser>
          <c:idx val="3"/>
          <c:order val="0"/>
          <c:tx>
            <c:v>methyl oleat</c:v>
          </c:tx>
          <c:spPr>
            <a:solidFill>
              <a:srgbClr val="00B0F0"/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1.462938848610452E-2</c:v>
              </c:pt>
              <c:pt idx="1">
                <c:v>1.462938848610452E-2</c:v>
              </c:pt>
              <c:pt idx="2">
                <c:v>4.1940223759803139</c:v>
              </c:pt>
              <c:pt idx="3">
                <c:v>1.462938848610452E-2</c:v>
              </c:pt>
              <c:pt idx="4">
                <c:v>1.6323288805439347</c:v>
              </c:pt>
              <c:pt idx="5">
                <c:v>2.0906414059494223</c:v>
              </c:pt>
              <c:pt idx="7">
                <c:v>92.039119172068027</c:v>
              </c:pt>
            </c:numLit>
          </c:val>
          <c:extLst>
            <c:ext xmlns:c16="http://schemas.microsoft.com/office/drawing/2014/chart" uri="{C3380CC4-5D6E-409C-BE32-E72D297353CC}">
              <c16:uniqueId val="{00000000-212C-46AE-A313-0D15558BF20C}"/>
            </c:ext>
          </c:extLst>
        </c:ser>
        <c:ser>
          <c:idx val="4"/>
          <c:order val="1"/>
          <c:tx>
            <c:v>verbenyl oleate</c:v>
          </c:tx>
          <c:spPr>
            <a:solidFill>
              <a:schemeClr val="accent2"/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1.7397275633399687E-2</c:v>
              </c:pt>
              <c:pt idx="1">
                <c:v>39.189967295664133</c:v>
              </c:pt>
              <c:pt idx="2">
                <c:v>60.72304632616887</c:v>
              </c:pt>
              <c:pt idx="3">
                <c:v>1.7397275633399687E-2</c:v>
              </c:pt>
              <c:pt idx="4">
                <c:v>1.7397275633399687E-2</c:v>
              </c:pt>
              <c:pt idx="5">
                <c:v>1.7397275633399687E-2</c:v>
              </c:pt>
              <c:pt idx="7">
                <c:v>1.7397275633399687E-2</c:v>
              </c:pt>
            </c:numLit>
          </c:val>
          <c:extLst>
            <c:ext xmlns:c16="http://schemas.microsoft.com/office/drawing/2014/chart" uri="{C3380CC4-5D6E-409C-BE32-E72D297353CC}">
              <c16:uniqueId val="{00000001-212C-46AE-A313-0D15558BF20C}"/>
            </c:ext>
          </c:extLst>
        </c:ser>
        <c:ser>
          <c:idx val="5"/>
          <c:order val="2"/>
          <c:tx>
            <c:v>cis-Verbenol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1.9488538325614181E-2</c:v>
              </c:pt>
              <c:pt idx="1">
                <c:v>1.1214669115511162</c:v>
              </c:pt>
              <c:pt idx="2">
                <c:v>98.781090396820829</c:v>
              </c:pt>
              <c:pt idx="3">
                <c:v>1.9488538325614181E-2</c:v>
              </c:pt>
              <c:pt idx="4">
                <c:v>1.9488538325614181E-2</c:v>
              </c:pt>
              <c:pt idx="5">
                <c:v>1.9488538325614181E-2</c:v>
              </c:pt>
              <c:pt idx="7">
                <c:v>1.9488538325614181E-2</c:v>
              </c:pt>
            </c:numLit>
          </c:val>
          <c:extLst>
            <c:ext xmlns:c16="http://schemas.microsoft.com/office/drawing/2014/chart" uri="{C3380CC4-5D6E-409C-BE32-E72D297353CC}">
              <c16:uniqueId val="{00000002-212C-46AE-A313-0D15558BF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axId val="450134952"/>
        <c:axId val="450129048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v>methyl oleat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1.462938848610452E-2</c:v>
                    </c:pt>
                    <c:pt idx="1">
                      <c:v>1.462938848610452E-2</c:v>
                    </c:pt>
                    <c:pt idx="2">
                      <c:v>4.1940223759803139</c:v>
                    </c:pt>
                    <c:pt idx="3">
                      <c:v>1.462938848610452E-2</c:v>
                    </c:pt>
                    <c:pt idx="4">
                      <c:v>1.6323288805439347</c:v>
                    </c:pt>
                    <c:pt idx="5">
                      <c:v>2.0906414059494223</c:v>
                    </c:pt>
                    <c:pt idx="7">
                      <c:v>92.039119172068027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3-212C-46AE-A313-0D15558BF20C}"/>
                  </c:ext>
                </c:extLst>
              </c15:ser>
            </c15:filteredBarSeries>
            <c15:filteredBarSeries>
              <c15:ser>
                <c:idx val="1"/>
                <c:order val="4"/>
                <c:tx>
                  <c:v>verbenyl oleate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1.7397275633399687E-2</c:v>
                    </c:pt>
                    <c:pt idx="1">
                      <c:v>39.189967295664133</c:v>
                    </c:pt>
                    <c:pt idx="2">
                      <c:v>60.72304632616887</c:v>
                    </c:pt>
                    <c:pt idx="3">
                      <c:v>1.7397275633399687E-2</c:v>
                    </c:pt>
                    <c:pt idx="4">
                      <c:v>1.7397275633399687E-2</c:v>
                    </c:pt>
                    <c:pt idx="5">
                      <c:v>1.7397275633399687E-2</c:v>
                    </c:pt>
                    <c:pt idx="7">
                      <c:v>1.7397275633399687E-2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12C-46AE-A313-0D15558BF20C}"/>
                  </c:ext>
                </c:extLst>
              </c15:ser>
            </c15:filteredBarSeries>
            <c15:filteredBarSeries>
              <c15:ser>
                <c:idx val="2"/>
                <c:order val="5"/>
                <c:tx>
                  <c:v>cis-Verbenol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1.9488538325614181E-2</c:v>
                    </c:pt>
                    <c:pt idx="1">
                      <c:v>1.1214669115511162</c:v>
                    </c:pt>
                    <c:pt idx="2">
                      <c:v>98.781090396820829</c:v>
                    </c:pt>
                    <c:pt idx="3">
                      <c:v>1.9488538325614181E-2</c:v>
                    </c:pt>
                    <c:pt idx="4">
                      <c:v>1.9488538325614181E-2</c:v>
                    </c:pt>
                    <c:pt idx="5">
                      <c:v>1.9488538325614181E-2</c:v>
                    </c:pt>
                    <c:pt idx="7">
                      <c:v>1.9488538325614181E-2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12C-46AE-A313-0D15558BF20C}"/>
                  </c:ext>
                </c:extLst>
              </c15:ser>
            </c15:filteredBarSeries>
          </c:ext>
        </c:extLst>
      </c:barChart>
      <c:catAx>
        <c:axId val="450134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Breaker gut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B!$D$2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B!$C$3:$C$12</c15:sqref>
                    </c15:fullRef>
                  </c:ext>
                </c:extLst>
                <c:f>(B!$C$3:$C$7,B!$C$9,B!$C$11)</c:f>
                <c:numCache>
                  <c:formatCode>General</c:formatCode>
                  <c:ptCount val="7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7.9234195640490515E-2</c:v>
                  </c:pt>
                  <c:pt idx="5">
                    <c:v>6.0942360752612758E-3</c:v>
                  </c:pt>
                  <c:pt idx="6">
                    <c:v>1.3819217446871548E-2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B!$C$3:$C$12</c15:sqref>
                    </c15:fullRef>
                  </c:ext>
                </c:extLst>
                <c:f>(B!$C$3:$C$7,B!$C$9,B!$C$11)</c:f>
                <c:numCache>
                  <c:formatCode>General</c:formatCode>
                  <c:ptCount val="7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7.9234195640490515E-2</c:v>
                  </c:pt>
                  <c:pt idx="5">
                    <c:v>6.0942360752612758E-3</c:v>
                  </c:pt>
                  <c:pt idx="6">
                    <c:v>1.3819217446871548E-2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(A!$B$4:$B$8,A!$B$10,A!$B$12)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Emerged (Gut)</c:v>
                </c:pt>
                <c:pt idx="6">
                  <c:v>Fed (Gut)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B!$D$3:$D$12</c15:sqref>
                  </c15:fullRef>
                </c:ext>
              </c:extLst>
              <c:f>(B!$D$3:$D$7,B!$D$9,B!$D$11)</c:f>
              <c:numCache>
                <c:formatCode>General</c:formatCode>
                <c:ptCount val="7"/>
                <c:pt idx="0">
                  <c:v>-0.14363969437771901</c:v>
                </c:pt>
                <c:pt idx="1">
                  <c:v>-0.130893383739805</c:v>
                </c:pt>
                <c:pt idx="2">
                  <c:v>-0.18542183405802201</c:v>
                </c:pt>
                <c:pt idx="3">
                  <c:v>-5.0455315709118402E-3</c:v>
                </c:pt>
                <c:pt idx="4">
                  <c:v>-0.13246202821738201</c:v>
                </c:pt>
                <c:pt idx="5">
                  <c:v>-3.3184486396795401E-2</c:v>
                </c:pt>
                <c:pt idx="6">
                  <c:v>-5.1137399527183498E-2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F-49BE-9239-55D5DCAD5BDE}"/>
            </c:ext>
          </c:extLst>
        </c:ser>
        <c:ser>
          <c:idx val="1"/>
          <c:order val="1"/>
          <c:tx>
            <c:strRef>
              <c:f>B!$E$2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B!$F$3:$F$12</c15:sqref>
                    </c15:fullRef>
                  </c:ext>
                </c:extLst>
                <c:f>(B!$F$3:$F$7,B!$F$9,B!$F$11)</c:f>
                <c:numCache>
                  <c:formatCode>General</c:formatCode>
                  <c:ptCount val="7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8.8829252792589283E-3</c:v>
                  </c:pt>
                  <c:pt idx="5">
                    <c:v>1.0197714692590985E-2</c:v>
                  </c:pt>
                  <c:pt idx="6">
                    <c:v>2.6280743264810964E-2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B!$F$3:$F$12</c15:sqref>
                    </c15:fullRef>
                  </c:ext>
                </c:extLst>
                <c:f>(B!$F$3:$F$7,B!$F$9,B!$F$11)</c:f>
                <c:numCache>
                  <c:formatCode>General</c:formatCode>
                  <c:ptCount val="7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8.8829252792589283E-3</c:v>
                  </c:pt>
                  <c:pt idx="5">
                    <c:v>1.0197714692590985E-2</c:v>
                  </c:pt>
                  <c:pt idx="6">
                    <c:v>2.6280743264810964E-2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(A!$B$4:$B$8,A!$B$10,A!$B$12)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Emerged (Gut)</c:v>
                </c:pt>
                <c:pt idx="6">
                  <c:v>Fed (Gut)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B!$E$3:$E$12</c15:sqref>
                  </c15:fullRef>
                </c:ext>
              </c:extLst>
              <c:f>(B!$E$3:$E$7,B!$E$9,B!$E$11)</c:f>
              <c:numCache>
                <c:formatCode>General</c:formatCode>
                <c:ptCount val="7"/>
                <c:pt idx="0">
                  <c:v>0.14363969437771934</c:v>
                </c:pt>
                <c:pt idx="1">
                  <c:v>0.1308933837398048</c:v>
                </c:pt>
                <c:pt idx="2">
                  <c:v>0.18542183405802196</c:v>
                </c:pt>
                <c:pt idx="3">
                  <c:v>5.0455315709118402E-3</c:v>
                </c:pt>
                <c:pt idx="4">
                  <c:v>2.3654756969982562E-2</c:v>
                </c:pt>
                <c:pt idx="5">
                  <c:v>2.5631250754376007E-2</c:v>
                </c:pt>
                <c:pt idx="6">
                  <c:v>6.6896525150111505E-2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1F-49BE-9239-55D5DCAD5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Breaker FB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B!$D$2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B!$C$3:$C$12</c15:sqref>
                    </c15:fullRef>
                  </c:ext>
                </c:extLst>
                <c:f>(B!$C$3:$C$6,B!$C$8,B!$C$10,B!$C$12)</c:f>
                <c:numCache>
                  <c:formatCode>General</c:formatCode>
                  <c:ptCount val="7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7.2260182034216636E-2</c:v>
                  </c:pt>
                  <c:pt idx="5">
                    <c:v>6.4968681890616433E-3</c:v>
                  </c:pt>
                  <c:pt idx="6">
                    <c:v>1.3364271900116499E-2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B!$C$3:$C$12</c15:sqref>
                    </c15:fullRef>
                  </c:ext>
                </c:extLst>
                <c:f>(B!$C$3:$C$6,B!$C$8,B!$C$10,B!$C$12)</c:f>
                <c:numCache>
                  <c:formatCode>General</c:formatCode>
                  <c:ptCount val="7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7.2260182034216636E-2</c:v>
                  </c:pt>
                  <c:pt idx="5">
                    <c:v>6.4968681890616433E-3</c:v>
                  </c:pt>
                  <c:pt idx="6">
                    <c:v>1.3364271900116499E-2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(A!$B$4:$B$7,A!$B$9,A!$B$11,A!$B$13)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(FB)</c:v>
                </c:pt>
                <c:pt idx="5">
                  <c:v>Emerged (FB)</c:v>
                </c:pt>
                <c:pt idx="6">
                  <c:v>Fed (FB)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B!$D$3:$D$12</c15:sqref>
                  </c15:fullRef>
                </c:ext>
              </c:extLst>
              <c:f>(B!$D$3:$D$6,B!$D$8,B!$D$10,B!$D$12)</c:f>
              <c:numCache>
                <c:formatCode>General</c:formatCode>
                <c:ptCount val="7"/>
                <c:pt idx="0">
                  <c:v>-0.14363969437771901</c:v>
                </c:pt>
                <c:pt idx="1">
                  <c:v>-0.130893383739805</c:v>
                </c:pt>
                <c:pt idx="2">
                  <c:v>-0.18542183405802201</c:v>
                </c:pt>
                <c:pt idx="3">
                  <c:v>-5.0455315709118402E-3</c:v>
                </c:pt>
                <c:pt idx="4">
                  <c:v>-0.18852206970361399</c:v>
                </c:pt>
                <c:pt idx="5">
                  <c:v>-2.11350086338652E-2</c:v>
                </c:pt>
                <c:pt idx="6">
                  <c:v>-8.6513570383205896E-2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5-4CD3-AD1F-355D729AB6DD}"/>
            </c:ext>
          </c:extLst>
        </c:ser>
        <c:ser>
          <c:idx val="1"/>
          <c:order val="1"/>
          <c:tx>
            <c:strRef>
              <c:f>B!$E$2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B!$F$3:$F$12</c15:sqref>
                    </c15:fullRef>
                  </c:ext>
                </c:extLst>
                <c:f>(B!$F$3:$F$6,B!$F$8,B!$F$10,B!$F$12)</c:f>
                <c:numCache>
                  <c:formatCode>General</c:formatCode>
                  <c:ptCount val="7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3.7464168304453017E-2</c:v>
                  </c:pt>
                  <c:pt idx="5">
                    <c:v>3.1868326051259284E-2</c:v>
                  </c:pt>
                  <c:pt idx="6">
                    <c:v>0.14513823037783366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B!$F$3:$F$12</c15:sqref>
                    </c15:fullRef>
                  </c:ext>
                </c:extLst>
                <c:f>(B!$F$3:$F$6,B!$F$8,B!$F$10,B!$F$12)</c:f>
                <c:numCache>
                  <c:formatCode>General</c:formatCode>
                  <c:ptCount val="7"/>
                  <c:pt idx="0">
                    <c:v>1.6610654386944156E-2</c:v>
                  </c:pt>
                  <c:pt idx="1">
                    <c:v>5.9372700470172859E-2</c:v>
                  </c:pt>
                  <c:pt idx="2">
                    <c:v>5.1830043809924363E-2</c:v>
                  </c:pt>
                  <c:pt idx="3">
                    <c:v>9.4632028766567682E-4</c:v>
                  </c:pt>
                  <c:pt idx="4">
                    <c:v>3.7464168304453017E-2</c:v>
                  </c:pt>
                  <c:pt idx="5">
                    <c:v>3.1868326051259284E-2</c:v>
                  </c:pt>
                  <c:pt idx="6">
                    <c:v>0.14513823037783366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(A!$B$4:$B$7,A!$B$9,A!$B$11,A!$B$13)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(FB)</c:v>
                </c:pt>
                <c:pt idx="5">
                  <c:v>Emerged (FB)</c:v>
                </c:pt>
                <c:pt idx="6">
                  <c:v>Fed (FB)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B!$E$3:$E$12</c15:sqref>
                  </c15:fullRef>
                </c:ext>
              </c:extLst>
              <c:f>(B!$E$3:$E$6,B!$E$8,B!$E$10,B!$E$12)</c:f>
              <c:numCache>
                <c:formatCode>General</c:formatCode>
                <c:ptCount val="7"/>
                <c:pt idx="0">
                  <c:v>0.14363969437771934</c:v>
                </c:pt>
                <c:pt idx="1">
                  <c:v>0.1308933837398048</c:v>
                </c:pt>
                <c:pt idx="2">
                  <c:v>0.18542183405802196</c:v>
                </c:pt>
                <c:pt idx="3">
                  <c:v>5.0455315709118402E-3</c:v>
                </c:pt>
                <c:pt idx="4">
                  <c:v>0.1808427457963451</c:v>
                </c:pt>
                <c:pt idx="5">
                  <c:v>6.5744596509791045E-2</c:v>
                </c:pt>
                <c:pt idx="6">
                  <c:v>0.3678323742636746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5-4CD3-AD1F-355D729AB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baseline="0">
                <a:solidFill>
                  <a:schemeClr val="tx1"/>
                </a:solidFill>
              </a:rPr>
              <a:t>Average 2^(-</a:t>
            </a:r>
            <a:r>
              <a:rPr lang="el-GR" baseline="0">
                <a:solidFill>
                  <a:schemeClr val="tx1"/>
                </a:solidFill>
              </a:rPr>
              <a:t>Δ</a:t>
            </a:r>
            <a:r>
              <a:rPr lang="cs-CZ" baseline="0">
                <a:solidFill>
                  <a:schemeClr val="tx1"/>
                </a:solidFill>
              </a:rPr>
              <a:t>ct) for guts</a:t>
            </a:r>
          </a:p>
        </c:rich>
      </c:tx>
      <c:layout>
        <c:manualLayout>
          <c:xMode val="edge"/>
          <c:yMode val="edge"/>
          <c:x val="0.25770011517737756"/>
          <c:y val="2.4491810992644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4297933602845542"/>
          <c:y val="9.3865669166417032E-2"/>
          <c:w val="0.786154940914978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B!$H$17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B!$C$18:$C$24</c:f>
                <c:numCache>
                  <c:formatCode>General</c:formatCode>
                  <c:ptCount val="7"/>
                  <c:pt idx="0">
                    <c:v>1.3819217446871548E-2</c:v>
                  </c:pt>
                  <c:pt idx="1">
                    <c:v>6.0942360752612758E-3</c:v>
                  </c:pt>
                  <c:pt idx="2">
                    <c:v>7.9234195640490515E-2</c:v>
                  </c:pt>
                  <c:pt idx="3">
                    <c:v>9.4632028766567682E-4</c:v>
                  </c:pt>
                  <c:pt idx="4">
                    <c:v>5.1830043809924363E-2</c:v>
                  </c:pt>
                  <c:pt idx="5">
                    <c:v>5.9372700470172859E-2</c:v>
                  </c:pt>
                  <c:pt idx="6">
                    <c:v>1.6610654386944156E-2</c:v>
                  </c:pt>
                </c:numCache>
              </c:numRef>
            </c:plus>
            <c:minus>
              <c:numRef>
                <c:f>B!$C$18:$C$24</c:f>
                <c:numCache>
                  <c:formatCode>General</c:formatCode>
                  <c:ptCount val="7"/>
                  <c:pt idx="0">
                    <c:v>1.3819217446871548E-2</c:v>
                  </c:pt>
                  <c:pt idx="1">
                    <c:v>6.0942360752612758E-3</c:v>
                  </c:pt>
                  <c:pt idx="2">
                    <c:v>7.9234195640490515E-2</c:v>
                  </c:pt>
                  <c:pt idx="3">
                    <c:v>9.4632028766567682E-4</c:v>
                  </c:pt>
                  <c:pt idx="4">
                    <c:v>5.1830043809924363E-2</c:v>
                  </c:pt>
                  <c:pt idx="5">
                    <c:v>5.9372700470172859E-2</c:v>
                  </c:pt>
                  <c:pt idx="6">
                    <c:v>1.6610654386944156E-2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B!$H$18:$H$24</c:f>
              <c:numCache>
                <c:formatCode>General</c:formatCode>
                <c:ptCount val="7"/>
                <c:pt idx="0">
                  <c:v>5.1137399527183498E-2</c:v>
                </c:pt>
                <c:pt idx="1">
                  <c:v>1.8016462342120815E-2</c:v>
                </c:pt>
                <c:pt idx="2">
                  <c:v>0.13246202821738201</c:v>
                </c:pt>
                <c:pt idx="3">
                  <c:v>5.0455315709118402E-3</c:v>
                </c:pt>
                <c:pt idx="4">
                  <c:v>0.18542183405802196</c:v>
                </c:pt>
                <c:pt idx="5">
                  <c:v>0.1308933837398048</c:v>
                </c:pt>
                <c:pt idx="6">
                  <c:v>0.14363969437771934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8-4362-BC2A-01974B100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tx>
            <c:v>data points fed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B!$L$4:$L$7</c:f>
              <c:numCache>
                <c:formatCode>General</c:formatCode>
                <c:ptCount val="4"/>
                <c:pt idx="0">
                  <c:v>8.7775818002461259E-2</c:v>
                </c:pt>
                <c:pt idx="1">
                  <c:v>2.9844028898579206E-2</c:v>
                </c:pt>
                <c:pt idx="2">
                  <c:v>2.9714736289607167E-2</c:v>
                </c:pt>
                <c:pt idx="3">
                  <c:v>5.7215014918086365E-2</c:v>
                </c:pt>
              </c:numCache>
            </c:numRef>
          </c:xVal>
          <c:yVal>
            <c:numRef>
              <c:f>B!$K$4:$K$7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98-4362-BC2A-01974B100688}"/>
            </c:ext>
          </c:extLst>
        </c:ser>
        <c:ser>
          <c:idx val="2"/>
          <c:order val="2"/>
          <c:tx>
            <c:v>data L1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B!$X$4:$X$7</c:f>
              <c:numCache>
                <c:formatCode>General</c:formatCode>
                <c:ptCount val="4"/>
                <c:pt idx="0">
                  <c:v>9.8284559468470797E-2</c:v>
                </c:pt>
                <c:pt idx="1">
                  <c:v>0.16919468263981696</c:v>
                </c:pt>
                <c:pt idx="2">
                  <c:v>0.13931307661352429</c:v>
                </c:pt>
                <c:pt idx="3">
                  <c:v>0.16776645878906521</c:v>
                </c:pt>
              </c:numCache>
            </c:numRef>
          </c:xVal>
          <c:yVal>
            <c:numRef>
              <c:f>B!$W$4:$W$7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98-4362-BC2A-01974B100688}"/>
            </c:ext>
          </c:extLst>
        </c:ser>
        <c:ser>
          <c:idx val="3"/>
          <c:order val="3"/>
          <c:tx>
            <c:v>data L2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B!$V$4:$V$7</c:f>
              <c:numCache>
                <c:formatCode>General</c:formatCode>
                <c:ptCount val="4"/>
                <c:pt idx="0">
                  <c:v>8.7196924807046522E-2</c:v>
                </c:pt>
                <c:pt idx="1">
                  <c:v>5.6443491741829069E-2</c:v>
                </c:pt>
                <c:pt idx="2">
                  <c:v>7.1920035172158017E-2</c:v>
                </c:pt>
                <c:pt idx="3">
                  <c:v>0.3080130832381856</c:v>
                </c:pt>
              </c:numCache>
            </c:numRef>
          </c:xVal>
          <c:yVal>
            <c:numRef>
              <c:f>B!$U$4:$U$7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98-4362-BC2A-01974B100688}"/>
            </c:ext>
          </c:extLst>
        </c:ser>
        <c:ser>
          <c:idx val="4"/>
          <c:order val="4"/>
          <c:tx>
            <c:v>data L3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B!$T$4:$T$7</c:f>
              <c:numCache>
                <c:formatCode>General</c:formatCode>
                <c:ptCount val="4"/>
                <c:pt idx="0">
                  <c:v>0.29426571029435772</c:v>
                </c:pt>
                <c:pt idx="1">
                  <c:v>8.3697124517544783E-2</c:v>
                </c:pt>
                <c:pt idx="2">
                  <c:v>0.25262945393163161</c:v>
                </c:pt>
                <c:pt idx="3">
                  <c:v>0.11109504748855371</c:v>
                </c:pt>
              </c:numCache>
            </c:numRef>
          </c:xVal>
          <c:yVal>
            <c:numRef>
              <c:f>B!$S$4:$S$7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698-4362-BC2A-01974B100688}"/>
            </c:ext>
          </c:extLst>
        </c:ser>
        <c:ser>
          <c:idx val="5"/>
          <c:order val="5"/>
          <c:tx>
            <c:v>data Pupa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B!$R$4:$R$7</c:f>
              <c:numCache>
                <c:formatCode>General</c:formatCode>
                <c:ptCount val="4"/>
                <c:pt idx="0">
                  <c:v>2.3056899105932394E-3</c:v>
                </c:pt>
                <c:pt idx="1">
                  <c:v>6.0855309099535244E-3</c:v>
                </c:pt>
                <c:pt idx="2">
                  <c:v>5.2982918927701522E-3</c:v>
                </c:pt>
                <c:pt idx="3">
                  <c:v>6.4926135703304447E-3</c:v>
                </c:pt>
              </c:numCache>
            </c:numRef>
          </c:xVal>
          <c:yVal>
            <c:numRef>
              <c:f>B!$Q$4:$Q$7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698-4362-BC2A-01974B100688}"/>
            </c:ext>
          </c:extLst>
        </c:ser>
        <c:ser>
          <c:idx val="6"/>
          <c:order val="6"/>
          <c:tx>
            <c:v>data Immature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B!$P$4:$P$7</c:f>
              <c:numCache>
                <c:formatCode>General</c:formatCode>
                <c:ptCount val="4"/>
                <c:pt idx="0">
                  <c:v>1.7834575582509098E-2</c:v>
                </c:pt>
                <c:pt idx="1">
                  <c:v>5.8415398271393304E-2</c:v>
                </c:pt>
                <c:pt idx="2">
                  <c:v>8.7308241704040473E-2</c:v>
                </c:pt>
                <c:pt idx="3">
                  <c:v>0.3662898973115849</c:v>
                </c:pt>
              </c:numCache>
            </c:numRef>
          </c:xVal>
          <c:yVal>
            <c:numRef>
              <c:f>B!$O$4:$O$7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698-4362-BC2A-01974B100688}"/>
            </c:ext>
          </c:extLst>
        </c:ser>
        <c:ser>
          <c:idx val="7"/>
          <c:order val="7"/>
          <c:tx>
            <c:v>data Emmerged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B!$N$4:$N$7</c:f>
              <c:numCache>
                <c:formatCode>General</c:formatCode>
                <c:ptCount val="4"/>
                <c:pt idx="0">
                  <c:v>3.3184486396795415E-2</c:v>
                </c:pt>
                <c:pt idx="1">
                  <c:v>1.3406421357911039E-2</c:v>
                </c:pt>
                <c:pt idx="2">
                  <c:v>2.1062722311641864E-2</c:v>
                </c:pt>
                <c:pt idx="3">
                  <c:v>4.4122193021349579E-3</c:v>
                </c:pt>
              </c:numCache>
            </c:numRef>
          </c:xVal>
          <c:yVal>
            <c:numRef>
              <c:f>B!$M$4:$M$7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698-4362-BC2A-01974B100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axMin"/>
          <c:max val="0.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axMin"/>
          <c:max val="0.5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2.7891815794670715E-2"/>
          <c:y val="0.1603961565191635"/>
          <c:w val="0.11961262070737962"/>
          <c:h val="0.15460503901333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baseline="0">
                <a:solidFill>
                  <a:schemeClr val="tx1"/>
                </a:solidFill>
              </a:rPr>
              <a:t>Average 2^(-</a:t>
            </a:r>
            <a:r>
              <a:rPr lang="el-GR" baseline="0">
                <a:solidFill>
                  <a:schemeClr val="tx1"/>
                </a:solidFill>
              </a:rPr>
              <a:t>Δ</a:t>
            </a:r>
            <a:r>
              <a:rPr lang="cs-CZ" baseline="0">
                <a:solidFill>
                  <a:schemeClr val="tx1"/>
                </a:solidFill>
              </a:rPr>
              <a:t>ct) for fatbody</a:t>
            </a:r>
          </a:p>
        </c:rich>
      </c:tx>
      <c:layout>
        <c:manualLayout>
          <c:xMode val="edge"/>
          <c:yMode val="edge"/>
          <c:x val="0.26869001933399922"/>
          <c:y val="2.4491810992644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B!$H$27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B!$C$28:$C$34</c:f>
                <c:numCache>
                  <c:formatCode>General</c:formatCode>
                  <c:ptCount val="7"/>
                  <c:pt idx="0">
                    <c:v>1.3364271900116499E-2</c:v>
                  </c:pt>
                  <c:pt idx="1">
                    <c:v>6.4968681890616433E-3</c:v>
                  </c:pt>
                  <c:pt idx="2">
                    <c:v>7.2260182034216636E-2</c:v>
                  </c:pt>
                  <c:pt idx="3">
                    <c:v>9.4632028766567682E-4</c:v>
                  </c:pt>
                  <c:pt idx="4">
                    <c:v>5.1830043809924363E-2</c:v>
                  </c:pt>
                  <c:pt idx="5">
                    <c:v>5.9372700470172859E-2</c:v>
                  </c:pt>
                  <c:pt idx="6">
                    <c:v>1.6610654386944156E-2</c:v>
                  </c:pt>
                </c:numCache>
              </c:numRef>
            </c:plus>
            <c:minus>
              <c:numRef>
                <c:f>B!$C$28:$C$34</c:f>
                <c:numCache>
                  <c:formatCode>General</c:formatCode>
                  <c:ptCount val="7"/>
                  <c:pt idx="0">
                    <c:v>1.3364271900116499E-2</c:v>
                  </c:pt>
                  <c:pt idx="1">
                    <c:v>6.4968681890616433E-3</c:v>
                  </c:pt>
                  <c:pt idx="2">
                    <c:v>7.2260182034216636E-2</c:v>
                  </c:pt>
                  <c:pt idx="3">
                    <c:v>9.4632028766567682E-4</c:v>
                  </c:pt>
                  <c:pt idx="4">
                    <c:v>5.1830043809924363E-2</c:v>
                  </c:pt>
                  <c:pt idx="5">
                    <c:v>5.9372700470172859E-2</c:v>
                  </c:pt>
                  <c:pt idx="6">
                    <c:v>1.6610654386944156E-2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B!$H$28:$H$34</c:f>
              <c:numCache>
                <c:formatCode>General</c:formatCode>
                <c:ptCount val="7"/>
                <c:pt idx="0">
                  <c:v>8.6513570383205896E-2</c:v>
                </c:pt>
                <c:pt idx="1">
                  <c:v>2.11350086338652E-2</c:v>
                </c:pt>
                <c:pt idx="2">
                  <c:v>0.18852206970361399</c:v>
                </c:pt>
                <c:pt idx="3">
                  <c:v>5.0455315709118402E-3</c:v>
                </c:pt>
                <c:pt idx="4">
                  <c:v>0.18542183405802196</c:v>
                </c:pt>
                <c:pt idx="5">
                  <c:v>0.1308933837398048</c:v>
                </c:pt>
                <c:pt idx="6">
                  <c:v>0.14363969437771934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E-4FE1-AE19-97E7AE68D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B!$L$11:$L$14</c:f>
              <c:numCache>
                <c:formatCode>General</c:formatCode>
                <c:ptCount val="4"/>
                <c:pt idx="0">
                  <c:v>9.4342232184651917E-2</c:v>
                </c:pt>
                <c:pt idx="1">
                  <c:v>0.11820141020422568</c:v>
                </c:pt>
                <c:pt idx="2">
                  <c:v>7.8942630035723799E-2</c:v>
                </c:pt>
                <c:pt idx="3">
                  <c:v>5.4568009108222057E-2</c:v>
                </c:pt>
              </c:numCache>
            </c:numRef>
          </c:xVal>
          <c:yVal>
            <c:numRef>
              <c:f>B!$K$11:$K$14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DE-4FE1-AE19-97E7AE68DC1F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B!$X$11:$X$14</c:f>
              <c:numCache>
                <c:formatCode>General</c:formatCode>
                <c:ptCount val="4"/>
                <c:pt idx="0">
                  <c:v>9.8284559468470797E-2</c:v>
                </c:pt>
                <c:pt idx="1">
                  <c:v>0.16919468263981696</c:v>
                </c:pt>
                <c:pt idx="2">
                  <c:v>0.13931307661352429</c:v>
                </c:pt>
                <c:pt idx="3">
                  <c:v>0.16776645878906521</c:v>
                </c:pt>
              </c:numCache>
            </c:numRef>
          </c:xVal>
          <c:yVal>
            <c:numRef>
              <c:f>B!$W$11:$W$14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DE-4FE1-AE19-97E7AE68DC1F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B!$V$11:$V$14</c:f>
              <c:numCache>
                <c:formatCode>General</c:formatCode>
                <c:ptCount val="4"/>
                <c:pt idx="0">
                  <c:v>8.7196924807046522E-2</c:v>
                </c:pt>
                <c:pt idx="1">
                  <c:v>5.6443491741829069E-2</c:v>
                </c:pt>
                <c:pt idx="2">
                  <c:v>7.1920035172158017E-2</c:v>
                </c:pt>
                <c:pt idx="3">
                  <c:v>0.3080130832381856</c:v>
                </c:pt>
              </c:numCache>
            </c:numRef>
          </c:xVal>
          <c:yVal>
            <c:numRef>
              <c:f>B!$U$11:$U$14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BDE-4FE1-AE19-97E7AE68DC1F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B!$T$11:$T$14</c:f>
              <c:numCache>
                <c:formatCode>General</c:formatCode>
                <c:ptCount val="4"/>
                <c:pt idx="0">
                  <c:v>0.29426571029435772</c:v>
                </c:pt>
                <c:pt idx="1">
                  <c:v>8.3697124517544783E-2</c:v>
                </c:pt>
                <c:pt idx="2">
                  <c:v>0.25262945393163161</c:v>
                </c:pt>
                <c:pt idx="3">
                  <c:v>0.11109504748855371</c:v>
                </c:pt>
              </c:numCache>
            </c:numRef>
          </c:xVal>
          <c:yVal>
            <c:numRef>
              <c:f>B!$S$11:$S$14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BDE-4FE1-AE19-97E7AE68DC1F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B!$R$11:$R$14</c:f>
              <c:numCache>
                <c:formatCode>General</c:formatCode>
                <c:ptCount val="4"/>
                <c:pt idx="0">
                  <c:v>2.3056899105932394E-3</c:v>
                </c:pt>
                <c:pt idx="1">
                  <c:v>6.0855309099535244E-3</c:v>
                </c:pt>
                <c:pt idx="2">
                  <c:v>5.2982918927701522E-3</c:v>
                </c:pt>
                <c:pt idx="3">
                  <c:v>6.4926135703304447E-3</c:v>
                </c:pt>
              </c:numCache>
            </c:numRef>
          </c:xVal>
          <c:yVal>
            <c:numRef>
              <c:f>B!$Q$11:$Q$14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BDE-4FE1-AE19-97E7AE68DC1F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B!$P$11:$P$14</c:f>
              <c:numCache>
                <c:formatCode>General</c:formatCode>
                <c:ptCount val="4"/>
                <c:pt idx="0">
                  <c:v>0.10642240109035384</c:v>
                </c:pt>
                <c:pt idx="1">
                  <c:v>0.14673831410160459</c:v>
                </c:pt>
                <c:pt idx="2">
                  <c:v>0.40294102220330175</c:v>
                </c:pt>
                <c:pt idx="3">
                  <c:v>9.7986541419196369E-2</c:v>
                </c:pt>
              </c:numCache>
            </c:numRef>
          </c:xVal>
          <c:yVal>
            <c:numRef>
              <c:f>B!$O$11:$O$14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BDE-4FE1-AE19-97E7AE68DC1F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B!$N$11:$N$14</c:f>
              <c:numCache>
                <c:formatCode>General</c:formatCode>
                <c:ptCount val="4"/>
                <c:pt idx="0">
                  <c:v>3.8377939102287907E-2</c:v>
                </c:pt>
                <c:pt idx="1">
                  <c:v>2.1523025293333616E-2</c:v>
                </c:pt>
                <c:pt idx="2">
                  <c:v>1.7497237205634189E-2</c:v>
                </c:pt>
                <c:pt idx="3">
                  <c:v>7.1418329342052235E-3</c:v>
                </c:pt>
              </c:numCache>
            </c:numRef>
          </c:xVal>
          <c:yVal>
            <c:numRef>
              <c:f>B!$M$11:$M$14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BDE-4FE1-AE19-97E7AE68D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axMin"/>
          <c:max val="0.70000000000000007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axMin"/>
          <c:max val="0.70000000000000007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3.6845955787171501E-2"/>
          <c:y val="0.13526200743749434"/>
          <c:w val="0.11961262070737962"/>
          <c:h val="0.15460503901333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B!$H$37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B!$C$38:$C$44</c:f>
                <c:numCache>
                  <c:formatCode>General</c:formatCode>
                  <c:ptCount val="7"/>
                  <c:pt idx="0">
                    <c:v>2.6280743264810964E-2</c:v>
                  </c:pt>
                  <c:pt idx="1">
                    <c:v>1.0197714692590985E-2</c:v>
                  </c:pt>
                  <c:pt idx="2">
                    <c:v>8.8829252792589283E-3</c:v>
                  </c:pt>
                  <c:pt idx="3">
                    <c:v>9.4632028766567682E-4</c:v>
                  </c:pt>
                  <c:pt idx="4">
                    <c:v>5.1830043809924363E-2</c:v>
                  </c:pt>
                  <c:pt idx="5">
                    <c:v>5.9372700470172859E-2</c:v>
                  </c:pt>
                  <c:pt idx="6">
                    <c:v>1.6610654386944156E-2</c:v>
                  </c:pt>
                </c:numCache>
              </c:numRef>
            </c:plus>
            <c:minus>
              <c:numRef>
                <c:f>B!$C$38:$C$44</c:f>
                <c:numCache>
                  <c:formatCode>General</c:formatCode>
                  <c:ptCount val="7"/>
                  <c:pt idx="0">
                    <c:v>2.6280743264810964E-2</c:v>
                  </c:pt>
                  <c:pt idx="1">
                    <c:v>1.0197714692590985E-2</c:v>
                  </c:pt>
                  <c:pt idx="2">
                    <c:v>8.8829252792589283E-3</c:v>
                  </c:pt>
                  <c:pt idx="3">
                    <c:v>9.4632028766567682E-4</c:v>
                  </c:pt>
                  <c:pt idx="4">
                    <c:v>5.1830043809924363E-2</c:v>
                  </c:pt>
                  <c:pt idx="5">
                    <c:v>5.9372700470172859E-2</c:v>
                  </c:pt>
                  <c:pt idx="6">
                    <c:v>1.6610654386944156E-2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B!$H$38:$H$44</c:f>
              <c:numCache>
                <c:formatCode>General</c:formatCode>
                <c:ptCount val="7"/>
                <c:pt idx="0">
                  <c:v>6.6896525150111505E-2</c:v>
                </c:pt>
                <c:pt idx="1">
                  <c:v>2.5631250754376007E-2</c:v>
                </c:pt>
                <c:pt idx="2">
                  <c:v>2.3654756969982562E-2</c:v>
                </c:pt>
                <c:pt idx="3">
                  <c:v>5.0455315709118402E-3</c:v>
                </c:pt>
                <c:pt idx="4">
                  <c:v>0.18542183405802196</c:v>
                </c:pt>
                <c:pt idx="5">
                  <c:v>0.1308933837398048</c:v>
                </c:pt>
                <c:pt idx="6">
                  <c:v>0.14363969437771934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01-4648-A2AF-161E7631C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B!$L$18:$L$21</c:f>
              <c:numCache>
                <c:formatCode>General</c:formatCode>
                <c:ptCount val="4"/>
                <c:pt idx="0">
                  <c:v>2.45850148134963E-2</c:v>
                </c:pt>
                <c:pt idx="1">
                  <c:v>5.3618808855012523E-2</c:v>
                </c:pt>
                <c:pt idx="2">
                  <c:v>0.14356079614267125</c:v>
                </c:pt>
                <c:pt idx="3">
                  <c:v>4.5821480789265956E-2</c:v>
                </c:pt>
              </c:numCache>
            </c:numRef>
          </c:xVal>
          <c:yVal>
            <c:numRef>
              <c:f>B!$K$18:$K$21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01-4648-A2AF-161E7631C1D8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B!$X$18:$X$21</c:f>
              <c:numCache>
                <c:formatCode>General</c:formatCode>
                <c:ptCount val="4"/>
                <c:pt idx="0">
                  <c:v>9.8284559468470797E-2</c:v>
                </c:pt>
                <c:pt idx="1">
                  <c:v>0.16919468263981696</c:v>
                </c:pt>
                <c:pt idx="2">
                  <c:v>0.13931307661352429</c:v>
                </c:pt>
                <c:pt idx="3">
                  <c:v>0.16776645878906521</c:v>
                </c:pt>
              </c:numCache>
            </c:numRef>
          </c:xVal>
          <c:yVal>
            <c:numRef>
              <c:f>B!$W$18:$W$21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01-4648-A2AF-161E7631C1D8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B!$V$18:$V$21</c:f>
              <c:numCache>
                <c:formatCode>General</c:formatCode>
                <c:ptCount val="4"/>
                <c:pt idx="0">
                  <c:v>8.7196924807046522E-2</c:v>
                </c:pt>
                <c:pt idx="1">
                  <c:v>5.6443491741829069E-2</c:v>
                </c:pt>
                <c:pt idx="2">
                  <c:v>7.1920035172158017E-2</c:v>
                </c:pt>
                <c:pt idx="3">
                  <c:v>0.3080130832381856</c:v>
                </c:pt>
              </c:numCache>
            </c:numRef>
          </c:xVal>
          <c:yVal>
            <c:numRef>
              <c:f>B!$U$18:$U$21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301-4648-A2AF-161E7631C1D8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B!$T$18:$T$21</c:f>
              <c:numCache>
                <c:formatCode>General</c:formatCode>
                <c:ptCount val="4"/>
                <c:pt idx="0">
                  <c:v>0.29426571029435772</c:v>
                </c:pt>
                <c:pt idx="1">
                  <c:v>8.3697124517544783E-2</c:v>
                </c:pt>
                <c:pt idx="2">
                  <c:v>0.25262945393163161</c:v>
                </c:pt>
                <c:pt idx="3">
                  <c:v>0.11109504748855371</c:v>
                </c:pt>
              </c:numCache>
            </c:numRef>
          </c:xVal>
          <c:yVal>
            <c:numRef>
              <c:f>B!$S$18:$S$21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301-4648-A2AF-161E7631C1D8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B!$R$18:$R$21</c:f>
              <c:numCache>
                <c:formatCode>General</c:formatCode>
                <c:ptCount val="4"/>
                <c:pt idx="0">
                  <c:v>2.3056899105932394E-3</c:v>
                </c:pt>
                <c:pt idx="1">
                  <c:v>6.0855309099535244E-3</c:v>
                </c:pt>
                <c:pt idx="2">
                  <c:v>5.2982918927701522E-3</c:v>
                </c:pt>
                <c:pt idx="3">
                  <c:v>6.4926135703304447E-3</c:v>
                </c:pt>
              </c:numCache>
            </c:numRef>
          </c:xVal>
          <c:yVal>
            <c:numRef>
              <c:f>B!$Q$18:$Q$21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301-4648-A2AF-161E7631C1D8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B!$P$18:$P$21</c:f>
              <c:numCache>
                <c:formatCode>General</c:formatCode>
                <c:ptCount val="4"/>
                <c:pt idx="0">
                  <c:v>9.0170725669188791E-3</c:v>
                </c:pt>
                <c:pt idx="1">
                  <c:v>1.409565816714432E-2</c:v>
                </c:pt>
                <c:pt idx="2">
                  <c:v>4.8953451691421769E-2</c:v>
                </c:pt>
                <c:pt idx="3">
                  <c:v>2.2552845454445289E-2</c:v>
                </c:pt>
              </c:numCache>
            </c:numRef>
          </c:xVal>
          <c:yVal>
            <c:numRef>
              <c:f>B!$O$18:$O$21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301-4648-A2AF-161E7631C1D8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B!$N$18:$N$21</c:f>
              <c:numCache>
                <c:formatCode>General</c:formatCode>
                <c:ptCount val="4"/>
                <c:pt idx="0">
                  <c:v>1.5134324017444606E-2</c:v>
                </c:pt>
                <c:pt idx="1">
                  <c:v>1.804688150401244E-2</c:v>
                </c:pt>
                <c:pt idx="2">
                  <c:v>5.6081544462997172E-2</c:v>
                </c:pt>
                <c:pt idx="3">
                  <c:v>1.3262253033049821E-2</c:v>
                </c:pt>
              </c:numCache>
            </c:numRef>
          </c:xVal>
          <c:yVal>
            <c:numRef>
              <c:f>B!$M$18:$M$21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301-4648-A2AF-161E7631C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inMax"/>
          <c:max val="0.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inMax"/>
          <c:max val="0.5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B!$H$47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B!$C$48:$C$54</c:f>
                <c:numCache>
                  <c:formatCode>General</c:formatCode>
                  <c:ptCount val="7"/>
                  <c:pt idx="0">
                    <c:v>0.14513823037783366</c:v>
                  </c:pt>
                  <c:pt idx="1">
                    <c:v>3.1868326051259284E-2</c:v>
                  </c:pt>
                  <c:pt idx="2">
                    <c:v>3.7464168304453017E-2</c:v>
                  </c:pt>
                  <c:pt idx="3">
                    <c:v>9.4632028766567682E-4</c:v>
                  </c:pt>
                  <c:pt idx="4">
                    <c:v>5.1830043809924363E-2</c:v>
                  </c:pt>
                  <c:pt idx="5">
                    <c:v>5.9372700470172859E-2</c:v>
                  </c:pt>
                  <c:pt idx="6">
                    <c:v>1.6610654386944156E-2</c:v>
                  </c:pt>
                </c:numCache>
              </c:numRef>
            </c:plus>
            <c:minus>
              <c:numRef>
                <c:f>B!$C$48:$C$54</c:f>
                <c:numCache>
                  <c:formatCode>General</c:formatCode>
                  <c:ptCount val="7"/>
                  <c:pt idx="0">
                    <c:v>0.14513823037783366</c:v>
                  </c:pt>
                  <c:pt idx="1">
                    <c:v>3.1868326051259284E-2</c:v>
                  </c:pt>
                  <c:pt idx="2">
                    <c:v>3.7464168304453017E-2</c:v>
                  </c:pt>
                  <c:pt idx="3">
                    <c:v>9.4632028766567682E-4</c:v>
                  </c:pt>
                  <c:pt idx="4">
                    <c:v>5.1830043809924363E-2</c:v>
                  </c:pt>
                  <c:pt idx="5">
                    <c:v>5.9372700470172859E-2</c:v>
                  </c:pt>
                  <c:pt idx="6">
                    <c:v>1.6610654386944156E-2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B!$H$48:$H$54</c:f>
              <c:numCache>
                <c:formatCode>General</c:formatCode>
                <c:ptCount val="7"/>
                <c:pt idx="0">
                  <c:v>0.3678323742636746</c:v>
                </c:pt>
                <c:pt idx="1">
                  <c:v>6.5744596509791045E-2</c:v>
                </c:pt>
                <c:pt idx="2">
                  <c:v>0.1808427457963451</c:v>
                </c:pt>
                <c:pt idx="3">
                  <c:v>5.0455315709118402E-3</c:v>
                </c:pt>
                <c:pt idx="4">
                  <c:v>0.18542183405802196</c:v>
                </c:pt>
                <c:pt idx="5">
                  <c:v>0.1308933837398048</c:v>
                </c:pt>
                <c:pt idx="6">
                  <c:v>0.14363969437771934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8-484A-A169-2C21CCE91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B!$L$25:$L$28</c:f>
              <c:numCache>
                <c:formatCode>General</c:formatCode>
                <c:ptCount val="4"/>
                <c:pt idx="0">
                  <c:v>5.2493042714624114E-2</c:v>
                </c:pt>
                <c:pt idx="1">
                  <c:v>0.20353302499416995</c:v>
                </c:pt>
                <c:pt idx="2">
                  <c:v>0.53241386267795254</c:v>
                </c:pt>
                <c:pt idx="3">
                  <c:v>0.68288956666795175</c:v>
                </c:pt>
              </c:numCache>
            </c:numRef>
          </c:xVal>
          <c:yVal>
            <c:numRef>
              <c:f>B!$K$25:$K$28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28-484A-A169-2C21CCE91C9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B!$X$25:$X$28</c:f>
              <c:numCache>
                <c:formatCode>General</c:formatCode>
                <c:ptCount val="4"/>
                <c:pt idx="0">
                  <c:v>9.8284559468470797E-2</c:v>
                </c:pt>
                <c:pt idx="1">
                  <c:v>0.16919468263981696</c:v>
                </c:pt>
                <c:pt idx="2">
                  <c:v>0.13931307661352429</c:v>
                </c:pt>
                <c:pt idx="3">
                  <c:v>0.16776645878906521</c:v>
                </c:pt>
              </c:numCache>
            </c:numRef>
          </c:xVal>
          <c:yVal>
            <c:numRef>
              <c:f>B!$W$25:$W$28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28-484A-A169-2C21CCE91C99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B!$V$25:$V$28</c:f>
              <c:numCache>
                <c:formatCode>General</c:formatCode>
                <c:ptCount val="4"/>
                <c:pt idx="0">
                  <c:v>8.7196924807046522E-2</c:v>
                </c:pt>
                <c:pt idx="1">
                  <c:v>5.6443491741829069E-2</c:v>
                </c:pt>
                <c:pt idx="2">
                  <c:v>7.1920035172158017E-2</c:v>
                </c:pt>
                <c:pt idx="3">
                  <c:v>0.3080130832381856</c:v>
                </c:pt>
              </c:numCache>
            </c:numRef>
          </c:xVal>
          <c:yVal>
            <c:numRef>
              <c:f>B!$U$25:$U$28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28-484A-A169-2C21CCE91C99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B!$T$25:$T$28</c:f>
              <c:numCache>
                <c:formatCode>General</c:formatCode>
                <c:ptCount val="4"/>
                <c:pt idx="0">
                  <c:v>0.29426571029435772</c:v>
                </c:pt>
                <c:pt idx="1">
                  <c:v>8.3697124517544783E-2</c:v>
                </c:pt>
                <c:pt idx="2">
                  <c:v>0.25262945393163161</c:v>
                </c:pt>
                <c:pt idx="3">
                  <c:v>0.11109504748855371</c:v>
                </c:pt>
              </c:numCache>
            </c:numRef>
          </c:xVal>
          <c:yVal>
            <c:numRef>
              <c:f>B!$S$25:$S$28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728-484A-A169-2C21CCE91C99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B!$R$18:$R$21</c:f>
              <c:numCache>
                <c:formatCode>General</c:formatCode>
                <c:ptCount val="4"/>
                <c:pt idx="0">
                  <c:v>2.3056899105932394E-3</c:v>
                </c:pt>
                <c:pt idx="1">
                  <c:v>6.0855309099535244E-3</c:v>
                </c:pt>
                <c:pt idx="2">
                  <c:v>5.2982918927701522E-3</c:v>
                </c:pt>
                <c:pt idx="3">
                  <c:v>6.4926135703304447E-3</c:v>
                </c:pt>
              </c:numCache>
            </c:numRef>
          </c:xVal>
          <c:yVal>
            <c:numRef>
              <c:f>B!$Q$18:$Q$21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728-484A-A169-2C21CCE91C99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B!$P$25:$P$28</c:f>
              <c:numCache>
                <c:formatCode>General</c:formatCode>
                <c:ptCount val="4"/>
                <c:pt idx="0">
                  <c:v>0.11789769782744973</c:v>
                </c:pt>
                <c:pt idx="1">
                  <c:v>0.11469296202063682</c:v>
                </c:pt>
                <c:pt idx="2">
                  <c:v>0.23611233509209081</c:v>
                </c:pt>
                <c:pt idx="3">
                  <c:v>0.25466798824520304</c:v>
                </c:pt>
              </c:numCache>
            </c:numRef>
          </c:xVal>
          <c:yVal>
            <c:numRef>
              <c:f>B!$O$25:$O$28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728-484A-A169-2C21CCE91C99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B!$N$25:$N$28</c:f>
              <c:numCache>
                <c:formatCode>General</c:formatCode>
                <c:ptCount val="4"/>
                <c:pt idx="0">
                  <c:v>2.5158389465671092E-2</c:v>
                </c:pt>
                <c:pt idx="1">
                  <c:v>0.15974870198159033</c:v>
                </c:pt>
                <c:pt idx="2">
                  <c:v>2.7281191125711299E-2</c:v>
                </c:pt>
                <c:pt idx="3">
                  <c:v>5.0790103466191429E-2</c:v>
                </c:pt>
              </c:numCache>
            </c:numRef>
          </c:xVal>
          <c:yVal>
            <c:numRef>
              <c:f>B!$M$25:$M$28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728-484A-A169-2C21CCE91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inMax"/>
          <c:max val="0.70000000000000007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inMax"/>
          <c:max val="0.70000000000000007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9765395894428152E-2"/>
          <c:y val="0.17271401109687681"/>
          <c:w val="0.93293740042025541"/>
          <c:h val="0.7261029345828379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'C'!$D$3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'C'!$C$4:$C$13</c:f>
                <c:numCache>
                  <c:formatCode>General</c:formatCode>
                  <c:ptCount val="10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4.4517868439528001E-3</c:v>
                  </c:pt>
                  <c:pt idx="5">
                    <c:v>3.1925839382904984E-3</c:v>
                  </c:pt>
                  <c:pt idx="6">
                    <c:v>7.5024098353565112E-3</c:v>
                  </c:pt>
                  <c:pt idx="7">
                    <c:v>1.2528298622644639E-2</c:v>
                  </c:pt>
                  <c:pt idx="8">
                    <c:v>1.470294269221625E-2</c:v>
                  </c:pt>
                  <c:pt idx="9">
                    <c:v>5.0822706993664604E-3</c:v>
                  </c:pt>
                </c:numCache>
              </c:numRef>
            </c:plus>
            <c:minus>
              <c:numRef>
                <c:f>'C'!$C$4:$C$13</c:f>
                <c:numCache>
                  <c:formatCode>General</c:formatCode>
                  <c:ptCount val="10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4.4517868439528001E-3</c:v>
                  </c:pt>
                  <c:pt idx="5">
                    <c:v>3.1925839382904984E-3</c:v>
                  </c:pt>
                  <c:pt idx="6">
                    <c:v>7.5024098353565112E-3</c:v>
                  </c:pt>
                  <c:pt idx="7">
                    <c:v>1.2528298622644639E-2</c:v>
                  </c:pt>
                  <c:pt idx="8">
                    <c:v>1.470294269221625E-2</c:v>
                  </c:pt>
                  <c:pt idx="9">
                    <c:v>5.0822706993664604E-3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'C'!$B$4:$B$13</c:f>
              <c:strCache>
                <c:ptCount val="10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Immature (FB)</c:v>
                </c:pt>
                <c:pt idx="6">
                  <c:v>Emerged (Gut)</c:v>
                </c:pt>
                <c:pt idx="7">
                  <c:v>Emerged (FB)</c:v>
                </c:pt>
                <c:pt idx="8">
                  <c:v>Fed (Gut)</c:v>
                </c:pt>
                <c:pt idx="9">
                  <c:v>Fed (FB)</c:v>
                </c:pt>
              </c:strCache>
            </c:strRef>
          </c:cat>
          <c:val>
            <c:numRef>
              <c:f>'C'!$D$4:$D$13</c:f>
              <c:numCache>
                <c:formatCode>General</c:formatCode>
                <c:ptCount val="10"/>
                <c:pt idx="0">
                  <c:v>-4.7224831870967598E-5</c:v>
                </c:pt>
                <c:pt idx="1">
                  <c:v>-8.5417502742014996E-5</c:v>
                </c:pt>
                <c:pt idx="2">
                  <c:v>-3.5143291040393501E-2</c:v>
                </c:pt>
                <c:pt idx="3">
                  <c:v>-1.2487769857264699E-3</c:v>
                </c:pt>
                <c:pt idx="4">
                  <c:v>-3.0848257786176302E-2</c:v>
                </c:pt>
                <c:pt idx="5">
                  <c:v>-1.2018303065216399E-2</c:v>
                </c:pt>
                <c:pt idx="6">
                  <c:v>-3.4947777681309702E-2</c:v>
                </c:pt>
                <c:pt idx="7">
                  <c:v>-7.5411627676843299E-2</c:v>
                </c:pt>
                <c:pt idx="8">
                  <c:v>-0.139370100956828</c:v>
                </c:pt>
                <c:pt idx="9">
                  <c:v>-1.7955040656746201E-2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6-420A-9384-139730F15F04}"/>
            </c:ext>
          </c:extLst>
        </c:ser>
        <c:ser>
          <c:idx val="0"/>
          <c:order val="1"/>
          <c:tx>
            <c:strRef>
              <c:f>'C'!$E$3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'C'!$F$4:$F$13</c:f>
                <c:numCache>
                  <c:formatCode>General</c:formatCode>
                  <c:ptCount val="10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6.7876822396058306E-3</c:v>
                  </c:pt>
                  <c:pt idx="5">
                    <c:v>4.4862924849135765E-3</c:v>
                  </c:pt>
                  <c:pt idx="6">
                    <c:v>1.3937165926914351E-3</c:v>
                  </c:pt>
                  <c:pt idx="7">
                    <c:v>5.0816114650393387E-2</c:v>
                  </c:pt>
                  <c:pt idx="8">
                    <c:v>4.5189957825098975E-4</c:v>
                  </c:pt>
                  <c:pt idx="9">
                    <c:v>3.6843472191311809E-2</c:v>
                  </c:pt>
                </c:numCache>
              </c:numRef>
            </c:plus>
            <c:minus>
              <c:numRef>
                <c:f>'C'!$F$4:$F$13</c:f>
                <c:numCache>
                  <c:formatCode>General</c:formatCode>
                  <c:ptCount val="10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6.7876822396058306E-3</c:v>
                  </c:pt>
                  <c:pt idx="5">
                    <c:v>4.4862924849135765E-3</c:v>
                  </c:pt>
                  <c:pt idx="6">
                    <c:v>1.3937165926914351E-3</c:v>
                  </c:pt>
                  <c:pt idx="7">
                    <c:v>5.0816114650393387E-2</c:v>
                  </c:pt>
                  <c:pt idx="8">
                    <c:v>4.5189957825098975E-4</c:v>
                  </c:pt>
                  <c:pt idx="9">
                    <c:v>3.6843472191311809E-2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'C'!$B$4:$B$13</c:f>
              <c:strCache>
                <c:ptCount val="10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Immature (FB)</c:v>
                </c:pt>
                <c:pt idx="6">
                  <c:v>Emerged (Gut)</c:v>
                </c:pt>
                <c:pt idx="7">
                  <c:v>Emerged (FB)</c:v>
                </c:pt>
                <c:pt idx="8">
                  <c:v>Fed (Gut)</c:v>
                </c:pt>
                <c:pt idx="9">
                  <c:v>Fed (FB)</c:v>
                </c:pt>
              </c:strCache>
            </c:strRef>
          </c:cat>
          <c:val>
            <c:numRef>
              <c:f>'C'!$E$4:$E$13</c:f>
              <c:numCache>
                <c:formatCode>General</c:formatCode>
                <c:ptCount val="10"/>
                <c:pt idx="0">
                  <c:v>4.7224831870967598E-5</c:v>
                </c:pt>
                <c:pt idx="1">
                  <c:v>8.5417502742015037E-5</c:v>
                </c:pt>
                <c:pt idx="2">
                  <c:v>3.514329104039348E-2</c:v>
                </c:pt>
                <c:pt idx="3">
                  <c:v>1.2487769857264693E-3</c:v>
                </c:pt>
                <c:pt idx="4">
                  <c:v>7.8658355469024763E-3</c:v>
                </c:pt>
                <c:pt idx="5">
                  <c:v>3.0848257786176329E-2</c:v>
                </c:pt>
                <c:pt idx="6">
                  <c:v>1.9963384697603899E-2</c:v>
                </c:pt>
                <c:pt idx="7">
                  <c:v>0.12845905647954386</c:v>
                </c:pt>
                <c:pt idx="8">
                  <c:v>1.1447168973331722E-3</c:v>
                </c:pt>
                <c:pt idx="9">
                  <c:v>0.11809115771932019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6-420A-9384-139730F15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male </a:t>
            </a:r>
            <a:r>
              <a:rPr lang="en-US"/>
              <a:t>in </a:t>
            </a:r>
            <a:r>
              <a:rPr lang="cs-CZ"/>
              <a:t>percentage/ methyl</a:t>
            </a:r>
            <a:r>
              <a:rPr lang="cs-CZ" baseline="0"/>
              <a:t> oleate gut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18123099876382"/>
          <c:y val="0.17144304630236004"/>
          <c:w val="0.86903168475406622"/>
          <c:h val="0.6612546958644961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1.0895468264707261E-2</c:v>
              </c:pt>
              <c:pt idx="1">
                <c:v>1.0895468264707261E-2</c:v>
              </c:pt>
              <c:pt idx="2">
                <c:v>3.5730876606994655</c:v>
              </c:pt>
              <c:pt idx="3">
                <c:v>0.85428461205365713</c:v>
              </c:pt>
              <c:pt idx="4">
                <c:v>7.4848066421298789</c:v>
              </c:pt>
              <c:pt idx="5">
                <c:v>6.3772872831468508</c:v>
              </c:pt>
              <c:pt idx="6">
                <c:v>48.339905469621499</c:v>
              </c:pt>
              <c:pt idx="7">
                <c:v>33.348837395819231</c:v>
              </c:pt>
            </c:numLit>
          </c:val>
          <c:extLst>
            <c:ext xmlns:c16="http://schemas.microsoft.com/office/drawing/2014/chart" uri="{C3380CC4-5D6E-409C-BE32-E72D297353CC}">
              <c16:uniqueId val="{00000000-CC55-4DCA-9860-5D4FD53280C4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1.1108061342677498E-2</c:v>
              </c:pt>
              <c:pt idx="1">
                <c:v>25.022570769759845</c:v>
              </c:pt>
              <c:pt idx="2">
                <c:v>43.071694249501327</c:v>
              </c:pt>
              <c:pt idx="3">
                <c:v>2.8033734692950576</c:v>
              </c:pt>
              <c:pt idx="4">
                <c:v>8.4776890566073568</c:v>
              </c:pt>
              <c:pt idx="5">
                <c:v>7.8040644551373273</c:v>
              </c:pt>
              <c:pt idx="6">
                <c:v>3.5005084973527172</c:v>
              </c:pt>
              <c:pt idx="7">
                <c:v>9.3089914410036894</c:v>
              </c:pt>
            </c:numLit>
          </c:val>
          <c:extLst>
            <c:ext xmlns:c16="http://schemas.microsoft.com/office/drawing/2014/chart" uri="{C3380CC4-5D6E-409C-BE32-E72D297353CC}">
              <c16:uniqueId val="{00000001-CC55-4DCA-9860-5D4FD53280C4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7.4507481781264529E-3</c:v>
              </c:pt>
              <c:pt idx="1">
                <c:v>0.42875291150421602</c:v>
              </c:pt>
              <c:pt idx="2">
                <c:v>59.912000219615877</c:v>
              </c:pt>
              <c:pt idx="3">
                <c:v>7.4507481781264529E-3</c:v>
              </c:pt>
              <c:pt idx="4">
                <c:v>1.5326046891802532</c:v>
              </c:pt>
              <c:pt idx="5">
                <c:v>12.622904867748673</c:v>
              </c:pt>
              <c:pt idx="6">
                <c:v>11.377063079331352</c:v>
              </c:pt>
              <c:pt idx="7">
                <c:v>14.111772736263385</c:v>
              </c:pt>
            </c:numLit>
          </c:val>
          <c:extLst>
            <c:ext xmlns:c16="http://schemas.microsoft.com/office/drawing/2014/chart" uri="{C3380CC4-5D6E-409C-BE32-E72D297353CC}">
              <c16:uniqueId val="{00000002-CC55-4DCA-9860-5D4FD5328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female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skelet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02601573105415"/>
          <c:y val="0.17144304630236004"/>
          <c:w val="0.86903168475406622"/>
          <c:h val="0.7039487370543422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2.788602932446024E-2</c:v>
              </c:pt>
              <c:pt idx="1">
                <c:v>15.570744223862031</c:v>
              </c:pt>
              <c:pt idx="2">
                <c:v>2.788602932446024E-2</c:v>
              </c:pt>
              <c:pt idx="3">
                <c:v>2.788602932446024E-2</c:v>
              </c:pt>
              <c:pt idx="4">
                <c:v>5.1408764360129933</c:v>
              </c:pt>
              <c:pt idx="5">
                <c:v>2.788602932446024E-2</c:v>
              </c:pt>
              <c:pt idx="7">
                <c:v>79.176835222827123</c:v>
              </c:pt>
            </c:numLit>
          </c:val>
          <c:extLst>
            <c:ext xmlns:c16="http://schemas.microsoft.com/office/drawing/2014/chart" uri="{C3380CC4-5D6E-409C-BE32-E72D297353CC}">
              <c16:uniqueId val="{00000000-6584-45AE-824A-49A51048FB6E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1.7397275633399687E-2</c:v>
              </c:pt>
              <c:pt idx="1">
                <c:v>39.189967295664133</c:v>
              </c:pt>
              <c:pt idx="2">
                <c:v>60.72304632616887</c:v>
              </c:pt>
              <c:pt idx="3">
                <c:v>1.7397275633399687E-2</c:v>
              </c:pt>
              <c:pt idx="4">
                <c:v>1.7397275633399687E-2</c:v>
              </c:pt>
              <c:pt idx="5">
                <c:v>1.7397275633399687E-2</c:v>
              </c:pt>
              <c:pt idx="7">
                <c:v>1.7397275633399687E-2</c:v>
              </c:pt>
            </c:numLit>
          </c:val>
          <c:extLst>
            <c:ext xmlns:c16="http://schemas.microsoft.com/office/drawing/2014/chart" uri="{C3380CC4-5D6E-409C-BE32-E72D297353CC}">
              <c16:uniqueId val="{00000001-6584-45AE-824A-49A51048FB6E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1.9488538325614181E-2</c:v>
              </c:pt>
              <c:pt idx="1">
                <c:v>1.1214669115511162</c:v>
              </c:pt>
              <c:pt idx="2">
                <c:v>98.781090396820829</c:v>
              </c:pt>
              <c:pt idx="3">
                <c:v>1.9488538325614181E-2</c:v>
              </c:pt>
              <c:pt idx="4">
                <c:v>1.9488538325614181E-2</c:v>
              </c:pt>
              <c:pt idx="5">
                <c:v>1.9488538325614181E-2</c:v>
              </c:pt>
              <c:pt idx="7">
                <c:v>1.9488538325614181E-2</c:v>
              </c:pt>
            </c:numLit>
          </c:val>
          <c:extLst>
            <c:ext xmlns:c16="http://schemas.microsoft.com/office/drawing/2014/chart" uri="{C3380CC4-5D6E-409C-BE32-E72D297353CC}">
              <c16:uniqueId val="{00000002-6584-45AE-824A-49A51048F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skelet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0260592425947"/>
          <c:y val="0.15238474831941828"/>
          <c:w val="0.86903168475406622"/>
          <c:h val="0.6612546958644961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1.8874033677896841E-2</c:v>
              </c:pt>
              <c:pt idx="1">
                <c:v>10.538709095213864</c:v>
              </c:pt>
              <c:pt idx="2">
                <c:v>14.998218335889353</c:v>
              </c:pt>
              <c:pt idx="3">
                <c:v>1.8874033677896841E-2</c:v>
              </c:pt>
              <c:pt idx="4">
                <c:v>1.8874033677896841E-2</c:v>
              </c:pt>
              <c:pt idx="5">
                <c:v>5.6173924898800411</c:v>
              </c:pt>
              <c:pt idx="6">
                <c:v>37.150325941670651</c:v>
              </c:pt>
              <c:pt idx="7">
                <c:v>31.638732036312398</c:v>
              </c:pt>
            </c:numLit>
          </c:val>
          <c:extLst>
            <c:ext xmlns:c16="http://schemas.microsoft.com/office/drawing/2014/chart" uri="{C3380CC4-5D6E-409C-BE32-E72D297353CC}">
              <c16:uniqueId val="{00000000-44FE-4F02-9DC5-2DDE7ADD3C17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1.1108061342677498E-2</c:v>
              </c:pt>
              <c:pt idx="1">
                <c:v>25.022570769759845</c:v>
              </c:pt>
              <c:pt idx="2">
                <c:v>43.071694249501327</c:v>
              </c:pt>
              <c:pt idx="3">
                <c:v>2.8033734692950576</c:v>
              </c:pt>
              <c:pt idx="4">
                <c:v>8.4776890566073568</c:v>
              </c:pt>
              <c:pt idx="5">
                <c:v>7.8040644551373273</c:v>
              </c:pt>
              <c:pt idx="6">
                <c:v>3.5005084973527172</c:v>
              </c:pt>
              <c:pt idx="7">
                <c:v>9.3089914410036894</c:v>
              </c:pt>
            </c:numLit>
          </c:val>
          <c:extLst>
            <c:ext xmlns:c16="http://schemas.microsoft.com/office/drawing/2014/chart" uri="{C3380CC4-5D6E-409C-BE32-E72D297353CC}">
              <c16:uniqueId val="{00000001-44FE-4F02-9DC5-2DDE7ADD3C17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7.4507481781264529E-3</c:v>
              </c:pt>
              <c:pt idx="1">
                <c:v>0.42875291150421602</c:v>
              </c:pt>
              <c:pt idx="2">
                <c:v>59.912000219615877</c:v>
              </c:pt>
              <c:pt idx="3">
                <c:v>7.4507481781264529E-3</c:v>
              </c:pt>
              <c:pt idx="4">
                <c:v>1.5326046891802532</c:v>
              </c:pt>
              <c:pt idx="5">
                <c:v>12.622904867748673</c:v>
              </c:pt>
              <c:pt idx="6">
                <c:v>11.377063079331352</c:v>
              </c:pt>
              <c:pt idx="7">
                <c:v>14.111772736263385</c:v>
              </c:pt>
            </c:numLit>
          </c:val>
          <c:extLst>
            <c:ext xmlns:c16="http://schemas.microsoft.com/office/drawing/2014/chart" uri="{C3380CC4-5D6E-409C-BE32-E72D297353CC}">
              <c16:uniqueId val="{00000002-44FE-4F02-9DC5-2DDE7ADD3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male </a:t>
            </a:r>
            <a:r>
              <a:rPr lang="en-US"/>
              <a:t>in </a:t>
            </a:r>
            <a:r>
              <a:rPr lang="cs-CZ"/>
              <a:t>percentage/ methyl</a:t>
            </a:r>
            <a:r>
              <a:rPr lang="cs-CZ" baseline="0"/>
              <a:t> oleate gut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18123099876382"/>
          <c:y val="0.17144304630236004"/>
          <c:w val="0.86903168475406622"/>
          <c:h val="0.6612546958644961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1.0895468264707261E-2</c:v>
              </c:pt>
              <c:pt idx="1">
                <c:v>1.0895468264707261E-2</c:v>
              </c:pt>
              <c:pt idx="2">
                <c:v>3.5730876606994655</c:v>
              </c:pt>
              <c:pt idx="3">
                <c:v>0.85428461205365713</c:v>
              </c:pt>
              <c:pt idx="4">
                <c:v>7.4848066421298789</c:v>
              </c:pt>
              <c:pt idx="5">
                <c:v>6.3772872831468508</c:v>
              </c:pt>
              <c:pt idx="6">
                <c:v>48.339905469621499</c:v>
              </c:pt>
              <c:pt idx="7">
                <c:v>33.348837395819231</c:v>
              </c:pt>
            </c:numLit>
          </c:val>
          <c:extLst>
            <c:ext xmlns:c16="http://schemas.microsoft.com/office/drawing/2014/chart" uri="{C3380CC4-5D6E-409C-BE32-E72D297353CC}">
              <c16:uniqueId val="{00000000-B9DF-4FFB-8ED0-929BABCCF9BC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1.1108061342677498E-2</c:v>
              </c:pt>
              <c:pt idx="1">
                <c:v>25.022570769759845</c:v>
              </c:pt>
              <c:pt idx="2">
                <c:v>43.071694249501327</c:v>
              </c:pt>
              <c:pt idx="3">
                <c:v>2.8033734692950576</c:v>
              </c:pt>
              <c:pt idx="4">
                <c:v>8.4776890566073568</c:v>
              </c:pt>
              <c:pt idx="5">
                <c:v>7.8040644551373273</c:v>
              </c:pt>
              <c:pt idx="6">
                <c:v>3.5005084973527172</c:v>
              </c:pt>
              <c:pt idx="7">
                <c:v>9.3089914410036894</c:v>
              </c:pt>
            </c:numLit>
          </c:val>
          <c:extLst>
            <c:ext xmlns:c16="http://schemas.microsoft.com/office/drawing/2014/chart" uri="{C3380CC4-5D6E-409C-BE32-E72D297353CC}">
              <c16:uniqueId val="{00000001-B9DF-4FFB-8ED0-929BABCCF9BC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7.4507481781264529E-3</c:v>
              </c:pt>
              <c:pt idx="1">
                <c:v>0.42875291150421602</c:v>
              </c:pt>
              <c:pt idx="2">
                <c:v>59.912000219615877</c:v>
              </c:pt>
              <c:pt idx="3">
                <c:v>7.4507481781264529E-3</c:v>
              </c:pt>
              <c:pt idx="4">
                <c:v>1.5326046891802532</c:v>
              </c:pt>
              <c:pt idx="5">
                <c:v>12.622904867748673</c:v>
              </c:pt>
              <c:pt idx="6">
                <c:v>11.377063079331352</c:v>
              </c:pt>
              <c:pt idx="7">
                <c:v>14.111772736263385</c:v>
              </c:pt>
            </c:numLit>
          </c:val>
          <c:extLst>
            <c:ext xmlns:c16="http://schemas.microsoft.com/office/drawing/2014/chart" uri="{C3380CC4-5D6E-409C-BE32-E72D297353CC}">
              <c16:uniqueId val="{00000002-B9DF-4FFB-8ED0-929BABCC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female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gut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118123099876382"/>
          <c:y val="0.17144304630236004"/>
          <c:w val="0.86903168475406622"/>
          <c:h val="0.69430162784897587"/>
        </c:manualLayout>
      </c:layout>
      <c:barChart>
        <c:barDir val="bar"/>
        <c:grouping val="clustered"/>
        <c:varyColors val="0"/>
        <c:ser>
          <c:idx val="3"/>
          <c:order val="0"/>
          <c:tx>
            <c:v>methyl oleat</c:v>
          </c:tx>
          <c:spPr>
            <a:solidFill>
              <a:srgbClr val="00B0F0"/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1.462938848610452E-2</c:v>
              </c:pt>
              <c:pt idx="1">
                <c:v>1.462938848610452E-2</c:v>
              </c:pt>
              <c:pt idx="2">
                <c:v>4.1940223759803139</c:v>
              </c:pt>
              <c:pt idx="3">
                <c:v>1.462938848610452E-2</c:v>
              </c:pt>
              <c:pt idx="4">
                <c:v>1.6323288805439347</c:v>
              </c:pt>
              <c:pt idx="5">
                <c:v>2.0906414059494223</c:v>
              </c:pt>
              <c:pt idx="7">
                <c:v>92.039119172068027</c:v>
              </c:pt>
            </c:numLit>
          </c:val>
          <c:extLst>
            <c:ext xmlns:c16="http://schemas.microsoft.com/office/drawing/2014/chart" uri="{C3380CC4-5D6E-409C-BE32-E72D297353CC}">
              <c16:uniqueId val="{00000000-853B-4708-8F36-771EC140FFA4}"/>
            </c:ext>
          </c:extLst>
        </c:ser>
        <c:ser>
          <c:idx val="4"/>
          <c:order val="1"/>
          <c:tx>
            <c:v>verbenyl oleate</c:v>
          </c:tx>
          <c:spPr>
            <a:solidFill>
              <a:schemeClr val="accent2"/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1.7397275633399687E-2</c:v>
              </c:pt>
              <c:pt idx="1">
                <c:v>39.189967295664133</c:v>
              </c:pt>
              <c:pt idx="2">
                <c:v>60.72304632616887</c:v>
              </c:pt>
              <c:pt idx="3">
                <c:v>1.7397275633399687E-2</c:v>
              </c:pt>
              <c:pt idx="4">
                <c:v>1.7397275633399687E-2</c:v>
              </c:pt>
              <c:pt idx="5">
                <c:v>1.7397275633399687E-2</c:v>
              </c:pt>
              <c:pt idx="7">
                <c:v>1.7397275633399687E-2</c:v>
              </c:pt>
            </c:numLit>
          </c:val>
          <c:extLst>
            <c:ext xmlns:c16="http://schemas.microsoft.com/office/drawing/2014/chart" uri="{C3380CC4-5D6E-409C-BE32-E72D297353CC}">
              <c16:uniqueId val="{00000001-853B-4708-8F36-771EC140FFA4}"/>
            </c:ext>
          </c:extLst>
        </c:ser>
        <c:ser>
          <c:idx val="5"/>
          <c:order val="2"/>
          <c:tx>
            <c:v>cis-Verbenol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1.9488538325614181E-2</c:v>
              </c:pt>
              <c:pt idx="1">
                <c:v>1.1214669115511162</c:v>
              </c:pt>
              <c:pt idx="2">
                <c:v>98.781090396820829</c:v>
              </c:pt>
              <c:pt idx="3">
                <c:v>1.9488538325614181E-2</c:v>
              </c:pt>
              <c:pt idx="4">
                <c:v>1.9488538325614181E-2</c:v>
              </c:pt>
              <c:pt idx="5">
                <c:v>1.9488538325614181E-2</c:v>
              </c:pt>
              <c:pt idx="7">
                <c:v>1.9488538325614181E-2</c:v>
              </c:pt>
            </c:numLit>
          </c:val>
          <c:extLst>
            <c:ext xmlns:c16="http://schemas.microsoft.com/office/drawing/2014/chart" uri="{C3380CC4-5D6E-409C-BE32-E72D297353CC}">
              <c16:uniqueId val="{00000002-853B-4708-8F36-771EC140F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axId val="450134952"/>
        <c:axId val="450129048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v>methyl oleat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1.462938848610452E-2</c:v>
                    </c:pt>
                    <c:pt idx="1">
                      <c:v>1.462938848610452E-2</c:v>
                    </c:pt>
                    <c:pt idx="2">
                      <c:v>4.1940223759803139</c:v>
                    </c:pt>
                    <c:pt idx="3">
                      <c:v>1.462938848610452E-2</c:v>
                    </c:pt>
                    <c:pt idx="4">
                      <c:v>1.6323288805439347</c:v>
                    </c:pt>
                    <c:pt idx="5">
                      <c:v>2.0906414059494223</c:v>
                    </c:pt>
                    <c:pt idx="7">
                      <c:v>92.039119172068027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3-853B-4708-8F36-771EC140FFA4}"/>
                  </c:ext>
                </c:extLst>
              </c15:ser>
            </c15:filteredBarSeries>
            <c15:filteredBarSeries>
              <c15:ser>
                <c:idx val="1"/>
                <c:order val="4"/>
                <c:tx>
                  <c:v>verbenyl oleate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1.7397275633399687E-2</c:v>
                    </c:pt>
                    <c:pt idx="1">
                      <c:v>39.189967295664133</c:v>
                    </c:pt>
                    <c:pt idx="2">
                      <c:v>60.72304632616887</c:v>
                    </c:pt>
                    <c:pt idx="3">
                      <c:v>1.7397275633399687E-2</c:v>
                    </c:pt>
                    <c:pt idx="4">
                      <c:v>1.7397275633399687E-2</c:v>
                    </c:pt>
                    <c:pt idx="5">
                      <c:v>1.7397275633399687E-2</c:v>
                    </c:pt>
                    <c:pt idx="7">
                      <c:v>1.7397275633399687E-2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53B-4708-8F36-771EC140FFA4}"/>
                  </c:ext>
                </c:extLst>
              </c15:ser>
            </c15:filteredBarSeries>
            <c15:filteredBarSeries>
              <c15:ser>
                <c:idx val="2"/>
                <c:order val="5"/>
                <c:tx>
                  <c:v>cis-Verbenol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1.9488538325614181E-2</c:v>
                    </c:pt>
                    <c:pt idx="1">
                      <c:v>1.1214669115511162</c:v>
                    </c:pt>
                    <c:pt idx="2">
                      <c:v>98.781090396820829</c:v>
                    </c:pt>
                    <c:pt idx="3">
                      <c:v>1.9488538325614181E-2</c:v>
                    </c:pt>
                    <c:pt idx="4">
                      <c:v>1.9488538325614181E-2</c:v>
                    </c:pt>
                    <c:pt idx="5">
                      <c:v>1.9488538325614181E-2</c:v>
                    </c:pt>
                    <c:pt idx="7">
                      <c:v>1.9488538325614181E-2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53B-4708-8F36-771EC140FFA4}"/>
                  </c:ext>
                </c:extLst>
              </c15:ser>
            </c15:filteredBarSeries>
          </c:ext>
        </c:extLst>
      </c:barChart>
      <c:catAx>
        <c:axId val="450134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Maker</a:t>
            </a:r>
            <a:r>
              <a:rPr lang="cs-CZ" baseline="0"/>
              <a:t> gut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9765395894428152E-2"/>
          <c:y val="0.17271401109687681"/>
          <c:w val="0.93293740042025541"/>
          <c:h val="0.7261029345828379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'C'!$D$3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'C'!$C$4:$C$13</c15:sqref>
                    </c15:fullRef>
                  </c:ext>
                </c:extLst>
                <c:f>('C'!$C$4:$C$8,'C'!$C$10,'C'!$C$12)</c:f>
                <c:numCache>
                  <c:formatCode>General</c:formatCode>
                  <c:ptCount val="7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4.4517868439528001E-3</c:v>
                  </c:pt>
                  <c:pt idx="5">
                    <c:v>7.5024098353565112E-3</c:v>
                  </c:pt>
                  <c:pt idx="6">
                    <c:v>1.470294269221625E-2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'C'!$C$4:$C$13</c15:sqref>
                    </c15:fullRef>
                  </c:ext>
                </c:extLst>
                <c:f>('C'!$C$4:$C$8,'C'!$C$10,'C'!$C$12)</c:f>
                <c:numCache>
                  <c:formatCode>General</c:formatCode>
                  <c:ptCount val="7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4.4517868439528001E-3</c:v>
                  </c:pt>
                  <c:pt idx="5">
                    <c:v>7.5024098353565112E-3</c:v>
                  </c:pt>
                  <c:pt idx="6">
                    <c:v>1.470294269221625E-2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'C'!$B$4:$B$13</c15:sqref>
                  </c15:fullRef>
                </c:ext>
              </c:extLst>
              <c:f>('C'!$B$4:$B$8,'C'!$B$10,'C'!$B$12)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Emerged (Gut)</c:v>
                </c:pt>
                <c:pt idx="6">
                  <c:v>Fed (Gut)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'C'!$D$4:$D$13</c15:sqref>
                  </c15:fullRef>
                </c:ext>
              </c:extLst>
              <c:f>('C'!$D$4:$D$8,'C'!$D$10,'C'!$D$12)</c:f>
              <c:numCache>
                <c:formatCode>General</c:formatCode>
                <c:ptCount val="7"/>
                <c:pt idx="0">
                  <c:v>-4.7224831870967598E-5</c:v>
                </c:pt>
                <c:pt idx="1">
                  <c:v>-8.5417502742014996E-5</c:v>
                </c:pt>
                <c:pt idx="2">
                  <c:v>-3.5143291040393501E-2</c:v>
                </c:pt>
                <c:pt idx="3">
                  <c:v>-1.2487769857264699E-3</c:v>
                </c:pt>
                <c:pt idx="4">
                  <c:v>-3.0848257786176302E-2</c:v>
                </c:pt>
                <c:pt idx="5">
                  <c:v>-3.4947777681309702E-2</c:v>
                </c:pt>
                <c:pt idx="6">
                  <c:v>-0.139370100956828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C-42D1-ABA6-2C55B3940AED}"/>
            </c:ext>
          </c:extLst>
        </c:ser>
        <c:ser>
          <c:idx val="0"/>
          <c:order val="1"/>
          <c:tx>
            <c:strRef>
              <c:f>'C'!$E$3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'C'!$F$4:$F$13</c15:sqref>
                    </c15:fullRef>
                  </c:ext>
                </c:extLst>
                <c:f>('C'!$F$4:$F$8,'C'!$F$10,'C'!$F$12)</c:f>
                <c:numCache>
                  <c:formatCode>General</c:formatCode>
                  <c:ptCount val="7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6.7876822396058306E-3</c:v>
                  </c:pt>
                  <c:pt idx="5">
                    <c:v>1.3937165926914351E-3</c:v>
                  </c:pt>
                  <c:pt idx="6">
                    <c:v>4.5189957825098975E-4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'C'!$F$4:$F$13</c15:sqref>
                    </c15:fullRef>
                  </c:ext>
                </c:extLst>
                <c:f>('C'!$F$4:$F$8,'C'!$F$10,'C'!$F$12)</c:f>
                <c:numCache>
                  <c:formatCode>General</c:formatCode>
                  <c:ptCount val="7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6.7876822396058306E-3</c:v>
                  </c:pt>
                  <c:pt idx="5">
                    <c:v>1.3937165926914351E-3</c:v>
                  </c:pt>
                  <c:pt idx="6">
                    <c:v>4.5189957825098975E-4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'C'!$B$4:$B$13</c15:sqref>
                  </c15:fullRef>
                </c:ext>
              </c:extLst>
              <c:f>('C'!$B$4:$B$8,'C'!$B$10,'C'!$B$12)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Emerged (Gut)</c:v>
                </c:pt>
                <c:pt idx="6">
                  <c:v>Fed (Gut)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'C'!$E$4:$E$13</c15:sqref>
                  </c15:fullRef>
                </c:ext>
              </c:extLst>
              <c:f>('C'!$E$4:$E$8,'C'!$E$10,'C'!$E$12)</c:f>
              <c:numCache>
                <c:formatCode>General</c:formatCode>
                <c:ptCount val="7"/>
                <c:pt idx="0">
                  <c:v>4.7224831870967598E-5</c:v>
                </c:pt>
                <c:pt idx="1">
                  <c:v>8.5417502742015037E-5</c:v>
                </c:pt>
                <c:pt idx="2">
                  <c:v>3.514329104039348E-2</c:v>
                </c:pt>
                <c:pt idx="3">
                  <c:v>1.2487769857264693E-3</c:v>
                </c:pt>
                <c:pt idx="4">
                  <c:v>7.8658355469024763E-3</c:v>
                </c:pt>
                <c:pt idx="5">
                  <c:v>1.9963384697603899E-2</c:v>
                </c:pt>
                <c:pt idx="6">
                  <c:v>1.1447168973331722E-3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C-42D1-ABA6-2C55B394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Maker FB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9765395894428152E-2"/>
          <c:y val="0.17271401109687681"/>
          <c:w val="0.93293740042025541"/>
          <c:h val="0.7261029345828379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'C'!$D$3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'C'!$C$4:$C$13</c15:sqref>
                    </c15:fullRef>
                  </c:ext>
                </c:extLst>
                <c:f>('C'!$C$4:$C$7,'C'!$C$9,'C'!$C$11,'C'!$C$13)</c:f>
                <c:numCache>
                  <c:formatCode>General</c:formatCode>
                  <c:ptCount val="7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3.1925839382904984E-3</c:v>
                  </c:pt>
                  <c:pt idx="5">
                    <c:v>1.2528298622644639E-2</c:v>
                  </c:pt>
                  <c:pt idx="6">
                    <c:v>5.0822706993664604E-3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'C'!$C$4:$C$13</c15:sqref>
                    </c15:fullRef>
                  </c:ext>
                </c:extLst>
                <c:f>('C'!$C$4:$C$7,'C'!$C$9,'C'!$C$11,'C'!$C$13)</c:f>
                <c:numCache>
                  <c:formatCode>General</c:formatCode>
                  <c:ptCount val="7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3.1925839382904984E-3</c:v>
                  </c:pt>
                  <c:pt idx="5">
                    <c:v>1.2528298622644639E-2</c:v>
                  </c:pt>
                  <c:pt idx="6">
                    <c:v>5.0822706993664604E-3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'C'!$B$4:$B$13</c15:sqref>
                  </c15:fullRef>
                </c:ext>
              </c:extLst>
              <c:f>('C'!$B$4:$B$7,'C'!$B$9,'C'!$B$11,'C'!$B$13)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(FB)</c:v>
                </c:pt>
                <c:pt idx="5">
                  <c:v>Emerged (FB)</c:v>
                </c:pt>
                <c:pt idx="6">
                  <c:v>Fed (FB)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'C'!$D$4:$D$13</c15:sqref>
                  </c15:fullRef>
                </c:ext>
              </c:extLst>
              <c:f>('C'!$D$4:$D$7,'C'!$D$9,'C'!$D$11,'C'!$D$13)</c:f>
              <c:numCache>
                <c:formatCode>General</c:formatCode>
                <c:ptCount val="7"/>
                <c:pt idx="0">
                  <c:v>-4.7224831870967598E-5</c:v>
                </c:pt>
                <c:pt idx="1">
                  <c:v>-8.5417502742014996E-5</c:v>
                </c:pt>
                <c:pt idx="2">
                  <c:v>-3.5143291040393501E-2</c:v>
                </c:pt>
                <c:pt idx="3">
                  <c:v>-1.2487769857264699E-3</c:v>
                </c:pt>
                <c:pt idx="4">
                  <c:v>-1.2018303065216399E-2</c:v>
                </c:pt>
                <c:pt idx="5">
                  <c:v>-7.5411627676843299E-2</c:v>
                </c:pt>
                <c:pt idx="6">
                  <c:v>-1.7955040656746201E-2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C-41E3-82E1-6AFE5B2C9951}"/>
            </c:ext>
          </c:extLst>
        </c:ser>
        <c:ser>
          <c:idx val="0"/>
          <c:order val="1"/>
          <c:tx>
            <c:strRef>
              <c:f>'C'!$E$3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'C'!$F$4:$F$13</c15:sqref>
                    </c15:fullRef>
                  </c:ext>
                </c:extLst>
                <c:f>('C'!$F$4:$F$7,'C'!$F$9,'C'!$F$11,'C'!$F$13)</c:f>
                <c:numCache>
                  <c:formatCode>General</c:formatCode>
                  <c:ptCount val="7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4.4862924849135765E-3</c:v>
                  </c:pt>
                  <c:pt idx="5">
                    <c:v>5.0816114650393387E-2</c:v>
                  </c:pt>
                  <c:pt idx="6">
                    <c:v>3.6843472191311809E-2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'C'!$F$4:$F$13</c15:sqref>
                    </c15:fullRef>
                  </c:ext>
                </c:extLst>
                <c:f>('C'!$F$4:$F$7,'C'!$F$9,'C'!$F$11,'C'!$F$13)</c:f>
                <c:numCache>
                  <c:formatCode>General</c:formatCode>
                  <c:ptCount val="7"/>
                  <c:pt idx="0">
                    <c:v>1.5462307583915794E-5</c:v>
                  </c:pt>
                  <c:pt idx="1">
                    <c:v>4.2784495219789881E-5</c:v>
                  </c:pt>
                  <c:pt idx="2">
                    <c:v>2.3137866053856936E-2</c:v>
                  </c:pt>
                  <c:pt idx="3">
                    <c:v>7.1323888048925436E-4</c:v>
                  </c:pt>
                  <c:pt idx="4">
                    <c:v>4.4862924849135765E-3</c:v>
                  </c:pt>
                  <c:pt idx="5">
                    <c:v>5.0816114650393387E-2</c:v>
                  </c:pt>
                  <c:pt idx="6">
                    <c:v>3.6843472191311809E-2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'C'!$B$4:$B$13</c15:sqref>
                  </c15:fullRef>
                </c:ext>
              </c:extLst>
              <c:f>('C'!$B$4:$B$7,'C'!$B$9,'C'!$B$11,'C'!$B$13)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(FB)</c:v>
                </c:pt>
                <c:pt idx="5">
                  <c:v>Emerged (FB)</c:v>
                </c:pt>
                <c:pt idx="6">
                  <c:v>Fed (FB)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'C'!$E$4:$E$13</c15:sqref>
                  </c15:fullRef>
                </c:ext>
              </c:extLst>
              <c:f>('C'!$E$4:$E$7,'C'!$E$9,'C'!$E$11,'C'!$E$13)</c:f>
              <c:numCache>
                <c:formatCode>General</c:formatCode>
                <c:ptCount val="7"/>
                <c:pt idx="0">
                  <c:v>4.7224831870967598E-5</c:v>
                </c:pt>
                <c:pt idx="1">
                  <c:v>8.5417502742015037E-5</c:v>
                </c:pt>
                <c:pt idx="2">
                  <c:v>3.514329104039348E-2</c:v>
                </c:pt>
                <c:pt idx="3">
                  <c:v>1.2487769857264693E-3</c:v>
                </c:pt>
                <c:pt idx="4">
                  <c:v>3.0848257786176329E-2</c:v>
                </c:pt>
                <c:pt idx="5">
                  <c:v>0.12845905647954386</c:v>
                </c:pt>
                <c:pt idx="6">
                  <c:v>0.11809115771932019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BC-41E3-82E1-6AFE5B2C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baseline="0">
                <a:solidFill>
                  <a:schemeClr val="tx1"/>
                </a:solidFill>
              </a:rPr>
              <a:t>Average 2^(-</a:t>
            </a:r>
            <a:r>
              <a:rPr lang="el-GR" baseline="0">
                <a:solidFill>
                  <a:schemeClr val="tx1"/>
                </a:solidFill>
              </a:rPr>
              <a:t>Δ</a:t>
            </a:r>
            <a:r>
              <a:rPr lang="cs-CZ" baseline="0">
                <a:solidFill>
                  <a:schemeClr val="tx1"/>
                </a:solidFill>
              </a:rPr>
              <a:t>ct) for guts</a:t>
            </a:r>
          </a:p>
        </c:rich>
      </c:tx>
      <c:layout>
        <c:manualLayout>
          <c:xMode val="edge"/>
          <c:yMode val="edge"/>
          <c:x val="0.25770011517737756"/>
          <c:y val="2.4491810992644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'C'!$H$21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'C'!$C$22:$C$28</c:f>
                <c:numCache>
                  <c:formatCode>General</c:formatCode>
                  <c:ptCount val="7"/>
                  <c:pt idx="0">
                    <c:v>1.470294269221625E-2</c:v>
                  </c:pt>
                  <c:pt idx="1">
                    <c:v>7.5024098353565112E-3</c:v>
                  </c:pt>
                  <c:pt idx="2">
                    <c:v>4.4517868439528001E-3</c:v>
                  </c:pt>
                  <c:pt idx="3">
                    <c:v>7.1323888048925436E-4</c:v>
                  </c:pt>
                  <c:pt idx="4">
                    <c:v>2.3137866053856936E-2</c:v>
                  </c:pt>
                  <c:pt idx="5">
                    <c:v>4.2784495219789881E-5</c:v>
                  </c:pt>
                  <c:pt idx="6">
                    <c:v>1.5462307583915794E-5</c:v>
                  </c:pt>
                </c:numCache>
              </c:numRef>
            </c:plus>
            <c:minus>
              <c:numRef>
                <c:f>'C'!$C$22:$C$28</c:f>
                <c:numCache>
                  <c:formatCode>General</c:formatCode>
                  <c:ptCount val="7"/>
                  <c:pt idx="0">
                    <c:v>1.470294269221625E-2</c:v>
                  </c:pt>
                  <c:pt idx="1">
                    <c:v>7.5024098353565112E-3</c:v>
                  </c:pt>
                  <c:pt idx="2">
                    <c:v>4.4517868439528001E-3</c:v>
                  </c:pt>
                  <c:pt idx="3">
                    <c:v>7.1323888048925436E-4</c:v>
                  </c:pt>
                  <c:pt idx="4">
                    <c:v>2.3137866053856936E-2</c:v>
                  </c:pt>
                  <c:pt idx="5">
                    <c:v>4.2784495219789881E-5</c:v>
                  </c:pt>
                  <c:pt idx="6">
                    <c:v>1.5462307583915794E-5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'C'!$H$22:$H$28</c:f>
              <c:numCache>
                <c:formatCode>General</c:formatCode>
                <c:ptCount val="7"/>
                <c:pt idx="0">
                  <c:v>0.139370100956828</c:v>
                </c:pt>
                <c:pt idx="1">
                  <c:v>1.3775171129601698E-2</c:v>
                </c:pt>
                <c:pt idx="2">
                  <c:v>3.0848257786176302E-2</c:v>
                </c:pt>
                <c:pt idx="3">
                  <c:v>1.2487769857264699E-3</c:v>
                </c:pt>
                <c:pt idx="4">
                  <c:v>3.514329104039348E-2</c:v>
                </c:pt>
                <c:pt idx="5">
                  <c:v>8.5417502742015037E-5</c:v>
                </c:pt>
                <c:pt idx="6">
                  <c:v>4.7224831870967598E-5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5-4AC4-994E-882E1DE3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tx>
            <c:v>data points fed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'C'!$J$3:$J$6</c:f>
              <c:numCache>
                <c:formatCode>General</c:formatCode>
                <c:ptCount val="4"/>
                <c:pt idx="0">
                  <c:v>0.14034275753115172</c:v>
                </c:pt>
                <c:pt idx="1">
                  <c:v>0.16514944479672314</c:v>
                </c:pt>
                <c:pt idx="2">
                  <c:v>9.7969442919346894E-2</c:v>
                </c:pt>
                <c:pt idx="3">
                  <c:v>0.15401875858009109</c:v>
                </c:pt>
              </c:numCache>
            </c:numRef>
          </c:xVal>
          <c:yVal>
            <c:numRef>
              <c:f>'C'!$I$3:$I$6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35-4AC4-994E-882E1DE397B0}"/>
            </c:ext>
          </c:extLst>
        </c:ser>
        <c:ser>
          <c:idx val="2"/>
          <c:order val="2"/>
          <c:tx>
            <c:v>data L1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'C'!$V$3:$V$6</c:f>
              <c:numCache>
                <c:formatCode>General</c:formatCode>
                <c:ptCount val="4"/>
                <c:pt idx="0">
                  <c:v>1.8226453976381303E-5</c:v>
                </c:pt>
                <c:pt idx="1">
                  <c:v>4.1698625199815603E-5</c:v>
                </c:pt>
                <c:pt idx="2">
                  <c:v>3.8014712859930067E-5</c:v>
                </c:pt>
                <c:pt idx="3">
                  <c:v>9.0959535447743416E-5</c:v>
                </c:pt>
              </c:numCache>
            </c:numRef>
          </c:xVal>
          <c:yVal>
            <c:numRef>
              <c:f>'C'!$U$3:$U$6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435-4AC4-994E-882E1DE397B0}"/>
            </c:ext>
          </c:extLst>
        </c:ser>
        <c:ser>
          <c:idx val="3"/>
          <c:order val="3"/>
          <c:tx>
            <c:v>data L2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'C'!$T$3:$T$6</c:f>
              <c:numCache>
                <c:formatCode>General</c:formatCode>
                <c:ptCount val="4"/>
                <c:pt idx="0">
                  <c:v>3.7841416593911107E-5</c:v>
                </c:pt>
                <c:pt idx="1">
                  <c:v>5.816210442143545E-5</c:v>
                </c:pt>
                <c:pt idx="2">
                  <c:v>3.2944591271153243E-5</c:v>
                </c:pt>
                <c:pt idx="3">
                  <c:v>2.1272189868156035E-4</c:v>
                </c:pt>
              </c:numCache>
            </c:numRef>
          </c:xVal>
          <c:yVal>
            <c:numRef>
              <c:f>'C'!$S$3:$S$6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35-4AC4-994E-882E1DE397B0}"/>
            </c:ext>
          </c:extLst>
        </c:ser>
        <c:ser>
          <c:idx val="4"/>
          <c:order val="4"/>
          <c:tx>
            <c:v>data L3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'C'!$R$3:$R$6</c:f>
              <c:numCache>
                <c:formatCode>General</c:formatCode>
                <c:ptCount val="4"/>
                <c:pt idx="0">
                  <c:v>1.091755650345385E-2</c:v>
                </c:pt>
                <c:pt idx="2">
                  <c:v>1.3110618685246669E-2</c:v>
                </c:pt>
                <c:pt idx="3">
                  <c:v>8.1401697932479922E-2</c:v>
                </c:pt>
              </c:numCache>
            </c:numRef>
          </c:xVal>
          <c:yVal>
            <c:numRef>
              <c:f>'C'!$Q$3:$Q$6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435-4AC4-994E-882E1DE397B0}"/>
            </c:ext>
          </c:extLst>
        </c:ser>
        <c:ser>
          <c:idx val="5"/>
          <c:order val="5"/>
          <c:tx>
            <c:v>data Pupa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'C'!$P$3:$P$6</c:f>
              <c:numCache>
                <c:formatCode>General</c:formatCode>
                <c:ptCount val="4"/>
                <c:pt idx="0">
                  <c:v>6.9287412697051852E-4</c:v>
                </c:pt>
                <c:pt idx="1">
                  <c:v>3.206484445715761E-4</c:v>
                </c:pt>
                <c:pt idx="2">
                  <c:v>6.0643521153390942E-4</c:v>
                </c:pt>
                <c:pt idx="3">
                  <c:v>3.3751501598298728E-3</c:v>
                </c:pt>
              </c:numCache>
            </c:numRef>
          </c:xVal>
          <c:yVal>
            <c:numRef>
              <c:f>'C'!$O$3:$O$6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435-4AC4-994E-882E1DE397B0}"/>
            </c:ext>
          </c:extLst>
        </c:ser>
        <c:ser>
          <c:idx val="6"/>
          <c:order val="6"/>
          <c:tx>
            <c:v>data Immature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'C'!$N$3:$N$6</c:f>
              <c:numCache>
                <c:formatCode>General</c:formatCode>
                <c:ptCount val="4"/>
                <c:pt idx="0">
                  <c:v>2.2888972463207209E-2</c:v>
                </c:pt>
                <c:pt idx="1">
                  <c:v>2.4009815750435613E-2</c:v>
                </c:pt>
                <c:pt idx="2">
                  <c:v>3.4936459650853395E-2</c:v>
                </c:pt>
                <c:pt idx="3">
                  <c:v>4.15577832802091E-2</c:v>
                </c:pt>
              </c:numCache>
            </c:numRef>
          </c:xVal>
          <c:yVal>
            <c:numRef>
              <c:f>'C'!$M$3:$M$6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435-4AC4-994E-882E1DE397B0}"/>
            </c:ext>
          </c:extLst>
        </c:ser>
        <c:ser>
          <c:idx val="7"/>
          <c:order val="7"/>
          <c:tx>
            <c:v>data Emmerged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'C'!$L$3:$L$6</c:f>
              <c:numCache>
                <c:formatCode>General</c:formatCode>
                <c:ptCount val="4"/>
                <c:pt idx="0">
                  <c:v>3.4947777681309737E-2</c:v>
                </c:pt>
                <c:pt idx="1">
                  <c:v>2.6445514592995586E-4</c:v>
                </c:pt>
                <c:pt idx="2">
                  <c:v>1.2706728508812515E-2</c:v>
                </c:pt>
                <c:pt idx="3">
                  <c:v>7.1817231823545916E-3</c:v>
                </c:pt>
              </c:numCache>
            </c:numRef>
          </c:xVal>
          <c:yVal>
            <c:numRef>
              <c:f>'C'!$K$3:$K$6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435-4AC4-994E-882E1DE3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axMin"/>
          <c:max val="0.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axMin"/>
          <c:max val="0.2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6.1529611847997677E-2"/>
          <c:y val="0.12659868005934616"/>
          <c:w val="0.11961262070737962"/>
          <c:h val="0.15460503901333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baseline="0">
                <a:solidFill>
                  <a:schemeClr val="tx1"/>
                </a:solidFill>
              </a:rPr>
              <a:t>Average 2^(-</a:t>
            </a:r>
            <a:r>
              <a:rPr lang="el-GR" baseline="0">
                <a:solidFill>
                  <a:schemeClr val="tx1"/>
                </a:solidFill>
              </a:rPr>
              <a:t>Δ</a:t>
            </a:r>
            <a:r>
              <a:rPr lang="cs-CZ" baseline="0">
                <a:solidFill>
                  <a:schemeClr val="tx1"/>
                </a:solidFill>
              </a:rPr>
              <a:t>ct) for fatbody</a:t>
            </a:r>
          </a:p>
        </c:rich>
      </c:tx>
      <c:layout>
        <c:manualLayout>
          <c:xMode val="edge"/>
          <c:yMode val="edge"/>
          <c:x val="0.25770011517737756"/>
          <c:y val="2.4491810992644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918516124141038"/>
          <c:y val="0.11552345708487526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'C'!$H$30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'C'!$C$31:$C$37</c:f>
                <c:numCache>
                  <c:formatCode>General</c:formatCode>
                  <c:ptCount val="7"/>
                  <c:pt idx="0">
                    <c:v>5.0822706993664604E-3</c:v>
                  </c:pt>
                  <c:pt idx="1">
                    <c:v>1.2528298622644639E-2</c:v>
                  </c:pt>
                  <c:pt idx="2">
                    <c:v>3.1925839382904984E-3</c:v>
                  </c:pt>
                  <c:pt idx="3">
                    <c:v>7.1323888048925436E-4</c:v>
                  </c:pt>
                  <c:pt idx="4">
                    <c:v>2.3137866053856936E-2</c:v>
                  </c:pt>
                  <c:pt idx="5">
                    <c:v>4.2784495219789881E-5</c:v>
                  </c:pt>
                  <c:pt idx="6">
                    <c:v>1.5462307583915794E-5</c:v>
                  </c:pt>
                </c:numCache>
              </c:numRef>
            </c:plus>
            <c:minus>
              <c:numRef>
                <c:f>'C'!$C$31:$C$37</c:f>
                <c:numCache>
                  <c:formatCode>General</c:formatCode>
                  <c:ptCount val="7"/>
                  <c:pt idx="0">
                    <c:v>5.0822706993664604E-3</c:v>
                  </c:pt>
                  <c:pt idx="1">
                    <c:v>1.2528298622644639E-2</c:v>
                  </c:pt>
                  <c:pt idx="2">
                    <c:v>3.1925839382904984E-3</c:v>
                  </c:pt>
                  <c:pt idx="3">
                    <c:v>7.1323888048925436E-4</c:v>
                  </c:pt>
                  <c:pt idx="4">
                    <c:v>2.3137866053856936E-2</c:v>
                  </c:pt>
                  <c:pt idx="5">
                    <c:v>4.2784495219789881E-5</c:v>
                  </c:pt>
                  <c:pt idx="6">
                    <c:v>1.5462307583915794E-5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'C'!$H$31:$H$37</c:f>
              <c:numCache>
                <c:formatCode>General</c:formatCode>
                <c:ptCount val="7"/>
                <c:pt idx="0">
                  <c:v>1.7955040656746201E-2</c:v>
                </c:pt>
                <c:pt idx="1">
                  <c:v>7.5411627676843299E-2</c:v>
                </c:pt>
                <c:pt idx="2">
                  <c:v>1.2018303065216399E-2</c:v>
                </c:pt>
                <c:pt idx="3">
                  <c:v>1.2487769857264693E-3</c:v>
                </c:pt>
                <c:pt idx="4">
                  <c:v>3.514329104039348E-2</c:v>
                </c:pt>
                <c:pt idx="5">
                  <c:v>8.5417502742015037E-5</c:v>
                </c:pt>
                <c:pt idx="6">
                  <c:v>4.7224831870967598E-5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5-4B98-8EEA-1BC3460B2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'C'!$J$12:$J$15</c:f>
              <c:numCache>
                <c:formatCode>General</c:formatCode>
                <c:ptCount val="4"/>
                <c:pt idx="0">
                  <c:v>2.0997662275796015E-2</c:v>
                </c:pt>
                <c:pt idx="1">
                  <c:v>3.0603430440890908E-2</c:v>
                </c:pt>
                <c:pt idx="2">
                  <c:v>1.3076897055037793E-2</c:v>
                </c:pt>
                <c:pt idx="3">
                  <c:v>7.1421728552602259E-3</c:v>
                </c:pt>
              </c:numCache>
            </c:numRef>
          </c:xVal>
          <c:yVal>
            <c:numRef>
              <c:f>'C'!$I$12:$I$15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25-4B98-8EEA-1BC3460B2F1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'C'!$V$12:$V$15</c:f>
              <c:numCache>
                <c:formatCode>General</c:formatCode>
                <c:ptCount val="4"/>
                <c:pt idx="0">
                  <c:v>1.8226453976381303E-5</c:v>
                </c:pt>
                <c:pt idx="1">
                  <c:v>4.1698625199815603E-5</c:v>
                </c:pt>
                <c:pt idx="2">
                  <c:v>3.8014712859930067E-5</c:v>
                </c:pt>
                <c:pt idx="3">
                  <c:v>9.0959535447743416E-5</c:v>
                </c:pt>
              </c:numCache>
            </c:numRef>
          </c:xVal>
          <c:yVal>
            <c:numRef>
              <c:f>'C'!$U$12:$U$15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25-4B98-8EEA-1BC3460B2F19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'C'!$T$12:$T$15</c:f>
              <c:numCache>
                <c:formatCode>General</c:formatCode>
                <c:ptCount val="4"/>
                <c:pt idx="0">
                  <c:v>3.7841416593911107E-5</c:v>
                </c:pt>
                <c:pt idx="1">
                  <c:v>5.816210442143545E-5</c:v>
                </c:pt>
                <c:pt idx="2">
                  <c:v>3.2944591271153243E-5</c:v>
                </c:pt>
                <c:pt idx="3">
                  <c:v>2.1272189868156035E-4</c:v>
                </c:pt>
              </c:numCache>
            </c:numRef>
          </c:xVal>
          <c:yVal>
            <c:numRef>
              <c:f>'C'!$S$12:$S$15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25-4B98-8EEA-1BC3460B2F19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'C'!$R$12:$R$15</c:f>
              <c:numCache>
                <c:formatCode>General</c:formatCode>
                <c:ptCount val="4"/>
                <c:pt idx="0">
                  <c:v>1.091755650345385E-2</c:v>
                </c:pt>
                <c:pt idx="2">
                  <c:v>1.3110618685246669E-2</c:v>
                </c:pt>
                <c:pt idx="3">
                  <c:v>8.1401697932479922E-2</c:v>
                </c:pt>
              </c:numCache>
            </c:numRef>
          </c:xVal>
          <c:yVal>
            <c:numRef>
              <c:f>'C'!$Q$12:$Q$15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25-4B98-8EEA-1BC3460B2F19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'C'!$P$12:$P$15</c:f>
              <c:numCache>
                <c:formatCode>General</c:formatCode>
                <c:ptCount val="4"/>
                <c:pt idx="0">
                  <c:v>6.9287412697051852E-4</c:v>
                </c:pt>
                <c:pt idx="1">
                  <c:v>3.206484445715761E-4</c:v>
                </c:pt>
                <c:pt idx="2">
                  <c:v>6.0643521153390942E-4</c:v>
                </c:pt>
                <c:pt idx="3">
                  <c:v>3.3751501598298728E-3</c:v>
                </c:pt>
              </c:numCache>
            </c:numRef>
          </c:xVal>
          <c:yVal>
            <c:numRef>
              <c:f>'C'!$O$12:$O$15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725-4B98-8EEA-1BC3460B2F19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'C'!$N$12:$N$15</c:f>
              <c:numCache>
                <c:formatCode>General</c:formatCode>
                <c:ptCount val="4"/>
                <c:pt idx="0">
                  <c:v>1.0279990505579116E-2</c:v>
                </c:pt>
                <c:pt idx="1">
                  <c:v>1.2270619764492473E-2</c:v>
                </c:pt>
                <c:pt idx="2">
                  <c:v>2.0446404127955974E-2</c:v>
                </c:pt>
                <c:pt idx="3">
                  <c:v>5.0761978628381232E-3</c:v>
                </c:pt>
              </c:numCache>
            </c:numRef>
          </c:xVal>
          <c:yVal>
            <c:numRef>
              <c:f>'C'!$M$12:$M$15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25-4B98-8EEA-1BC3460B2F19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'C'!$L$12:$L$15</c:f>
              <c:numCache>
                <c:formatCode>General</c:formatCode>
                <c:ptCount val="4"/>
                <c:pt idx="0">
                  <c:v>0.10922060246717089</c:v>
                </c:pt>
                <c:pt idx="1">
                  <c:v>6.099812046618884E-2</c:v>
                </c:pt>
                <c:pt idx="2">
                  <c:v>5.2587372094539349E-2</c:v>
                </c:pt>
                <c:pt idx="3">
                  <c:v>7.8840415679474085E-2</c:v>
                </c:pt>
              </c:numCache>
            </c:numRef>
          </c:xVal>
          <c:yVal>
            <c:numRef>
              <c:f>'C'!$K$12:$K$15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25-4B98-8EEA-1BC3460B2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axMin"/>
          <c:max val="0.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axMin"/>
          <c:max val="0.25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7.808267713028938E-2"/>
          <c:y val="0.15258820921229899"/>
          <c:w val="0.11961262070737962"/>
          <c:h val="0.15460503901333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'C'!$H$40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'C'!$C$41:$C$47</c:f>
                <c:numCache>
                  <c:formatCode>General</c:formatCode>
                  <c:ptCount val="7"/>
                  <c:pt idx="0">
                    <c:v>4.5189957825098975E-4</c:v>
                  </c:pt>
                  <c:pt idx="1">
                    <c:v>1.3937165926914351E-3</c:v>
                  </c:pt>
                  <c:pt idx="2">
                    <c:v>6.7876822396058306E-3</c:v>
                  </c:pt>
                  <c:pt idx="3">
                    <c:v>7.1323888048925436E-4</c:v>
                  </c:pt>
                  <c:pt idx="4">
                    <c:v>2.3137866053856936E-2</c:v>
                  </c:pt>
                  <c:pt idx="5">
                    <c:v>4.2784495219789881E-5</c:v>
                  </c:pt>
                  <c:pt idx="6">
                    <c:v>1.5462307583915794E-5</c:v>
                  </c:pt>
                </c:numCache>
              </c:numRef>
            </c:plus>
            <c:minus>
              <c:numRef>
                <c:f>'C'!$C$41:$C$47</c:f>
                <c:numCache>
                  <c:formatCode>General</c:formatCode>
                  <c:ptCount val="7"/>
                  <c:pt idx="0">
                    <c:v>4.5189957825098975E-4</c:v>
                  </c:pt>
                  <c:pt idx="1">
                    <c:v>1.3937165926914351E-3</c:v>
                  </c:pt>
                  <c:pt idx="2">
                    <c:v>6.7876822396058306E-3</c:v>
                  </c:pt>
                  <c:pt idx="3">
                    <c:v>7.1323888048925436E-4</c:v>
                  </c:pt>
                  <c:pt idx="4">
                    <c:v>2.3137866053856936E-2</c:v>
                  </c:pt>
                  <c:pt idx="5">
                    <c:v>4.2784495219789881E-5</c:v>
                  </c:pt>
                  <c:pt idx="6">
                    <c:v>1.5462307583915794E-5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'C'!$H$41:$H$47</c:f>
              <c:numCache>
                <c:formatCode>General</c:formatCode>
                <c:ptCount val="7"/>
                <c:pt idx="0">
                  <c:v>1.1447168973331722E-3</c:v>
                </c:pt>
                <c:pt idx="1">
                  <c:v>1.9963384697603899E-2</c:v>
                </c:pt>
                <c:pt idx="2">
                  <c:v>7.8658355469024763E-3</c:v>
                </c:pt>
                <c:pt idx="3">
                  <c:v>1.2487769857264693E-3</c:v>
                </c:pt>
                <c:pt idx="4">
                  <c:v>3.514329104039348E-2</c:v>
                </c:pt>
                <c:pt idx="5">
                  <c:v>8.5417502742015037E-5</c:v>
                </c:pt>
                <c:pt idx="6">
                  <c:v>4.7224831870967598E-5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9-4AEA-948E-E95B4C1D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'C'!$K$62:$K$65</c:f>
              <c:numCache>
                <c:formatCode>General</c:formatCode>
                <c:ptCount val="4"/>
                <c:pt idx="0">
                  <c:v>3.5555216504964358E-4</c:v>
                </c:pt>
                <c:pt idx="1">
                  <c:v>8.6168744602006288E-4</c:v>
                </c:pt>
                <c:pt idx="2">
                  <c:v>9.1502292192676511E-4</c:v>
                </c:pt>
                <c:pt idx="3">
                  <c:v>2.4466050563362166E-3</c:v>
                </c:pt>
              </c:numCache>
            </c:numRef>
          </c:xVal>
          <c:yVal>
            <c:numRef>
              <c:f>'C'!$J$62:$J$65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69-4AEA-948E-E95B4C1DC7A2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'C'!$W$62:$W$65</c:f>
              <c:numCache>
                <c:formatCode>General</c:formatCode>
                <c:ptCount val="4"/>
                <c:pt idx="0">
                  <c:v>1.8226453976381303E-5</c:v>
                </c:pt>
                <c:pt idx="1">
                  <c:v>4.1698625199815603E-5</c:v>
                </c:pt>
                <c:pt idx="2">
                  <c:v>3.8014712859930067E-5</c:v>
                </c:pt>
                <c:pt idx="3">
                  <c:v>9.0959535447743416E-5</c:v>
                </c:pt>
              </c:numCache>
            </c:numRef>
          </c:xVal>
          <c:yVal>
            <c:numRef>
              <c:f>'C'!$V$62:$V$65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69-4AEA-948E-E95B4C1DC7A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'C'!$U$62:$U$65</c:f>
              <c:numCache>
                <c:formatCode>General</c:formatCode>
                <c:ptCount val="4"/>
                <c:pt idx="0">
                  <c:v>3.7841416593911107E-5</c:v>
                </c:pt>
                <c:pt idx="1">
                  <c:v>5.816210442143545E-5</c:v>
                </c:pt>
                <c:pt idx="2">
                  <c:v>3.2944591271153243E-5</c:v>
                </c:pt>
                <c:pt idx="3">
                  <c:v>2.1272189868156035E-4</c:v>
                </c:pt>
              </c:numCache>
            </c:numRef>
          </c:xVal>
          <c:yVal>
            <c:numRef>
              <c:f>'C'!$T$62:$T$65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69-4AEA-948E-E95B4C1DC7A2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'C'!$S$62:$S$65</c:f>
              <c:numCache>
                <c:formatCode>General</c:formatCode>
                <c:ptCount val="4"/>
                <c:pt idx="0">
                  <c:v>1.091755650345385E-2</c:v>
                </c:pt>
                <c:pt idx="2">
                  <c:v>1.3110618685246669E-2</c:v>
                </c:pt>
                <c:pt idx="3">
                  <c:v>8.1401697932479922E-2</c:v>
                </c:pt>
              </c:numCache>
            </c:numRef>
          </c:xVal>
          <c:yVal>
            <c:numRef>
              <c:f>'C'!$R$62:$R$65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169-4AEA-948E-E95B4C1DC7A2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'C'!$Q$62:$Q$65</c:f>
              <c:numCache>
                <c:formatCode>General</c:formatCode>
                <c:ptCount val="4"/>
                <c:pt idx="0">
                  <c:v>6.9287412697051852E-4</c:v>
                </c:pt>
                <c:pt idx="1">
                  <c:v>3.206484445715761E-4</c:v>
                </c:pt>
                <c:pt idx="2">
                  <c:v>6.0643521153390942E-4</c:v>
                </c:pt>
                <c:pt idx="3">
                  <c:v>3.3751501598298728E-3</c:v>
                </c:pt>
              </c:numCache>
            </c:numRef>
          </c:xVal>
          <c:yVal>
            <c:numRef>
              <c:f>'C'!$P$62:$P$65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169-4AEA-948E-E95B4C1DC7A2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'C'!$O$62:$O$65</c:f>
              <c:numCache>
                <c:formatCode>General</c:formatCode>
                <c:ptCount val="4"/>
                <c:pt idx="0">
                  <c:v>6.6559130605776669E-4</c:v>
                </c:pt>
                <c:pt idx="1">
                  <c:v>2.8223350298870176E-2</c:v>
                </c:pt>
                <c:pt idx="2">
                  <c:v>1.4334100285197566E-3</c:v>
                </c:pt>
                <c:pt idx="3">
                  <c:v>1.1409905541622104E-3</c:v>
                </c:pt>
              </c:numCache>
            </c:numRef>
          </c:xVal>
          <c:yVal>
            <c:numRef>
              <c:f>'C'!$N$62:$N$65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169-4AEA-948E-E95B4C1DC7A2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'C'!$M$62:$M$65</c:f>
              <c:numCache>
                <c:formatCode>General</c:formatCode>
                <c:ptCount val="4"/>
                <c:pt idx="0">
                  <c:v>1.5910647933228026E-2</c:v>
                </c:pt>
                <c:pt idx="1">
                  <c:v>2.205660426495519E-2</c:v>
                </c:pt>
                <c:pt idx="2">
                  <c:v>2.1483168308378306E-2</c:v>
                </c:pt>
                <c:pt idx="3">
                  <c:v>2.0403118283854074E-2</c:v>
                </c:pt>
              </c:numCache>
            </c:numRef>
          </c:xVal>
          <c:yVal>
            <c:numRef>
              <c:f>'C'!$L$62:$L$65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169-4AEA-948E-E95B4C1D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inMax"/>
          <c:max val="0.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  <c:majorUnit val="5.000000000000001E-2"/>
      </c:valAx>
      <c:valAx>
        <c:axId val="1362576895"/>
        <c:scaling>
          <c:orientation val="minMax"/>
          <c:max val="3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inMax"/>
          <c:max val="0.2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'C'!$H$50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'C'!$C$51:$C$57</c:f>
                <c:numCache>
                  <c:formatCode>General</c:formatCode>
                  <c:ptCount val="7"/>
                  <c:pt idx="0">
                    <c:v>3.6843472191311809E-2</c:v>
                  </c:pt>
                  <c:pt idx="1">
                    <c:v>5.0816114650393387E-2</c:v>
                  </c:pt>
                  <c:pt idx="2">
                    <c:v>4.4862924849135765E-3</c:v>
                  </c:pt>
                  <c:pt idx="3">
                    <c:v>7.1323888048925436E-4</c:v>
                  </c:pt>
                  <c:pt idx="4">
                    <c:v>2.3137866053856936E-2</c:v>
                  </c:pt>
                  <c:pt idx="5">
                    <c:v>4.2784495219789881E-5</c:v>
                  </c:pt>
                  <c:pt idx="6">
                    <c:v>1.5462307583915794E-5</c:v>
                  </c:pt>
                </c:numCache>
              </c:numRef>
            </c:plus>
            <c:minus>
              <c:numRef>
                <c:f>'C'!$C$51:$C$57</c:f>
                <c:numCache>
                  <c:formatCode>General</c:formatCode>
                  <c:ptCount val="7"/>
                  <c:pt idx="0">
                    <c:v>3.6843472191311809E-2</c:v>
                  </c:pt>
                  <c:pt idx="1">
                    <c:v>5.0816114650393387E-2</c:v>
                  </c:pt>
                  <c:pt idx="2">
                    <c:v>4.4862924849135765E-3</c:v>
                  </c:pt>
                  <c:pt idx="3">
                    <c:v>7.1323888048925436E-4</c:v>
                  </c:pt>
                  <c:pt idx="4">
                    <c:v>2.3137866053856936E-2</c:v>
                  </c:pt>
                  <c:pt idx="5">
                    <c:v>4.2784495219789881E-5</c:v>
                  </c:pt>
                  <c:pt idx="6">
                    <c:v>1.5462307583915794E-5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'C'!$H$51:$H$57</c:f>
              <c:numCache>
                <c:formatCode>General</c:formatCode>
                <c:ptCount val="7"/>
                <c:pt idx="0">
                  <c:v>0.11809115771932019</c:v>
                </c:pt>
                <c:pt idx="1">
                  <c:v>0.12845905647954386</c:v>
                </c:pt>
                <c:pt idx="2">
                  <c:v>3.0848257786176329E-2</c:v>
                </c:pt>
                <c:pt idx="3">
                  <c:v>1.2487769857264693E-3</c:v>
                </c:pt>
                <c:pt idx="4">
                  <c:v>3.514329104039348E-2</c:v>
                </c:pt>
                <c:pt idx="5">
                  <c:v>8.5417502742015037E-5</c:v>
                </c:pt>
                <c:pt idx="6">
                  <c:v>4.7224831870967598E-5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9-4335-A0F9-6B5EB55D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'C'!$K$70:$K$73</c:f>
              <c:numCache>
                <c:formatCode>General</c:formatCode>
                <c:ptCount val="4"/>
                <c:pt idx="0">
                  <c:v>1.8248730261453794E-2</c:v>
                </c:pt>
                <c:pt idx="1">
                  <c:v>0.12528026274701895</c:v>
                </c:pt>
                <c:pt idx="2">
                  <c:v>0.1329791112089686</c:v>
                </c:pt>
                <c:pt idx="3">
                  <c:v>0.19585652665983941</c:v>
                </c:pt>
              </c:numCache>
            </c:numRef>
          </c:xVal>
          <c:yVal>
            <c:numRef>
              <c:f>'C'!$J$70:$J$73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B9-4335-A0F9-6B5EB55D60E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'C'!$W$70:$W$73</c:f>
              <c:numCache>
                <c:formatCode>General</c:formatCode>
                <c:ptCount val="4"/>
                <c:pt idx="0">
                  <c:v>1.8226453976381303E-5</c:v>
                </c:pt>
                <c:pt idx="1">
                  <c:v>4.1698625199815603E-5</c:v>
                </c:pt>
                <c:pt idx="2">
                  <c:v>3.8014712859930067E-5</c:v>
                </c:pt>
                <c:pt idx="3">
                  <c:v>9.0959535447743416E-5</c:v>
                </c:pt>
              </c:numCache>
            </c:numRef>
          </c:xVal>
          <c:yVal>
            <c:numRef>
              <c:f>'C'!$V$70:$V$73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B9-4335-A0F9-6B5EB55D60E9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'C'!$U$70:$U$73</c:f>
              <c:numCache>
                <c:formatCode>General</c:formatCode>
                <c:ptCount val="4"/>
                <c:pt idx="0">
                  <c:v>3.7841416593911107E-5</c:v>
                </c:pt>
                <c:pt idx="1">
                  <c:v>5.816210442143545E-5</c:v>
                </c:pt>
                <c:pt idx="2">
                  <c:v>3.2944591271153243E-5</c:v>
                </c:pt>
                <c:pt idx="3">
                  <c:v>2.1272189868156035E-4</c:v>
                </c:pt>
              </c:numCache>
            </c:numRef>
          </c:xVal>
          <c:yVal>
            <c:numRef>
              <c:f>'C'!$T$70:$T$73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B9-4335-A0F9-6B5EB55D60E9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'C'!$S$70:$S$73</c:f>
              <c:numCache>
                <c:formatCode>General</c:formatCode>
                <c:ptCount val="4"/>
                <c:pt idx="0">
                  <c:v>1.091755650345385E-2</c:v>
                </c:pt>
                <c:pt idx="2">
                  <c:v>1.3110618685246669E-2</c:v>
                </c:pt>
                <c:pt idx="3">
                  <c:v>8.1401697932479922E-2</c:v>
                </c:pt>
              </c:numCache>
            </c:numRef>
          </c:xVal>
          <c:yVal>
            <c:numRef>
              <c:f>'C'!$R$70:$R$73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0B9-4335-A0F9-6B5EB55D60E9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'C'!$Q$70:$Q$73</c:f>
              <c:numCache>
                <c:formatCode>General</c:formatCode>
                <c:ptCount val="4"/>
                <c:pt idx="0">
                  <c:v>6.9287412697051852E-4</c:v>
                </c:pt>
                <c:pt idx="1">
                  <c:v>3.206484445715761E-4</c:v>
                </c:pt>
                <c:pt idx="2">
                  <c:v>6.0643521153390942E-4</c:v>
                </c:pt>
                <c:pt idx="3">
                  <c:v>3.3751501598298728E-3</c:v>
                </c:pt>
              </c:numCache>
            </c:numRef>
          </c:xVal>
          <c:yVal>
            <c:numRef>
              <c:f>'C'!$P$70:$P$73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0B9-4335-A0F9-6B5EB55D60E9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'C'!$O$70:$O$73</c:f>
              <c:numCache>
                <c:formatCode>General</c:formatCode>
                <c:ptCount val="4"/>
                <c:pt idx="0">
                  <c:v>2.2888972463207209E-2</c:v>
                </c:pt>
                <c:pt idx="1">
                  <c:v>2.4009815750435613E-2</c:v>
                </c:pt>
                <c:pt idx="2">
                  <c:v>3.4936459650853395E-2</c:v>
                </c:pt>
                <c:pt idx="3">
                  <c:v>4.15577832802091E-2</c:v>
                </c:pt>
              </c:numCache>
            </c:numRef>
          </c:xVal>
          <c:yVal>
            <c:numRef>
              <c:f>'C'!$N$70:$N$73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0B9-4335-A0F9-6B5EB55D60E9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'C'!$M$70:$M$73</c:f>
              <c:numCache>
                <c:formatCode>General</c:formatCode>
                <c:ptCount val="4"/>
                <c:pt idx="0">
                  <c:v>4.1905033731825032E-2</c:v>
                </c:pt>
                <c:pt idx="1">
                  <c:v>0.19539383631249374</c:v>
                </c:pt>
                <c:pt idx="2">
                  <c:v>4.125576862437693E-2</c:v>
                </c:pt>
                <c:pt idx="3">
                  <c:v>0.23528158724947976</c:v>
                </c:pt>
              </c:numCache>
            </c:numRef>
          </c:xVal>
          <c:yVal>
            <c:numRef>
              <c:f>'C'!$L$70:$L$73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0B9-4335-A0F9-6B5EB55D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inMax"/>
          <c:max val="0.2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inMax"/>
          <c:max val="0.25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female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gut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118123099876382"/>
          <c:y val="0.17144304630236004"/>
          <c:w val="0.86903168475406622"/>
          <c:h val="0.69430162784897587"/>
        </c:manualLayout>
      </c:layout>
      <c:barChart>
        <c:barDir val="bar"/>
        <c:grouping val="clustered"/>
        <c:varyColors val="0"/>
        <c:ser>
          <c:idx val="3"/>
          <c:order val="0"/>
          <c:tx>
            <c:v>methyl oleat</c:v>
          </c:tx>
          <c:spPr>
            <a:solidFill>
              <a:srgbClr val="0070C0"/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1.462938848610452E-2</c:v>
              </c:pt>
              <c:pt idx="1">
                <c:v>1.462938848610452E-2</c:v>
              </c:pt>
              <c:pt idx="2">
                <c:v>4.1940223759803139</c:v>
              </c:pt>
              <c:pt idx="3">
                <c:v>1.462938848610452E-2</c:v>
              </c:pt>
              <c:pt idx="4">
                <c:v>1.6323288805439347</c:v>
              </c:pt>
              <c:pt idx="5">
                <c:v>2.0906414059494223</c:v>
              </c:pt>
              <c:pt idx="7">
                <c:v>92.039119172068027</c:v>
              </c:pt>
            </c:numLit>
          </c:val>
          <c:extLst>
            <c:ext xmlns:c16="http://schemas.microsoft.com/office/drawing/2014/chart" uri="{C3380CC4-5D6E-409C-BE32-E72D297353CC}">
              <c16:uniqueId val="{00000000-47B9-42A1-8667-91A0DDE042B7}"/>
            </c:ext>
          </c:extLst>
        </c:ser>
        <c:ser>
          <c:idx val="4"/>
          <c:order val="1"/>
          <c:tx>
            <c:v>verbenyl oleate</c:v>
          </c:tx>
          <c:spPr>
            <a:solidFill>
              <a:schemeClr val="accent2"/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1.7397275633399687E-2</c:v>
              </c:pt>
              <c:pt idx="1">
                <c:v>39.189967295664133</c:v>
              </c:pt>
              <c:pt idx="2">
                <c:v>60.72304632616887</c:v>
              </c:pt>
              <c:pt idx="3">
                <c:v>1.7397275633399687E-2</c:v>
              </c:pt>
              <c:pt idx="4">
                <c:v>1.7397275633399687E-2</c:v>
              </c:pt>
              <c:pt idx="5">
                <c:v>1.7397275633399687E-2</c:v>
              </c:pt>
              <c:pt idx="7">
                <c:v>1.7397275633399687E-2</c:v>
              </c:pt>
            </c:numLit>
          </c:val>
          <c:extLst>
            <c:ext xmlns:c16="http://schemas.microsoft.com/office/drawing/2014/chart" uri="{C3380CC4-5D6E-409C-BE32-E72D297353CC}">
              <c16:uniqueId val="{00000001-47B9-42A1-8667-91A0DDE042B7}"/>
            </c:ext>
          </c:extLst>
        </c:ser>
        <c:ser>
          <c:idx val="5"/>
          <c:order val="2"/>
          <c:tx>
            <c:v>cis-Verbenol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1.9488538325614181E-2</c:v>
              </c:pt>
              <c:pt idx="1">
                <c:v>1.1214669115511162</c:v>
              </c:pt>
              <c:pt idx="2">
                <c:v>98.781090396820829</c:v>
              </c:pt>
              <c:pt idx="3">
                <c:v>1.9488538325614181E-2</c:v>
              </c:pt>
              <c:pt idx="4">
                <c:v>1.9488538325614181E-2</c:v>
              </c:pt>
              <c:pt idx="5">
                <c:v>1.9488538325614181E-2</c:v>
              </c:pt>
              <c:pt idx="7">
                <c:v>1.9488538325614181E-2</c:v>
              </c:pt>
            </c:numLit>
          </c:val>
          <c:extLst>
            <c:ext xmlns:c16="http://schemas.microsoft.com/office/drawing/2014/chart" uri="{C3380CC4-5D6E-409C-BE32-E72D297353CC}">
              <c16:uniqueId val="{00000002-47B9-42A1-8667-91A0DDE04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axId val="450134952"/>
        <c:axId val="450129048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v>methyl oleat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1.462938848610452E-2</c:v>
                    </c:pt>
                    <c:pt idx="1">
                      <c:v>1.462938848610452E-2</c:v>
                    </c:pt>
                    <c:pt idx="2">
                      <c:v>4.1940223759803139</c:v>
                    </c:pt>
                    <c:pt idx="3">
                      <c:v>1.462938848610452E-2</c:v>
                    </c:pt>
                    <c:pt idx="4">
                      <c:v>1.6323288805439347</c:v>
                    </c:pt>
                    <c:pt idx="5">
                      <c:v>2.0906414059494223</c:v>
                    </c:pt>
                    <c:pt idx="7">
                      <c:v>92.039119172068027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3-47B9-42A1-8667-91A0DDE042B7}"/>
                  </c:ext>
                </c:extLst>
              </c15:ser>
            </c15:filteredBarSeries>
            <c15:filteredBarSeries>
              <c15:ser>
                <c:idx val="1"/>
                <c:order val="4"/>
                <c:tx>
                  <c:v>verbenyl oleate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1.7397275633399687E-2</c:v>
                    </c:pt>
                    <c:pt idx="1">
                      <c:v>39.189967295664133</c:v>
                    </c:pt>
                    <c:pt idx="2">
                      <c:v>60.72304632616887</c:v>
                    </c:pt>
                    <c:pt idx="3">
                      <c:v>1.7397275633399687E-2</c:v>
                    </c:pt>
                    <c:pt idx="4">
                      <c:v>1.7397275633399687E-2</c:v>
                    </c:pt>
                    <c:pt idx="5">
                      <c:v>1.7397275633399687E-2</c:v>
                    </c:pt>
                    <c:pt idx="7">
                      <c:v>1.7397275633399687E-2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7B9-42A1-8667-91A0DDE042B7}"/>
                  </c:ext>
                </c:extLst>
              </c15:ser>
            </c15:filteredBarSeries>
            <c15:filteredBarSeries>
              <c15:ser>
                <c:idx val="2"/>
                <c:order val="5"/>
                <c:tx>
                  <c:v>cis-Verbenol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8"/>
                    <c:pt idx="0">
                      <c:v>larvae</c:v>
                    </c:pt>
                    <c:pt idx="1">
                      <c:v>puppae</c:v>
                    </c:pt>
                    <c:pt idx="2">
                      <c:v>golden</c:v>
                    </c:pt>
                    <c:pt idx="3">
                      <c:v>sclerotized</c:v>
                    </c:pt>
                    <c:pt idx="4">
                      <c:v>Emerged</c:v>
                    </c:pt>
                    <c:pt idx="5">
                      <c:v>after flight</c:v>
                    </c:pt>
                    <c:pt idx="6">
                      <c:v>fed females</c:v>
                    </c:pt>
                    <c:pt idx="7">
                      <c:v>mated</c:v>
                    </c:pt>
                  </c:strLit>
                </c:cat>
                <c:val>
                  <c:numLit>
                    <c:formatCode>General</c:formatCode>
                    <c:ptCount val="8"/>
                    <c:pt idx="0">
                      <c:v>1.9488538325614181E-2</c:v>
                    </c:pt>
                    <c:pt idx="1">
                      <c:v>1.1214669115511162</c:v>
                    </c:pt>
                    <c:pt idx="2">
                      <c:v>98.781090396820829</c:v>
                    </c:pt>
                    <c:pt idx="3">
                      <c:v>1.9488538325614181E-2</c:v>
                    </c:pt>
                    <c:pt idx="4">
                      <c:v>1.9488538325614181E-2</c:v>
                    </c:pt>
                    <c:pt idx="5">
                      <c:v>1.9488538325614181E-2</c:v>
                    </c:pt>
                    <c:pt idx="7">
                      <c:v>1.9488538325614181E-2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7B9-42A1-8667-91A0DDE042B7}"/>
                  </c:ext>
                </c:extLst>
              </c15:ser>
            </c15:filteredBarSeries>
          </c:ext>
        </c:extLst>
      </c:barChart>
      <c:catAx>
        <c:axId val="450134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male </a:t>
            </a:r>
            <a:r>
              <a:rPr lang="en-US"/>
              <a:t>in </a:t>
            </a:r>
            <a:r>
              <a:rPr lang="cs-CZ"/>
              <a:t>percentage/ methyl</a:t>
            </a:r>
            <a:r>
              <a:rPr lang="cs-CZ" baseline="0"/>
              <a:t> oleate gut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18123099876382"/>
          <c:y val="0.17144304630236004"/>
          <c:w val="0.86903168475406622"/>
          <c:h val="0.6612546958644961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1.0895468264707261E-2</c:v>
              </c:pt>
              <c:pt idx="1">
                <c:v>1.0895468264707261E-2</c:v>
              </c:pt>
              <c:pt idx="2">
                <c:v>3.5730876606994655</c:v>
              </c:pt>
              <c:pt idx="3">
                <c:v>0.85428461205365713</c:v>
              </c:pt>
              <c:pt idx="4">
                <c:v>7.4848066421298789</c:v>
              </c:pt>
              <c:pt idx="5">
                <c:v>6.3772872831468508</c:v>
              </c:pt>
              <c:pt idx="6">
                <c:v>48.339905469621499</c:v>
              </c:pt>
              <c:pt idx="7">
                <c:v>33.348837395819231</c:v>
              </c:pt>
            </c:numLit>
          </c:val>
          <c:extLst>
            <c:ext xmlns:c16="http://schemas.microsoft.com/office/drawing/2014/chart" uri="{C3380CC4-5D6E-409C-BE32-E72D297353CC}">
              <c16:uniqueId val="{00000000-8D36-4834-8979-712A2FA9303F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1.1108061342677498E-2</c:v>
              </c:pt>
              <c:pt idx="1">
                <c:v>25.022570769759845</c:v>
              </c:pt>
              <c:pt idx="2">
                <c:v>43.071694249501327</c:v>
              </c:pt>
              <c:pt idx="3">
                <c:v>2.8033734692950576</c:v>
              </c:pt>
              <c:pt idx="4">
                <c:v>8.4776890566073568</c:v>
              </c:pt>
              <c:pt idx="5">
                <c:v>7.8040644551373273</c:v>
              </c:pt>
              <c:pt idx="6">
                <c:v>3.5005084973527172</c:v>
              </c:pt>
              <c:pt idx="7">
                <c:v>9.3089914410036894</c:v>
              </c:pt>
            </c:numLit>
          </c:val>
          <c:extLst>
            <c:ext xmlns:c16="http://schemas.microsoft.com/office/drawing/2014/chart" uri="{C3380CC4-5D6E-409C-BE32-E72D297353CC}">
              <c16:uniqueId val="{00000001-8D36-4834-8979-712A2FA9303F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7.4507481781264529E-3</c:v>
              </c:pt>
              <c:pt idx="1">
                <c:v>0.42875291150421602</c:v>
              </c:pt>
              <c:pt idx="2">
                <c:v>59.912000219615877</c:v>
              </c:pt>
              <c:pt idx="3">
                <c:v>7.4507481781264529E-3</c:v>
              </c:pt>
              <c:pt idx="4">
                <c:v>1.5326046891802532</c:v>
              </c:pt>
              <c:pt idx="5">
                <c:v>12.622904867748673</c:v>
              </c:pt>
              <c:pt idx="6">
                <c:v>11.377063079331352</c:v>
              </c:pt>
              <c:pt idx="7">
                <c:v>14.111772736263385</c:v>
              </c:pt>
            </c:numLit>
          </c:val>
          <c:extLst>
            <c:ext xmlns:c16="http://schemas.microsoft.com/office/drawing/2014/chart" uri="{C3380CC4-5D6E-409C-BE32-E72D297353CC}">
              <c16:uniqueId val="{00000002-8D36-4834-8979-712A2FA93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female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skelet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02601573105415"/>
          <c:y val="0.17144304630236004"/>
          <c:w val="0.86903168475406622"/>
          <c:h val="0.7039487370543422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2.788602932446024E-2</c:v>
              </c:pt>
              <c:pt idx="1">
                <c:v>15.570744223862031</c:v>
              </c:pt>
              <c:pt idx="2">
                <c:v>2.788602932446024E-2</c:v>
              </c:pt>
              <c:pt idx="3">
                <c:v>2.788602932446024E-2</c:v>
              </c:pt>
              <c:pt idx="4">
                <c:v>5.1408764360129933</c:v>
              </c:pt>
              <c:pt idx="5">
                <c:v>2.788602932446024E-2</c:v>
              </c:pt>
              <c:pt idx="7">
                <c:v>79.176835222827123</c:v>
              </c:pt>
            </c:numLit>
          </c:val>
          <c:extLst>
            <c:ext xmlns:c16="http://schemas.microsoft.com/office/drawing/2014/chart" uri="{C3380CC4-5D6E-409C-BE32-E72D297353CC}">
              <c16:uniqueId val="{00000000-012B-423D-A3B4-F80BE950CA80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1.7397275633399687E-2</c:v>
              </c:pt>
              <c:pt idx="1">
                <c:v>39.189967295664133</c:v>
              </c:pt>
              <c:pt idx="2">
                <c:v>60.72304632616887</c:v>
              </c:pt>
              <c:pt idx="3">
                <c:v>1.7397275633399687E-2</c:v>
              </c:pt>
              <c:pt idx="4">
                <c:v>1.7397275633399687E-2</c:v>
              </c:pt>
              <c:pt idx="5">
                <c:v>1.7397275633399687E-2</c:v>
              </c:pt>
              <c:pt idx="7">
                <c:v>1.7397275633399687E-2</c:v>
              </c:pt>
            </c:numLit>
          </c:val>
          <c:extLst>
            <c:ext xmlns:c16="http://schemas.microsoft.com/office/drawing/2014/chart" uri="{C3380CC4-5D6E-409C-BE32-E72D297353CC}">
              <c16:uniqueId val="{00000001-012B-423D-A3B4-F80BE950CA80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1.9488538325614181E-2</c:v>
              </c:pt>
              <c:pt idx="1">
                <c:v>1.1214669115511162</c:v>
              </c:pt>
              <c:pt idx="2">
                <c:v>98.781090396820829</c:v>
              </c:pt>
              <c:pt idx="3">
                <c:v>1.9488538325614181E-2</c:v>
              </c:pt>
              <c:pt idx="4">
                <c:v>1.9488538325614181E-2</c:v>
              </c:pt>
              <c:pt idx="5">
                <c:v>1.9488538325614181E-2</c:v>
              </c:pt>
              <c:pt idx="7">
                <c:v>1.9488538325614181E-2</c:v>
              </c:pt>
            </c:numLit>
          </c:val>
          <c:extLst>
            <c:ext xmlns:c16="http://schemas.microsoft.com/office/drawing/2014/chart" uri="{C3380CC4-5D6E-409C-BE32-E72D297353CC}">
              <c16:uniqueId val="{00000002-012B-423D-A3B4-F80BE950C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female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skelet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02601573105415"/>
          <c:y val="0.17144304630236004"/>
          <c:w val="0.86903168475406622"/>
          <c:h val="0.7039487370543422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2.788602932446024E-2</c:v>
              </c:pt>
              <c:pt idx="1">
                <c:v>15.570744223862031</c:v>
              </c:pt>
              <c:pt idx="2">
                <c:v>2.788602932446024E-2</c:v>
              </c:pt>
              <c:pt idx="3">
                <c:v>2.788602932446024E-2</c:v>
              </c:pt>
              <c:pt idx="4">
                <c:v>5.1408764360129933</c:v>
              </c:pt>
              <c:pt idx="5">
                <c:v>2.788602932446024E-2</c:v>
              </c:pt>
              <c:pt idx="7">
                <c:v>79.176835222827123</c:v>
              </c:pt>
            </c:numLit>
          </c:val>
          <c:extLst>
            <c:ext xmlns:c16="http://schemas.microsoft.com/office/drawing/2014/chart" uri="{C3380CC4-5D6E-409C-BE32-E72D297353CC}">
              <c16:uniqueId val="{00000000-9183-4E6A-ACEC-1E7E1011530E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1.7397275633399687E-2</c:v>
              </c:pt>
              <c:pt idx="1">
                <c:v>39.189967295664133</c:v>
              </c:pt>
              <c:pt idx="2">
                <c:v>60.72304632616887</c:v>
              </c:pt>
              <c:pt idx="3">
                <c:v>1.7397275633399687E-2</c:v>
              </c:pt>
              <c:pt idx="4">
                <c:v>1.7397275633399687E-2</c:v>
              </c:pt>
              <c:pt idx="5">
                <c:v>1.7397275633399687E-2</c:v>
              </c:pt>
              <c:pt idx="7">
                <c:v>1.7397275633399687E-2</c:v>
              </c:pt>
            </c:numLit>
          </c:val>
          <c:extLst>
            <c:ext xmlns:c16="http://schemas.microsoft.com/office/drawing/2014/chart" uri="{C3380CC4-5D6E-409C-BE32-E72D297353CC}">
              <c16:uniqueId val="{00000001-9183-4E6A-ACEC-1E7E1011530E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 females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1.9488538325614181E-2</c:v>
              </c:pt>
              <c:pt idx="1">
                <c:v>1.1214669115511162</c:v>
              </c:pt>
              <c:pt idx="2">
                <c:v>98.781090396820829</c:v>
              </c:pt>
              <c:pt idx="3">
                <c:v>1.9488538325614181E-2</c:v>
              </c:pt>
              <c:pt idx="4">
                <c:v>1.9488538325614181E-2</c:v>
              </c:pt>
              <c:pt idx="5">
                <c:v>1.9488538325614181E-2</c:v>
              </c:pt>
              <c:pt idx="7">
                <c:v>1.9488538325614181E-2</c:v>
              </c:pt>
            </c:numLit>
          </c:val>
          <c:extLst>
            <c:ext xmlns:c16="http://schemas.microsoft.com/office/drawing/2014/chart" uri="{C3380CC4-5D6E-409C-BE32-E72D297353CC}">
              <c16:uniqueId val="{00000002-9183-4E6A-ACEC-1E7E10115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skelet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0260592425947"/>
          <c:y val="0.15238474831941828"/>
          <c:w val="0.86903168475406622"/>
          <c:h val="0.6612546958644961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1.8874033677896841E-2</c:v>
              </c:pt>
              <c:pt idx="1">
                <c:v>10.538709095213864</c:v>
              </c:pt>
              <c:pt idx="2">
                <c:v>14.998218335889353</c:v>
              </c:pt>
              <c:pt idx="3">
                <c:v>1.8874033677896841E-2</c:v>
              </c:pt>
              <c:pt idx="4">
                <c:v>1.8874033677896841E-2</c:v>
              </c:pt>
              <c:pt idx="5">
                <c:v>5.6173924898800411</c:v>
              </c:pt>
              <c:pt idx="6">
                <c:v>37.150325941670651</c:v>
              </c:pt>
              <c:pt idx="7">
                <c:v>31.638732036312398</c:v>
              </c:pt>
            </c:numLit>
          </c:val>
          <c:extLst>
            <c:ext xmlns:c16="http://schemas.microsoft.com/office/drawing/2014/chart" uri="{C3380CC4-5D6E-409C-BE32-E72D297353CC}">
              <c16:uniqueId val="{00000000-97F1-43DE-8C3E-033986C1F2BB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1.1108061342677498E-2</c:v>
              </c:pt>
              <c:pt idx="1">
                <c:v>25.022570769759845</c:v>
              </c:pt>
              <c:pt idx="2">
                <c:v>43.071694249501327</c:v>
              </c:pt>
              <c:pt idx="3">
                <c:v>2.8033734692950576</c:v>
              </c:pt>
              <c:pt idx="4">
                <c:v>8.4776890566073568</c:v>
              </c:pt>
              <c:pt idx="5">
                <c:v>7.8040644551373273</c:v>
              </c:pt>
              <c:pt idx="6">
                <c:v>3.5005084973527172</c:v>
              </c:pt>
              <c:pt idx="7">
                <c:v>9.3089914410036894</c:v>
              </c:pt>
            </c:numLit>
          </c:val>
          <c:extLst>
            <c:ext xmlns:c16="http://schemas.microsoft.com/office/drawing/2014/chart" uri="{C3380CC4-5D6E-409C-BE32-E72D297353CC}">
              <c16:uniqueId val="{00000001-97F1-43DE-8C3E-033986C1F2BB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7.4507481781264529E-3</c:v>
              </c:pt>
              <c:pt idx="1">
                <c:v>0.42875291150421602</c:v>
              </c:pt>
              <c:pt idx="2">
                <c:v>59.912000219615877</c:v>
              </c:pt>
              <c:pt idx="3">
                <c:v>7.4507481781264529E-3</c:v>
              </c:pt>
              <c:pt idx="4">
                <c:v>1.5326046891802532</c:v>
              </c:pt>
              <c:pt idx="5">
                <c:v>12.622904867748673</c:v>
              </c:pt>
              <c:pt idx="6">
                <c:v>11.377063079331352</c:v>
              </c:pt>
              <c:pt idx="7">
                <c:v>14.111772736263385</c:v>
              </c:pt>
            </c:numLit>
          </c:val>
          <c:extLst>
            <c:ext xmlns:c16="http://schemas.microsoft.com/office/drawing/2014/chart" uri="{C3380CC4-5D6E-409C-BE32-E72D297353CC}">
              <c16:uniqueId val="{00000002-97F1-43DE-8C3E-033986C1F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9765395894428152E-2"/>
          <c:y val="0.17271401109687681"/>
          <c:w val="0.93293740042025541"/>
          <c:h val="0.7261029345828379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D!$D$2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D!$C$3:$C$12</c:f>
                <c:numCache>
                  <c:formatCode>General</c:formatCode>
                  <c:ptCount val="10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1.8926686492565825E-4</c:v>
                  </c:pt>
                  <c:pt idx="5">
                    <c:v>1.8926686492565825E-4</c:v>
                  </c:pt>
                  <c:pt idx="6">
                    <c:v>8.0939156519576832E-5</c:v>
                  </c:pt>
                  <c:pt idx="7">
                    <c:v>6.2265086434621568E-4</c:v>
                  </c:pt>
                  <c:pt idx="8">
                    <c:v>1.6311631745841913E-2</c:v>
                  </c:pt>
                  <c:pt idx="9">
                    <c:v>1.2854763941296092E-3</c:v>
                  </c:pt>
                </c:numCache>
              </c:numRef>
            </c:plus>
            <c:minus>
              <c:numRef>
                <c:f>D!$C$3:$C$12</c:f>
                <c:numCache>
                  <c:formatCode>General</c:formatCode>
                  <c:ptCount val="10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1.8926686492565825E-4</c:v>
                  </c:pt>
                  <c:pt idx="5">
                    <c:v>1.8926686492565825E-4</c:v>
                  </c:pt>
                  <c:pt idx="6">
                    <c:v>8.0939156519576832E-5</c:v>
                  </c:pt>
                  <c:pt idx="7">
                    <c:v>6.2265086434621568E-4</c:v>
                  </c:pt>
                  <c:pt idx="8">
                    <c:v>1.6311631745841913E-2</c:v>
                  </c:pt>
                  <c:pt idx="9">
                    <c:v>1.2854763941296092E-3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D!$B$3:$B$12</c:f>
              <c:strCache>
                <c:ptCount val="10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Immature (FB)</c:v>
                </c:pt>
                <c:pt idx="6">
                  <c:v>Emerged (Gut)</c:v>
                </c:pt>
                <c:pt idx="7">
                  <c:v>Emerged (FB)</c:v>
                </c:pt>
                <c:pt idx="8">
                  <c:v>Fed (Gut)</c:v>
                </c:pt>
                <c:pt idx="9">
                  <c:v>Fed (FB)</c:v>
                </c:pt>
              </c:strCache>
            </c:strRef>
          </c:cat>
          <c:val>
            <c:numRef>
              <c:f>D!$D$3:$D$12</c:f>
              <c:numCache>
                <c:formatCode>General</c:formatCode>
                <c:ptCount val="10"/>
                <c:pt idx="0">
                  <c:v>-3.9841145629997601E-3</c:v>
                </c:pt>
                <c:pt idx="1">
                  <c:v>-3.7700575436207398E-3</c:v>
                </c:pt>
                <c:pt idx="2">
                  <c:v>-5.1712399952844202E-3</c:v>
                </c:pt>
                <c:pt idx="3">
                  <c:v>-7.0138962042819095E-2</c:v>
                </c:pt>
                <c:pt idx="4">
                  <c:v>-3.05000622648947E-3</c:v>
                </c:pt>
                <c:pt idx="5">
                  <c:v>-1.9794074256766499E-2</c:v>
                </c:pt>
                <c:pt idx="6">
                  <c:v>-1.3737238497244501E-4</c:v>
                </c:pt>
                <c:pt idx="7">
                  <c:v>-1.7353298095209E-3</c:v>
                </c:pt>
                <c:pt idx="8">
                  <c:v>-2.8071156693597499E-2</c:v>
                </c:pt>
                <c:pt idx="9">
                  <c:v>-4.7907159960923302E-3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3-4201-A964-57801FB5C647}"/>
            </c:ext>
          </c:extLst>
        </c:ser>
        <c:ser>
          <c:idx val="0"/>
          <c:order val="1"/>
          <c:tx>
            <c:strRef>
              <c:f>D!$E$2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D!$F$3:$F$12</c:f>
                <c:numCache>
                  <c:formatCode>General</c:formatCode>
                  <c:ptCount val="10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1.1489072923572323E-4</c:v>
                  </c:pt>
                  <c:pt idx="5">
                    <c:v>7.0775884533456847E-4</c:v>
                  </c:pt>
                  <c:pt idx="6">
                    <c:v>1.0945840141527443E-3</c:v>
                  </c:pt>
                  <c:pt idx="7">
                    <c:v>2.8769945518426214E-3</c:v>
                  </c:pt>
                  <c:pt idx="8">
                    <c:v>3.7035205905111231E-4</c:v>
                  </c:pt>
                  <c:pt idx="9">
                    <c:v>4.8012598106517943E-4</c:v>
                  </c:pt>
                </c:numCache>
              </c:numRef>
            </c:plus>
            <c:minus>
              <c:numRef>
                <c:f>D!$F$3:$F$12</c:f>
                <c:numCache>
                  <c:formatCode>General</c:formatCode>
                  <c:ptCount val="10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1.1489072923572323E-4</c:v>
                  </c:pt>
                  <c:pt idx="5">
                    <c:v>7.0775884533456847E-4</c:v>
                  </c:pt>
                  <c:pt idx="6">
                    <c:v>1.0945840141527443E-3</c:v>
                  </c:pt>
                  <c:pt idx="7">
                    <c:v>2.8769945518426214E-3</c:v>
                  </c:pt>
                  <c:pt idx="8">
                    <c:v>3.7035205905111231E-4</c:v>
                  </c:pt>
                  <c:pt idx="9">
                    <c:v>4.8012598106517943E-4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D!$B$3:$B$12</c:f>
              <c:strCache>
                <c:ptCount val="10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Immature (FB)</c:v>
                </c:pt>
                <c:pt idx="6">
                  <c:v>Emerged (Gut)</c:v>
                </c:pt>
                <c:pt idx="7">
                  <c:v>Emerged (FB)</c:v>
                </c:pt>
                <c:pt idx="8">
                  <c:v>Fed (Gut)</c:v>
                </c:pt>
                <c:pt idx="9">
                  <c:v>Fed (FB)</c:v>
                </c:pt>
              </c:strCache>
            </c:strRef>
          </c:cat>
          <c:val>
            <c:numRef>
              <c:f>D!$E$3:$E$12</c:f>
              <c:numCache>
                <c:formatCode>General</c:formatCode>
                <c:ptCount val="10"/>
                <c:pt idx="0">
                  <c:v>3.9841145629997557E-3</c:v>
                </c:pt>
                <c:pt idx="1">
                  <c:v>3.7700575436207355E-3</c:v>
                </c:pt>
                <c:pt idx="2">
                  <c:v>5.1712399952844202E-3</c:v>
                </c:pt>
                <c:pt idx="3">
                  <c:v>7.0138962042819053E-2</c:v>
                </c:pt>
                <c:pt idx="4">
                  <c:v>2.2728714996401757E-3</c:v>
                </c:pt>
                <c:pt idx="5">
                  <c:v>3.0500062264894748E-3</c:v>
                </c:pt>
                <c:pt idx="6">
                  <c:v>2.9917099189462732E-3</c:v>
                </c:pt>
                <c:pt idx="7">
                  <c:v>1.2193715691542078E-2</c:v>
                </c:pt>
                <c:pt idx="8">
                  <c:v>1.1270893683522055E-3</c:v>
                </c:pt>
                <c:pt idx="9">
                  <c:v>9.5854913050885306E-3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3-4201-A964-57801FB5C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Maker</a:t>
            </a:r>
            <a:r>
              <a:rPr lang="cs-CZ" baseline="0"/>
              <a:t> gut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9765395894428152E-2"/>
          <c:y val="0.17271401109687681"/>
          <c:w val="0.93293740042025541"/>
          <c:h val="0.7261029345828379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D!$D$2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D!$C$3:$C$12</c15:sqref>
                    </c15:fullRef>
                  </c:ext>
                </c:extLst>
                <c:f>(D!$C$3:$C$7,D!$C$9,D!$C$11)</c:f>
                <c:numCache>
                  <c:formatCode>General</c:formatCode>
                  <c:ptCount val="7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1.8926686492565825E-4</c:v>
                  </c:pt>
                  <c:pt idx="5">
                    <c:v>8.0939156519576832E-5</c:v>
                  </c:pt>
                  <c:pt idx="6">
                    <c:v>1.6311631745841913E-2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D!$C$3:$C$12</c15:sqref>
                    </c15:fullRef>
                  </c:ext>
                </c:extLst>
                <c:f>(D!$C$3:$C$7,D!$C$9,D!$C$11)</c:f>
                <c:numCache>
                  <c:formatCode>General</c:formatCode>
                  <c:ptCount val="7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1.8926686492565825E-4</c:v>
                  </c:pt>
                  <c:pt idx="5">
                    <c:v>8.0939156519576832E-5</c:v>
                  </c:pt>
                  <c:pt idx="6">
                    <c:v>1.6311631745841913E-2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D!$B$3:$B$12</c15:sqref>
                  </c15:fullRef>
                </c:ext>
              </c:extLst>
              <c:f>(D!$B$3:$B$7,D!$B$9,D!$B$11)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Emerged (Gut)</c:v>
                </c:pt>
                <c:pt idx="6">
                  <c:v>Fed (Gut)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D!$D$3:$D$12</c15:sqref>
                  </c15:fullRef>
                </c:ext>
              </c:extLst>
              <c:f>(D!$D$3:$D$7,D!$D$9,D!$D$11)</c:f>
              <c:numCache>
                <c:formatCode>General</c:formatCode>
                <c:ptCount val="7"/>
                <c:pt idx="0">
                  <c:v>-3.9841145629997601E-3</c:v>
                </c:pt>
                <c:pt idx="1">
                  <c:v>-3.7700575436207398E-3</c:v>
                </c:pt>
                <c:pt idx="2">
                  <c:v>-5.1712399952844202E-3</c:v>
                </c:pt>
                <c:pt idx="3">
                  <c:v>-7.0138962042819095E-2</c:v>
                </c:pt>
                <c:pt idx="4">
                  <c:v>-3.05000622648947E-3</c:v>
                </c:pt>
                <c:pt idx="5">
                  <c:v>-1.3737238497244501E-4</c:v>
                </c:pt>
                <c:pt idx="6">
                  <c:v>-2.8071156693597499E-2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E-4A0D-9165-D55ADAF90DE0}"/>
            </c:ext>
          </c:extLst>
        </c:ser>
        <c:ser>
          <c:idx val="0"/>
          <c:order val="1"/>
          <c:tx>
            <c:strRef>
              <c:f>D!$E$2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D!$F$3:$F$12</c15:sqref>
                    </c15:fullRef>
                  </c:ext>
                </c:extLst>
                <c:f>(D!$F$3:$F$7,D!$F$9,D!$F$11)</c:f>
                <c:numCache>
                  <c:formatCode>General</c:formatCode>
                  <c:ptCount val="7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1.1489072923572323E-4</c:v>
                  </c:pt>
                  <c:pt idx="5">
                    <c:v>1.0945840141527443E-3</c:v>
                  </c:pt>
                  <c:pt idx="6">
                    <c:v>3.7035205905111231E-4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D!$F$3:$F$12</c15:sqref>
                    </c15:fullRef>
                  </c:ext>
                </c:extLst>
                <c:f>(D!$F$3:$F$7,D!$F$9,D!$F$11)</c:f>
                <c:numCache>
                  <c:formatCode>General</c:formatCode>
                  <c:ptCount val="7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1.1489072923572323E-4</c:v>
                  </c:pt>
                  <c:pt idx="5">
                    <c:v>1.0945840141527443E-3</c:v>
                  </c:pt>
                  <c:pt idx="6">
                    <c:v>3.7035205905111231E-4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D!$B$3:$B$12</c15:sqref>
                  </c15:fullRef>
                </c:ext>
              </c:extLst>
              <c:f>(D!$B$3:$B$7,D!$B$9,D!$B$11)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Emerged (Gut)</c:v>
                </c:pt>
                <c:pt idx="6">
                  <c:v>Fed (Gut)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D!$E$3:$E$12</c15:sqref>
                  </c15:fullRef>
                </c:ext>
              </c:extLst>
              <c:f>(D!$E$3:$E$7,D!$E$9,D!$E$11)</c:f>
              <c:numCache>
                <c:formatCode>General</c:formatCode>
                <c:ptCount val="7"/>
                <c:pt idx="0">
                  <c:v>3.9841145629997557E-3</c:v>
                </c:pt>
                <c:pt idx="1">
                  <c:v>3.7700575436207355E-3</c:v>
                </c:pt>
                <c:pt idx="2">
                  <c:v>5.1712399952844202E-3</c:v>
                </c:pt>
                <c:pt idx="3">
                  <c:v>7.0138962042819053E-2</c:v>
                </c:pt>
                <c:pt idx="4">
                  <c:v>2.2728714996401757E-3</c:v>
                </c:pt>
                <c:pt idx="5">
                  <c:v>2.9917099189462732E-3</c:v>
                </c:pt>
                <c:pt idx="6">
                  <c:v>1.1270893683522055E-3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E-4A0D-9165-D55ADAF90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Maker FB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9765395894428152E-2"/>
          <c:y val="0.17271401109687681"/>
          <c:w val="0.93293740042025541"/>
          <c:h val="0.7261029345828379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D!$D$2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D!$C$3:$C$12</c15:sqref>
                    </c15:fullRef>
                  </c:ext>
                </c:extLst>
                <c:f>(D!$C$3:$C$6,D!$C$8,D!$C$10,D!$C$12)</c:f>
                <c:numCache>
                  <c:formatCode>General</c:formatCode>
                  <c:ptCount val="7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1.8926686492565825E-4</c:v>
                  </c:pt>
                  <c:pt idx="5">
                    <c:v>6.2265086434621568E-4</c:v>
                  </c:pt>
                  <c:pt idx="6">
                    <c:v>1.2854763941296092E-3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D!$C$3:$C$12</c15:sqref>
                    </c15:fullRef>
                  </c:ext>
                </c:extLst>
                <c:f>(D!$C$3:$C$6,D!$C$8,D!$C$10,D!$C$12)</c:f>
                <c:numCache>
                  <c:formatCode>General</c:formatCode>
                  <c:ptCount val="7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1.8926686492565825E-4</c:v>
                  </c:pt>
                  <c:pt idx="5">
                    <c:v>6.2265086434621568E-4</c:v>
                  </c:pt>
                  <c:pt idx="6">
                    <c:v>1.2854763941296092E-3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D!$B$3:$B$12</c15:sqref>
                  </c15:fullRef>
                </c:ext>
              </c:extLst>
              <c:f>(D!$B$3:$B$6,D!$B$8,D!$B$10,D!$B$12)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(FB)</c:v>
                </c:pt>
                <c:pt idx="5">
                  <c:v>Emerged (FB)</c:v>
                </c:pt>
                <c:pt idx="6">
                  <c:v>Fed (FB)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D!$D$3:$D$12</c15:sqref>
                  </c15:fullRef>
                </c:ext>
              </c:extLst>
              <c:f>(D!$D$3:$D$6,D!$D$8,D!$D$10,D!$D$12)</c:f>
              <c:numCache>
                <c:formatCode>General</c:formatCode>
                <c:ptCount val="7"/>
                <c:pt idx="0">
                  <c:v>-3.9841145629997601E-3</c:v>
                </c:pt>
                <c:pt idx="1">
                  <c:v>-3.7700575436207398E-3</c:v>
                </c:pt>
                <c:pt idx="2">
                  <c:v>-5.1712399952844202E-3</c:v>
                </c:pt>
                <c:pt idx="3">
                  <c:v>-7.0138962042819095E-2</c:v>
                </c:pt>
                <c:pt idx="4">
                  <c:v>-1.9794074256766499E-2</c:v>
                </c:pt>
                <c:pt idx="5">
                  <c:v>-1.7353298095209E-3</c:v>
                </c:pt>
                <c:pt idx="6">
                  <c:v>-4.7907159960923302E-3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9-44F7-A006-ECEB78AF8A59}"/>
            </c:ext>
          </c:extLst>
        </c:ser>
        <c:ser>
          <c:idx val="0"/>
          <c:order val="1"/>
          <c:tx>
            <c:strRef>
              <c:f>D!$E$2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D!$F$3:$F$12</c15:sqref>
                    </c15:fullRef>
                  </c:ext>
                </c:extLst>
                <c:f>(D!$F$3:$F$6,D!$F$8,D!$F$10,D!$F$12)</c:f>
                <c:numCache>
                  <c:formatCode>General</c:formatCode>
                  <c:ptCount val="7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7.0775884533456847E-4</c:v>
                  </c:pt>
                  <c:pt idx="5">
                    <c:v>2.8769945518426214E-3</c:v>
                  </c:pt>
                  <c:pt idx="6">
                    <c:v>4.8012598106517943E-4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D!$F$3:$F$12</c15:sqref>
                    </c15:fullRef>
                  </c:ext>
                </c:extLst>
                <c:f>(D!$F$3:$F$6,D!$F$8,D!$F$10,D!$F$12)</c:f>
                <c:numCache>
                  <c:formatCode>General</c:formatCode>
                  <c:ptCount val="7"/>
                  <c:pt idx="0">
                    <c:v>5.7066539629600267E-4</c:v>
                  </c:pt>
                  <c:pt idx="1">
                    <c:v>2.3111383935737907E-3</c:v>
                  </c:pt>
                  <c:pt idx="2">
                    <c:v>1.0289354244090974E-3</c:v>
                  </c:pt>
                  <c:pt idx="3">
                    <c:v>3.6023995185792634E-2</c:v>
                  </c:pt>
                  <c:pt idx="4">
                    <c:v>7.0775884533456847E-4</c:v>
                  </c:pt>
                  <c:pt idx="5">
                    <c:v>2.8769945518426214E-3</c:v>
                  </c:pt>
                  <c:pt idx="6">
                    <c:v>4.8012598106517943E-4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D!$B$3:$B$12</c15:sqref>
                  </c15:fullRef>
                </c:ext>
              </c:extLst>
              <c:f>(D!$B$3:$B$6,D!$B$8,D!$B$10,D!$B$12)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(FB)</c:v>
                </c:pt>
                <c:pt idx="5">
                  <c:v>Emerged (FB)</c:v>
                </c:pt>
                <c:pt idx="6">
                  <c:v>Fed (FB)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D!$E$3:$E$12</c15:sqref>
                  </c15:fullRef>
                </c:ext>
              </c:extLst>
              <c:f>(D!$E$3:$E$6,D!$E$8,D!$E$10,D!$E$12)</c:f>
              <c:numCache>
                <c:formatCode>General</c:formatCode>
                <c:ptCount val="7"/>
                <c:pt idx="0">
                  <c:v>3.9841145629997557E-3</c:v>
                </c:pt>
                <c:pt idx="1">
                  <c:v>3.7700575436207355E-3</c:v>
                </c:pt>
                <c:pt idx="2">
                  <c:v>5.1712399952844202E-3</c:v>
                </c:pt>
                <c:pt idx="3">
                  <c:v>7.0138962042819053E-2</c:v>
                </c:pt>
                <c:pt idx="4">
                  <c:v>3.0500062264894748E-3</c:v>
                </c:pt>
                <c:pt idx="5">
                  <c:v>1.2193715691542078E-2</c:v>
                </c:pt>
                <c:pt idx="6">
                  <c:v>9.5854913050885306E-3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9-44F7-A006-ECEB78AF8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baseline="0">
                <a:solidFill>
                  <a:schemeClr val="tx1"/>
                </a:solidFill>
              </a:rPr>
              <a:t>Average 2^(-</a:t>
            </a:r>
            <a:r>
              <a:rPr lang="el-GR" baseline="0">
                <a:solidFill>
                  <a:schemeClr val="tx1"/>
                </a:solidFill>
              </a:rPr>
              <a:t>Δ</a:t>
            </a:r>
            <a:r>
              <a:rPr lang="cs-CZ" baseline="0">
                <a:solidFill>
                  <a:schemeClr val="tx1"/>
                </a:solidFill>
              </a:rPr>
              <a:t>ct) for guts</a:t>
            </a:r>
          </a:p>
        </c:rich>
      </c:tx>
      <c:layout>
        <c:manualLayout>
          <c:xMode val="edge"/>
          <c:yMode val="edge"/>
          <c:x val="0.25770011517737756"/>
          <c:y val="2.4491810992644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D!$H$15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D!$C$16:$C$22</c:f>
                <c:numCache>
                  <c:formatCode>General</c:formatCode>
                  <c:ptCount val="7"/>
                  <c:pt idx="0">
                    <c:v>1.6311631745841913E-2</c:v>
                  </c:pt>
                  <c:pt idx="1">
                    <c:v>8.0939156519576832E-5</c:v>
                  </c:pt>
                  <c:pt idx="2">
                    <c:v>1.8926686492565825E-4</c:v>
                  </c:pt>
                  <c:pt idx="3">
                    <c:v>3.6023995185792634E-2</c:v>
                  </c:pt>
                  <c:pt idx="4">
                    <c:v>1.0289354244090974E-3</c:v>
                  </c:pt>
                  <c:pt idx="5">
                    <c:v>2.3111383935737907E-3</c:v>
                  </c:pt>
                  <c:pt idx="6">
                    <c:v>5.7066539629600267E-4</c:v>
                  </c:pt>
                </c:numCache>
              </c:numRef>
            </c:plus>
            <c:minus>
              <c:numRef>
                <c:f>D!$C$16:$C$22</c:f>
                <c:numCache>
                  <c:formatCode>General</c:formatCode>
                  <c:ptCount val="7"/>
                  <c:pt idx="0">
                    <c:v>1.6311631745841913E-2</c:v>
                  </c:pt>
                  <c:pt idx="1">
                    <c:v>8.0939156519576832E-5</c:v>
                  </c:pt>
                  <c:pt idx="2">
                    <c:v>1.8926686492565825E-4</c:v>
                  </c:pt>
                  <c:pt idx="3">
                    <c:v>3.6023995185792634E-2</c:v>
                  </c:pt>
                  <c:pt idx="4">
                    <c:v>1.0289354244090974E-3</c:v>
                  </c:pt>
                  <c:pt idx="5">
                    <c:v>2.3111383935737907E-3</c:v>
                  </c:pt>
                  <c:pt idx="6">
                    <c:v>5.7066539629600267E-4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D!$H$16:$H$22</c:f>
              <c:numCache>
                <c:formatCode>General</c:formatCode>
                <c:ptCount val="7"/>
                <c:pt idx="0">
                  <c:v>2.8071156693597499E-2</c:v>
                </c:pt>
                <c:pt idx="1">
                  <c:v>1.9389186044853837E-4</c:v>
                </c:pt>
                <c:pt idx="2">
                  <c:v>3.5000863663858702E-4</c:v>
                </c:pt>
                <c:pt idx="3">
                  <c:v>7.0138962042819053E-2</c:v>
                </c:pt>
                <c:pt idx="4">
                  <c:v>5.1712399952844202E-3</c:v>
                </c:pt>
                <c:pt idx="5">
                  <c:v>3.7700575436207355E-3</c:v>
                </c:pt>
                <c:pt idx="6">
                  <c:v>3.9841145629997557E-3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F-4315-8D12-457774F1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tx>
            <c:v>data points fed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D!$I$3:$I$6</c:f>
              <c:numCache>
                <c:formatCode>General</c:formatCode>
                <c:ptCount val="4"/>
                <c:pt idx="0">
                  <c:v>7.388134744748924E-2</c:v>
                </c:pt>
                <c:pt idx="1">
                  <c:v>1.1695830608405811E-3</c:v>
                </c:pt>
                <c:pt idx="2">
                  <c:v>8.8241002806633637E-3</c:v>
                </c:pt>
                <c:pt idx="3">
                  <c:v>2.8409595985396784E-2</c:v>
                </c:pt>
              </c:numCache>
            </c:numRef>
          </c:xVal>
          <c:yVal>
            <c:numRef>
              <c:f>D!$H$3:$H$6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F-4315-8D12-457774F1A80B}"/>
            </c:ext>
          </c:extLst>
        </c:ser>
        <c:ser>
          <c:idx val="2"/>
          <c:order val="2"/>
          <c:tx>
            <c:v>data L1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D!$U$3:$U$6</c:f>
              <c:numCache>
                <c:formatCode>General</c:formatCode>
                <c:ptCount val="4"/>
                <c:pt idx="0">
                  <c:v>4.8912438763216446E-3</c:v>
                </c:pt>
                <c:pt idx="1">
                  <c:v>4.9283859756935108E-3</c:v>
                </c:pt>
                <c:pt idx="2">
                  <c:v>3.5480740402340956E-3</c:v>
                </c:pt>
                <c:pt idx="3">
                  <c:v>2.5687543597497724E-3</c:v>
                </c:pt>
              </c:numCache>
            </c:numRef>
          </c:xVal>
          <c:yVal>
            <c:numRef>
              <c:f>D!$T$3:$T$6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DF-4315-8D12-457774F1A80B}"/>
            </c:ext>
          </c:extLst>
        </c:ser>
        <c:ser>
          <c:idx val="3"/>
          <c:order val="3"/>
          <c:tx>
            <c:v>data L2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D!$S$3:$S$6</c:f>
              <c:numCache>
                <c:formatCode>General</c:formatCode>
                <c:ptCount val="4"/>
                <c:pt idx="0">
                  <c:v>2.4412350674778921E-3</c:v>
                </c:pt>
                <c:pt idx="1">
                  <c:v>5.8299443378106921E-4</c:v>
                </c:pt>
                <c:pt idx="2">
                  <c:v>1.060929798787656E-2</c:v>
                </c:pt>
                <c:pt idx="3">
                  <c:v>1.4467026853474201E-3</c:v>
                </c:pt>
              </c:numCache>
            </c:numRef>
          </c:xVal>
          <c:yVal>
            <c:numRef>
              <c:f>D!$R$3:$R$6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DF-4315-8D12-457774F1A80B}"/>
            </c:ext>
          </c:extLst>
        </c:ser>
        <c:ser>
          <c:idx val="4"/>
          <c:order val="4"/>
          <c:tx>
            <c:v>data L3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D!$Q$3:$Q$6</c:f>
              <c:numCache>
                <c:formatCode>General</c:formatCode>
                <c:ptCount val="4"/>
                <c:pt idx="0">
                  <c:v>7.9032232408214522E-3</c:v>
                </c:pt>
                <c:pt idx="1">
                  <c:v>3.9018937203849475E-3</c:v>
                </c:pt>
                <c:pt idx="2">
                  <c:v>5.5712639465897214E-3</c:v>
                </c:pt>
                <c:pt idx="3">
                  <c:v>3.308579073341561E-3</c:v>
                </c:pt>
              </c:numCache>
            </c:numRef>
          </c:xVal>
          <c:yVal>
            <c:numRef>
              <c:f>D!$P$3:$P$6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7DF-4315-8D12-457774F1A80B}"/>
            </c:ext>
          </c:extLst>
        </c:ser>
        <c:ser>
          <c:idx val="5"/>
          <c:order val="5"/>
          <c:tx>
            <c:v>data Pupa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D!$O$3:$O$6</c:f>
              <c:numCache>
                <c:formatCode>General</c:formatCode>
                <c:ptCount val="4"/>
                <c:pt idx="0">
                  <c:v>4.6236072321487694E-2</c:v>
                </c:pt>
                <c:pt idx="1">
                  <c:v>0.17475297249865721</c:v>
                </c:pt>
                <c:pt idx="2">
                  <c:v>9.7814402222765936E-3</c:v>
                </c:pt>
                <c:pt idx="3">
                  <c:v>4.9785363128854718E-2</c:v>
                </c:pt>
              </c:numCache>
            </c:numRef>
          </c:xVal>
          <c:yVal>
            <c:numRef>
              <c:f>D!$N$3:$N$6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7DF-4315-8D12-457774F1A80B}"/>
            </c:ext>
          </c:extLst>
        </c:ser>
        <c:ser>
          <c:idx val="6"/>
          <c:order val="6"/>
          <c:tx>
            <c:v>data Immature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D!$M$3:$M$6</c:f>
              <c:numCache>
                <c:formatCode>General</c:formatCode>
                <c:ptCount val="4"/>
                <c:pt idx="0">
                  <c:v>1.8078070436484909E-4</c:v>
                </c:pt>
                <c:pt idx="1">
                  <c:v>1.2513907862249826E-4</c:v>
                </c:pt>
                <c:pt idx="2">
                  <c:v>1.7759660795555902E-4</c:v>
                </c:pt>
                <c:pt idx="3">
                  <c:v>9.1651815561144166E-4</c:v>
                </c:pt>
              </c:numCache>
            </c:numRef>
          </c:xVal>
          <c:yVal>
            <c:numRef>
              <c:f>D!$L$3:$L$6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7DF-4315-8D12-457774F1A80B}"/>
            </c:ext>
          </c:extLst>
        </c:ser>
        <c:ser>
          <c:idx val="7"/>
          <c:order val="7"/>
          <c:tx>
            <c:v>data Emmerged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D!$K$3:$K$6</c:f>
              <c:numCache>
                <c:formatCode>General</c:formatCode>
                <c:ptCount val="4"/>
                <c:pt idx="0">
                  <c:v>1.3737238497244514E-4</c:v>
                </c:pt>
                <c:pt idx="1">
                  <c:v>9.2604231213698195E-6</c:v>
                </c:pt>
                <c:pt idx="2">
                  <c:v>3.927414012162435E-4</c:v>
                </c:pt>
                <c:pt idx="3">
                  <c:v>2.3619323248409501E-4</c:v>
                </c:pt>
              </c:numCache>
            </c:numRef>
          </c:xVal>
          <c:yVal>
            <c:numRef>
              <c:f>D!$J$3:$J$6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7DF-4315-8D12-457774F1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2576895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74296402416809959"/>
          <c:y val="0.13526194297059854"/>
          <c:w val="0.11961262070737962"/>
          <c:h val="0.15460503901333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baseline="0">
                <a:solidFill>
                  <a:schemeClr val="tx1"/>
                </a:solidFill>
              </a:rPr>
              <a:t>Average 2^(-</a:t>
            </a:r>
            <a:r>
              <a:rPr lang="el-GR" baseline="0">
                <a:solidFill>
                  <a:schemeClr val="tx1"/>
                </a:solidFill>
              </a:rPr>
              <a:t>Δ</a:t>
            </a:r>
            <a:r>
              <a:rPr lang="cs-CZ" baseline="0">
                <a:solidFill>
                  <a:schemeClr val="tx1"/>
                </a:solidFill>
              </a:rPr>
              <a:t>ct) for fatbody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4297933602845542"/>
          <c:y val="4.4882020044303729E-2"/>
          <c:w val="0.80623774608278642"/>
          <c:h val="0.80743683234101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D!$H$24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D!$C$25:$C$31</c:f>
                <c:numCache>
                  <c:formatCode>General</c:formatCode>
                  <c:ptCount val="7"/>
                  <c:pt idx="0">
                    <c:v>1.2854763941296092E-3</c:v>
                  </c:pt>
                  <c:pt idx="1">
                    <c:v>6.2265086434621568E-4</c:v>
                  </c:pt>
                  <c:pt idx="2">
                    <c:v>1.8926686492565825E-4</c:v>
                  </c:pt>
                  <c:pt idx="3">
                    <c:v>3.6023995185792634E-2</c:v>
                  </c:pt>
                  <c:pt idx="4">
                    <c:v>1.0289354244090974E-3</c:v>
                  </c:pt>
                  <c:pt idx="5">
                    <c:v>2.3111383935737907E-3</c:v>
                  </c:pt>
                  <c:pt idx="6">
                    <c:v>5.7066539629600267E-4</c:v>
                  </c:pt>
                </c:numCache>
              </c:numRef>
            </c:plus>
            <c:minus>
              <c:numRef>
                <c:f>D!$C$25:$C$31</c:f>
                <c:numCache>
                  <c:formatCode>General</c:formatCode>
                  <c:ptCount val="7"/>
                  <c:pt idx="0">
                    <c:v>1.2854763941296092E-3</c:v>
                  </c:pt>
                  <c:pt idx="1">
                    <c:v>6.2265086434621568E-4</c:v>
                  </c:pt>
                  <c:pt idx="2">
                    <c:v>1.8926686492565825E-4</c:v>
                  </c:pt>
                  <c:pt idx="3">
                    <c:v>3.6023995185792634E-2</c:v>
                  </c:pt>
                  <c:pt idx="4">
                    <c:v>1.0289354244090974E-3</c:v>
                  </c:pt>
                  <c:pt idx="5">
                    <c:v>2.3111383935737907E-3</c:v>
                  </c:pt>
                  <c:pt idx="6">
                    <c:v>5.7066539629600267E-4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D!$B$25:$B$31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D!$H$25:$H$31</c:f>
              <c:numCache>
                <c:formatCode>General</c:formatCode>
                <c:ptCount val="7"/>
                <c:pt idx="0">
                  <c:v>4.7907159960923302E-3</c:v>
                </c:pt>
                <c:pt idx="1">
                  <c:v>1.7353298095209E-3</c:v>
                </c:pt>
                <c:pt idx="2">
                  <c:v>1.9794074256766499E-2</c:v>
                </c:pt>
                <c:pt idx="3">
                  <c:v>7.0138962042819053E-2</c:v>
                </c:pt>
                <c:pt idx="4">
                  <c:v>5.1712399952844202E-3</c:v>
                </c:pt>
                <c:pt idx="5">
                  <c:v>3.7700575436207355E-3</c:v>
                </c:pt>
                <c:pt idx="6">
                  <c:v>3.9841145629997557E-3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8-458E-9F95-8A05002D5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D!$I$9:$I$12</c:f>
              <c:numCache>
                <c:formatCode>General</c:formatCode>
                <c:ptCount val="4"/>
                <c:pt idx="0">
                  <c:v>3.4921176290475513E-3</c:v>
                </c:pt>
                <c:pt idx="1">
                  <c:v>8.5002291710807466E-3</c:v>
                </c:pt>
                <c:pt idx="2">
                  <c:v>4.4444133798301104E-3</c:v>
                </c:pt>
                <c:pt idx="3">
                  <c:v>2.7261038044109312E-3</c:v>
                </c:pt>
              </c:numCache>
            </c:numRef>
          </c:xVal>
          <c:yVal>
            <c:numRef>
              <c:f>D!$H$9:$H$12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78-458E-9F95-8A05002D53E7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D!$U$9:$U$12</c:f>
              <c:numCache>
                <c:formatCode>General</c:formatCode>
                <c:ptCount val="4"/>
                <c:pt idx="0">
                  <c:v>4.8912438763216446E-3</c:v>
                </c:pt>
                <c:pt idx="1">
                  <c:v>4.9283859756935108E-3</c:v>
                </c:pt>
                <c:pt idx="2">
                  <c:v>3.5480740402340956E-3</c:v>
                </c:pt>
                <c:pt idx="3">
                  <c:v>2.5687543597497724E-3</c:v>
                </c:pt>
              </c:numCache>
            </c:numRef>
          </c:xVal>
          <c:yVal>
            <c:numRef>
              <c:f>D!$T$9:$T$12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78-458E-9F95-8A05002D53E7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D!$S$9:$S$12</c:f>
              <c:numCache>
                <c:formatCode>General</c:formatCode>
                <c:ptCount val="4"/>
                <c:pt idx="0">
                  <c:v>2.4412350674778921E-3</c:v>
                </c:pt>
                <c:pt idx="1">
                  <c:v>5.8299443378106921E-4</c:v>
                </c:pt>
                <c:pt idx="2">
                  <c:v>1.060929798787656E-2</c:v>
                </c:pt>
                <c:pt idx="3">
                  <c:v>1.4467026853474201E-3</c:v>
                </c:pt>
              </c:numCache>
            </c:numRef>
          </c:xVal>
          <c:yVal>
            <c:numRef>
              <c:f>D!$R$9:$R$12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778-458E-9F95-8A05002D53E7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D!$Q$9:$Q$12</c:f>
              <c:numCache>
                <c:formatCode>General</c:formatCode>
                <c:ptCount val="4"/>
                <c:pt idx="0">
                  <c:v>7.9032232408214522E-3</c:v>
                </c:pt>
                <c:pt idx="1">
                  <c:v>3.9018937203849475E-3</c:v>
                </c:pt>
                <c:pt idx="2">
                  <c:v>5.5712639465897214E-3</c:v>
                </c:pt>
                <c:pt idx="3">
                  <c:v>3.308579073341561E-3</c:v>
                </c:pt>
              </c:numCache>
            </c:numRef>
          </c:xVal>
          <c:yVal>
            <c:numRef>
              <c:f>D!$P$9:$P$12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778-458E-9F95-8A05002D53E7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D!$O$9:$O$12</c:f>
              <c:numCache>
                <c:formatCode>General</c:formatCode>
                <c:ptCount val="4"/>
                <c:pt idx="0">
                  <c:v>4.6236072321487694E-2</c:v>
                </c:pt>
                <c:pt idx="1">
                  <c:v>0.17475297249865721</c:v>
                </c:pt>
                <c:pt idx="2">
                  <c:v>9.7814402222765936E-3</c:v>
                </c:pt>
                <c:pt idx="3">
                  <c:v>4.9785363128854718E-2</c:v>
                </c:pt>
              </c:numCache>
            </c:numRef>
          </c:xVal>
          <c:yVal>
            <c:numRef>
              <c:f>D!$N$9:$N$12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778-458E-9F95-8A05002D53E7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D!$M$9:$M$12</c:f>
              <c:numCache>
                <c:formatCode>General</c:formatCode>
                <c:ptCount val="4"/>
                <c:pt idx="0">
                  <c:v>3.0035647910138102E-2</c:v>
                </c:pt>
                <c:pt idx="1">
                  <c:v>1.8963002317838845E-2</c:v>
                </c:pt>
                <c:pt idx="2">
                  <c:v>8.9191506965343257E-3</c:v>
                </c:pt>
                <c:pt idx="3">
                  <c:v>2.1258496102554619E-2</c:v>
                </c:pt>
              </c:numCache>
            </c:numRef>
          </c:xVal>
          <c:yVal>
            <c:numRef>
              <c:f>D!$L$9:$L$12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778-458E-9F95-8A05002D53E7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D!$K$9:$K$12</c:f>
              <c:numCache>
                <c:formatCode>General</c:formatCode>
                <c:ptCount val="4"/>
                <c:pt idx="0">
                  <c:v>3.4299532607490369E-3</c:v>
                </c:pt>
                <c:pt idx="1">
                  <c:v>1.5288754038329422E-3</c:v>
                </c:pt>
                <c:pt idx="2">
                  <c:v>1.5527760380551012E-3</c:v>
                </c:pt>
                <c:pt idx="3">
                  <c:v>4.2971453544650494E-4</c:v>
                </c:pt>
              </c:numCache>
            </c:numRef>
          </c:xVal>
          <c:yVal>
            <c:numRef>
              <c:f>D!$J$9:$J$12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778-458E-9F95-8A05002D5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2576895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74296402416809959"/>
          <c:y val="0.13526194297059854"/>
          <c:w val="0.11961262070737962"/>
          <c:h val="6.8883700539076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69776474517242E-2"/>
          <c:y val="9.3865669166417032E-2"/>
          <c:w val="0.92575557365877958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D!$H$33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D!$C$34:$C$40</c:f>
                <c:numCache>
                  <c:formatCode>General</c:formatCode>
                  <c:ptCount val="7"/>
                  <c:pt idx="0">
                    <c:v>3.7035205905111231E-4</c:v>
                  </c:pt>
                  <c:pt idx="1">
                    <c:v>1.0945840141527443E-3</c:v>
                  </c:pt>
                  <c:pt idx="2">
                    <c:v>1.1489072923572323E-4</c:v>
                  </c:pt>
                  <c:pt idx="3">
                    <c:v>3.6023995185792634E-2</c:v>
                  </c:pt>
                  <c:pt idx="4">
                    <c:v>1.0289354244090974E-3</c:v>
                  </c:pt>
                  <c:pt idx="5">
                    <c:v>2.3111383935737907E-3</c:v>
                  </c:pt>
                  <c:pt idx="6">
                    <c:v>5.7066539629600267E-4</c:v>
                  </c:pt>
                </c:numCache>
              </c:numRef>
            </c:plus>
            <c:minus>
              <c:numRef>
                <c:f>D!$C$34:$C$40</c:f>
                <c:numCache>
                  <c:formatCode>General</c:formatCode>
                  <c:ptCount val="7"/>
                  <c:pt idx="0">
                    <c:v>3.7035205905111231E-4</c:v>
                  </c:pt>
                  <c:pt idx="1">
                    <c:v>1.0945840141527443E-3</c:v>
                  </c:pt>
                  <c:pt idx="2">
                    <c:v>1.1489072923572323E-4</c:v>
                  </c:pt>
                  <c:pt idx="3">
                    <c:v>3.6023995185792634E-2</c:v>
                  </c:pt>
                  <c:pt idx="4">
                    <c:v>1.0289354244090974E-3</c:v>
                  </c:pt>
                  <c:pt idx="5">
                    <c:v>2.3111383935737907E-3</c:v>
                  </c:pt>
                  <c:pt idx="6">
                    <c:v>5.7066539629600267E-4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D!$B$34:$B$40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D!$H$34:$H$40</c:f>
              <c:numCache>
                <c:formatCode>General</c:formatCode>
                <c:ptCount val="7"/>
                <c:pt idx="0">
                  <c:v>1.1270893683522055E-3</c:v>
                </c:pt>
                <c:pt idx="1">
                  <c:v>2.9917099189462732E-3</c:v>
                </c:pt>
                <c:pt idx="2">
                  <c:v>2.2728714996401757E-3</c:v>
                </c:pt>
                <c:pt idx="3">
                  <c:v>7.0138962042819053E-2</c:v>
                </c:pt>
                <c:pt idx="4">
                  <c:v>5.1712399952844202E-3</c:v>
                </c:pt>
                <c:pt idx="5">
                  <c:v>3.7700575436207355E-3</c:v>
                </c:pt>
                <c:pt idx="6">
                  <c:v>3.9841145629997557E-3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4-4FF8-8B5F-4CF0308A0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D!$I$54:$I$57</c:f>
              <c:numCache>
                <c:formatCode>General</c:formatCode>
                <c:ptCount val="4"/>
                <c:pt idx="0">
                  <c:v>3.6528600117148049E-4</c:v>
                </c:pt>
                <c:pt idx="1">
                  <c:v>1.1306638001503332E-3</c:v>
                </c:pt>
                <c:pt idx="2">
                  <c:v>8.8245907026005541E-4</c:v>
                </c:pt>
                <c:pt idx="3">
                  <c:v>2.1299486018269533E-3</c:v>
                </c:pt>
              </c:numCache>
            </c:numRef>
          </c:xVal>
          <c:yVal>
            <c:numRef>
              <c:f>D!$H$54:$H$57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54-4FF8-8B5F-4CF0308A004F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D!$U$54:$U$57</c:f>
              <c:numCache>
                <c:formatCode>General</c:formatCode>
                <c:ptCount val="4"/>
                <c:pt idx="0">
                  <c:v>4.8912438763216446E-3</c:v>
                </c:pt>
                <c:pt idx="1">
                  <c:v>4.9283859756935108E-3</c:v>
                </c:pt>
                <c:pt idx="2">
                  <c:v>3.5480740402340956E-3</c:v>
                </c:pt>
                <c:pt idx="3">
                  <c:v>2.5687543597497724E-3</c:v>
                </c:pt>
              </c:numCache>
            </c:numRef>
          </c:xVal>
          <c:yVal>
            <c:numRef>
              <c:f>D!$T$54:$T$57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54-4FF8-8B5F-4CF0308A004F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D!$S$54:$S$57</c:f>
              <c:numCache>
                <c:formatCode>General</c:formatCode>
                <c:ptCount val="4"/>
                <c:pt idx="0">
                  <c:v>2.4412350674778921E-3</c:v>
                </c:pt>
                <c:pt idx="1">
                  <c:v>5.8299443378106921E-4</c:v>
                </c:pt>
                <c:pt idx="2">
                  <c:v>1.060929798787656E-2</c:v>
                </c:pt>
                <c:pt idx="3">
                  <c:v>1.4467026853474201E-3</c:v>
                </c:pt>
              </c:numCache>
            </c:numRef>
          </c:xVal>
          <c:yVal>
            <c:numRef>
              <c:f>D!$R$54:$R$57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54-4FF8-8B5F-4CF0308A004F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D!$Q$54:$Q$57</c:f>
              <c:numCache>
                <c:formatCode>General</c:formatCode>
                <c:ptCount val="4"/>
                <c:pt idx="0">
                  <c:v>7.9032232408214522E-3</c:v>
                </c:pt>
                <c:pt idx="1">
                  <c:v>3.9018937203849475E-3</c:v>
                </c:pt>
                <c:pt idx="2">
                  <c:v>5.5712639465897214E-3</c:v>
                </c:pt>
                <c:pt idx="3">
                  <c:v>3.308579073341561E-3</c:v>
                </c:pt>
              </c:numCache>
            </c:numRef>
          </c:xVal>
          <c:yVal>
            <c:numRef>
              <c:f>D!$P$54:$P$57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954-4FF8-8B5F-4CF0308A004F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D!$O$54:$O$57</c:f>
              <c:numCache>
                <c:formatCode>General</c:formatCode>
                <c:ptCount val="4"/>
                <c:pt idx="0">
                  <c:v>4.6236072321487694E-2</c:v>
                </c:pt>
                <c:pt idx="1">
                  <c:v>0.17475297249865721</c:v>
                </c:pt>
                <c:pt idx="2">
                  <c:v>9.7814402222765936E-3</c:v>
                </c:pt>
                <c:pt idx="3">
                  <c:v>4.9785363128854718E-2</c:v>
                </c:pt>
              </c:numCache>
            </c:numRef>
          </c:xVal>
          <c:yVal>
            <c:numRef>
              <c:f>D!$N$54:$N$57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954-4FF8-8B5F-4CF0308A004F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D!$M$54:$M$57</c:f>
              <c:numCache>
                <c:formatCode>General</c:formatCode>
                <c:ptCount val="4"/>
                <c:pt idx="0">
                  <c:v>2.254119131265719E-3</c:v>
                </c:pt>
                <c:pt idx="1">
                  <c:v>1.9554063914330251E-3</c:v>
                </c:pt>
                <c:pt idx="2">
                  <c:v>2.4602378850317338E-3</c:v>
                </c:pt>
                <c:pt idx="3">
                  <c:v>2.4217225908302244E-3</c:v>
                </c:pt>
              </c:numCache>
            </c:numRef>
          </c:xVal>
          <c:yVal>
            <c:numRef>
              <c:f>D!$L$54:$L$57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954-4FF8-8B5F-4CF0308A004F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D!$K$54:$K$57</c:f>
              <c:numCache>
                <c:formatCode>General</c:formatCode>
                <c:ptCount val="4"/>
                <c:pt idx="0">
                  <c:v>4.9098252418320982E-3</c:v>
                </c:pt>
                <c:pt idx="2">
                  <c:v>2.9464179266982375E-3</c:v>
                </c:pt>
                <c:pt idx="3">
                  <c:v>1.1188865883084828E-3</c:v>
                </c:pt>
              </c:numCache>
            </c:numRef>
          </c:xVal>
          <c:yVal>
            <c:numRef>
              <c:f>D!$J$54:$J$57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954-4FF8-8B5F-4CF0308A0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axMin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axMin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69776474517242E-2"/>
          <c:y val="3.8647434513836371E-2"/>
          <c:w val="0.92575557365877958"/>
          <c:h val="0.78101557319900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D!$H$42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D!$C$43:$C$49</c:f>
                <c:numCache>
                  <c:formatCode>General</c:formatCode>
                  <c:ptCount val="7"/>
                  <c:pt idx="0">
                    <c:v>4.8012598106517943E-4</c:v>
                  </c:pt>
                  <c:pt idx="1">
                    <c:v>2.8769945518426214E-3</c:v>
                  </c:pt>
                  <c:pt idx="2">
                    <c:v>7.0775884533456847E-4</c:v>
                  </c:pt>
                  <c:pt idx="3">
                    <c:v>3.6023995185792634E-2</c:v>
                  </c:pt>
                  <c:pt idx="4">
                    <c:v>1.0289354244090974E-3</c:v>
                  </c:pt>
                  <c:pt idx="5">
                    <c:v>2.3111383935737907E-3</c:v>
                  </c:pt>
                  <c:pt idx="6">
                    <c:v>5.7066539629600267E-4</c:v>
                  </c:pt>
                </c:numCache>
              </c:numRef>
            </c:plus>
            <c:minus>
              <c:numRef>
                <c:f>D!$C$43:$C$49</c:f>
                <c:numCache>
                  <c:formatCode>General</c:formatCode>
                  <c:ptCount val="7"/>
                  <c:pt idx="0">
                    <c:v>4.8012598106517943E-4</c:v>
                  </c:pt>
                  <c:pt idx="1">
                    <c:v>2.8769945518426214E-3</c:v>
                  </c:pt>
                  <c:pt idx="2">
                    <c:v>7.0775884533456847E-4</c:v>
                  </c:pt>
                  <c:pt idx="3">
                    <c:v>3.6023995185792634E-2</c:v>
                  </c:pt>
                  <c:pt idx="4">
                    <c:v>1.0289354244090974E-3</c:v>
                  </c:pt>
                  <c:pt idx="5">
                    <c:v>2.3111383935737907E-3</c:v>
                  </c:pt>
                  <c:pt idx="6">
                    <c:v>5.7066539629600267E-4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D!$B$34:$B$40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D!$H$43:$H$49</c:f>
              <c:numCache>
                <c:formatCode>General</c:formatCode>
                <c:ptCount val="7"/>
                <c:pt idx="0">
                  <c:v>9.5854913050885306E-3</c:v>
                </c:pt>
                <c:pt idx="1">
                  <c:v>1.2193715691542078E-2</c:v>
                </c:pt>
                <c:pt idx="2">
                  <c:v>3.0500062264894748E-3</c:v>
                </c:pt>
                <c:pt idx="3">
                  <c:v>7.0138962042819053E-2</c:v>
                </c:pt>
                <c:pt idx="4">
                  <c:v>5.1712399952844202E-3</c:v>
                </c:pt>
                <c:pt idx="5">
                  <c:v>3.7700575436207355E-3</c:v>
                </c:pt>
                <c:pt idx="6">
                  <c:v>3.9841145629997557E-3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A-4693-9E82-D806C75B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D!$I$61:$I$64</c:f>
              <c:numCache>
                <c:formatCode>General</c:formatCode>
                <c:ptCount val="4"/>
                <c:pt idx="0">
                  <c:v>9.957349560434146E-3</c:v>
                </c:pt>
                <c:pt idx="1">
                  <c:v>1.0688885527031951E-2</c:v>
                </c:pt>
                <c:pt idx="2">
                  <c:v>9.2493057129691778E-3</c:v>
                </c:pt>
                <c:pt idx="3">
                  <c:v>8.4464244199188489E-3</c:v>
                </c:pt>
              </c:numCache>
            </c:numRef>
          </c:xVal>
          <c:yVal>
            <c:numRef>
              <c:f>D!$H$61:$H$64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4A-4693-9E82-D806C75BB7B7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D!$U$61:$U$64</c:f>
              <c:numCache>
                <c:formatCode>General</c:formatCode>
                <c:ptCount val="4"/>
                <c:pt idx="0">
                  <c:v>4.8912438763216446E-3</c:v>
                </c:pt>
                <c:pt idx="1">
                  <c:v>4.9283859756935108E-3</c:v>
                </c:pt>
                <c:pt idx="2">
                  <c:v>3.5480740402340956E-3</c:v>
                </c:pt>
                <c:pt idx="3">
                  <c:v>2.5687543597497724E-3</c:v>
                </c:pt>
              </c:numCache>
            </c:numRef>
          </c:xVal>
          <c:yVal>
            <c:numRef>
              <c:f>D!$T$61:$T$64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4A-4693-9E82-D806C75BB7B7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D!$S$61:$S$64</c:f>
              <c:numCache>
                <c:formatCode>General</c:formatCode>
                <c:ptCount val="4"/>
                <c:pt idx="0">
                  <c:v>2.4412350674778921E-3</c:v>
                </c:pt>
                <c:pt idx="1">
                  <c:v>5.8299443378106921E-4</c:v>
                </c:pt>
                <c:pt idx="2">
                  <c:v>1.060929798787656E-2</c:v>
                </c:pt>
                <c:pt idx="3">
                  <c:v>1.4467026853474201E-3</c:v>
                </c:pt>
              </c:numCache>
            </c:numRef>
          </c:xVal>
          <c:yVal>
            <c:numRef>
              <c:f>D!$R$61:$R$64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4A-4693-9E82-D806C75BB7B7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D!$Q$61:$Q$64</c:f>
              <c:numCache>
                <c:formatCode>General</c:formatCode>
                <c:ptCount val="4"/>
                <c:pt idx="0">
                  <c:v>7.9032232408214522E-3</c:v>
                </c:pt>
                <c:pt idx="1">
                  <c:v>3.9018937203849475E-3</c:v>
                </c:pt>
                <c:pt idx="2">
                  <c:v>5.5712639465897214E-3</c:v>
                </c:pt>
                <c:pt idx="3">
                  <c:v>3.308579073341561E-3</c:v>
                </c:pt>
              </c:numCache>
            </c:numRef>
          </c:xVal>
          <c:yVal>
            <c:numRef>
              <c:f>D!$P$61:$P$64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34A-4693-9E82-D806C75BB7B7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D!$O$61:$O$64</c:f>
              <c:numCache>
                <c:formatCode>General</c:formatCode>
                <c:ptCount val="4"/>
                <c:pt idx="0">
                  <c:v>4.6236072321487694E-2</c:v>
                </c:pt>
                <c:pt idx="1">
                  <c:v>0.17475297249865721</c:v>
                </c:pt>
                <c:pt idx="2">
                  <c:v>9.7814402222765936E-3</c:v>
                </c:pt>
                <c:pt idx="3">
                  <c:v>4.9785363128854718E-2</c:v>
                </c:pt>
              </c:numCache>
            </c:numRef>
          </c:xVal>
          <c:yVal>
            <c:numRef>
              <c:f>D!$N$61:$N$64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34A-4693-9E82-D806C75BB7B7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D!$M$61:$M$64</c:f>
              <c:numCache>
                <c:formatCode>General</c:formatCode>
                <c:ptCount val="4"/>
                <c:pt idx="0">
                  <c:v>2.5915851959738122E-3</c:v>
                </c:pt>
                <c:pt idx="1">
                  <c:v>1.7360391311187265E-3</c:v>
                </c:pt>
                <c:pt idx="2">
                  <c:v>2.8173321572418928E-3</c:v>
                </c:pt>
                <c:pt idx="3">
                  <c:v>5.0550684216234681E-3</c:v>
                </c:pt>
              </c:numCache>
            </c:numRef>
          </c:xVal>
          <c:yVal>
            <c:numRef>
              <c:f>D!$L$61:$L$64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34A-4693-9E82-D806C75BB7B7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D!$K$61:$K$64</c:f>
              <c:numCache>
                <c:formatCode>General</c:formatCode>
                <c:ptCount val="4"/>
                <c:pt idx="0">
                  <c:v>7.4794757223273448E-3</c:v>
                </c:pt>
                <c:pt idx="1">
                  <c:v>1.7603087151912819E-2</c:v>
                </c:pt>
                <c:pt idx="2">
                  <c:v>6.9677173166572065E-3</c:v>
                </c:pt>
                <c:pt idx="3">
                  <c:v>1.672458257527094E-2</c:v>
                </c:pt>
              </c:numCache>
            </c:numRef>
          </c:xVal>
          <c:yVal>
            <c:numRef>
              <c:f>D!$J$61:$J$64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34A-4693-9E82-D806C75B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axMin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axMin"/>
        </c:scaling>
        <c:delete val="1"/>
        <c:axPos val="t"/>
        <c:numFmt formatCode="General" sourceLinked="1"/>
        <c:majorTickMark val="out"/>
        <c:minorTickMark val="none"/>
        <c:tickLblPos val="nextTo"/>
        <c:crossAx val="1362576895"/>
        <c:crosses val="max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baseline="0">
                <a:solidFill>
                  <a:schemeClr val="tx1"/>
                </a:solidFill>
              </a:rPr>
              <a:t>Average 2^(-</a:t>
            </a:r>
            <a:r>
              <a:rPr lang="el-GR" baseline="0">
                <a:solidFill>
                  <a:schemeClr val="tx1"/>
                </a:solidFill>
              </a:rPr>
              <a:t>Δ</a:t>
            </a:r>
            <a:r>
              <a:rPr lang="cs-CZ" baseline="0">
                <a:solidFill>
                  <a:schemeClr val="tx1"/>
                </a:solidFill>
              </a:rPr>
              <a:t>ct) for guts</a:t>
            </a:r>
          </a:p>
        </c:rich>
      </c:tx>
      <c:layout>
        <c:manualLayout>
          <c:xMode val="edge"/>
          <c:yMode val="edge"/>
          <c:x val="0.25770011517737756"/>
          <c:y val="2.4491810992644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4297933602845542"/>
          <c:y val="9.3865669166417032E-2"/>
          <c:w val="0.80351990376202964"/>
          <c:h val="0.72579746236553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D!$H$15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D!$C$16:$C$22</c:f>
                <c:numCache>
                  <c:formatCode>General</c:formatCode>
                  <c:ptCount val="7"/>
                  <c:pt idx="0">
                    <c:v>1.6311631745841913E-2</c:v>
                  </c:pt>
                  <c:pt idx="1">
                    <c:v>8.0939156519576832E-5</c:v>
                  </c:pt>
                  <c:pt idx="2">
                    <c:v>1.8926686492565825E-4</c:v>
                  </c:pt>
                  <c:pt idx="3">
                    <c:v>3.6023995185792634E-2</c:v>
                  </c:pt>
                  <c:pt idx="4">
                    <c:v>1.0289354244090974E-3</c:v>
                  </c:pt>
                  <c:pt idx="5">
                    <c:v>2.3111383935737907E-3</c:v>
                  </c:pt>
                  <c:pt idx="6">
                    <c:v>5.7066539629600267E-4</c:v>
                  </c:pt>
                </c:numCache>
              </c:numRef>
            </c:plus>
            <c:minus>
              <c:numRef>
                <c:f>D!$C$16:$C$22</c:f>
                <c:numCache>
                  <c:formatCode>General</c:formatCode>
                  <c:ptCount val="7"/>
                  <c:pt idx="0">
                    <c:v>1.6311631745841913E-2</c:v>
                  </c:pt>
                  <c:pt idx="1">
                    <c:v>8.0939156519576832E-5</c:v>
                  </c:pt>
                  <c:pt idx="2">
                    <c:v>1.8926686492565825E-4</c:v>
                  </c:pt>
                  <c:pt idx="3">
                    <c:v>3.6023995185792634E-2</c:v>
                  </c:pt>
                  <c:pt idx="4">
                    <c:v>1.0289354244090974E-3</c:v>
                  </c:pt>
                  <c:pt idx="5">
                    <c:v>2.3111383935737907E-3</c:v>
                  </c:pt>
                  <c:pt idx="6">
                    <c:v>5.7066539629600267E-4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D!$B$16:$B$22</c:f>
              <c:strCache>
                <c:ptCount val="7"/>
                <c:pt idx="0">
                  <c:v>Fed</c:v>
                </c:pt>
                <c:pt idx="1">
                  <c:v>Emerged</c:v>
                </c:pt>
                <c:pt idx="2">
                  <c:v>Immature</c:v>
                </c:pt>
                <c:pt idx="3">
                  <c:v>Pupa</c:v>
                </c:pt>
                <c:pt idx="4">
                  <c:v>L3</c:v>
                </c:pt>
                <c:pt idx="5">
                  <c:v>L2</c:v>
                </c:pt>
                <c:pt idx="6">
                  <c:v>L1</c:v>
                </c:pt>
              </c:strCache>
            </c:strRef>
          </c:cat>
          <c:val>
            <c:numRef>
              <c:f>D!$H$16:$H$22</c:f>
              <c:numCache>
                <c:formatCode>General</c:formatCode>
                <c:ptCount val="7"/>
                <c:pt idx="0">
                  <c:v>2.8071156693597499E-2</c:v>
                </c:pt>
                <c:pt idx="1">
                  <c:v>1.9389186044853837E-4</c:v>
                </c:pt>
                <c:pt idx="2">
                  <c:v>3.5000863663858702E-4</c:v>
                </c:pt>
                <c:pt idx="3">
                  <c:v>7.0138962042819053E-2</c:v>
                </c:pt>
                <c:pt idx="4">
                  <c:v>5.1712399952844202E-3</c:v>
                </c:pt>
                <c:pt idx="5">
                  <c:v>3.7700575436207355E-3</c:v>
                </c:pt>
                <c:pt idx="6">
                  <c:v>3.9841145629997557E-3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8-4EEA-8BD6-DB393393A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272111"/>
        <c:axId val="1471273551"/>
      </c:barChart>
      <c:scatterChart>
        <c:scatterStyle val="lineMarker"/>
        <c:varyColors val="0"/>
        <c:ser>
          <c:idx val="1"/>
          <c:order val="1"/>
          <c:tx>
            <c:v>data points fed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D!$I$3:$I$6</c:f>
              <c:numCache>
                <c:formatCode>General</c:formatCode>
                <c:ptCount val="4"/>
                <c:pt idx="0">
                  <c:v>7.388134744748924E-2</c:v>
                </c:pt>
                <c:pt idx="1">
                  <c:v>1.1695830608405811E-3</c:v>
                </c:pt>
                <c:pt idx="2">
                  <c:v>8.8241002806633637E-3</c:v>
                </c:pt>
                <c:pt idx="3">
                  <c:v>2.8409595985396784E-2</c:v>
                </c:pt>
              </c:numCache>
            </c:numRef>
          </c:xVal>
          <c:yVal>
            <c:numRef>
              <c:f>D!$H$3:$H$6</c:f>
              <c:numCache>
                <c:formatCode>General</c:formatCode>
                <c:ptCount val="4"/>
                <c:pt idx="0">
                  <c:v>0.219</c:v>
                </c:pt>
                <c:pt idx="1">
                  <c:v>0.219</c:v>
                </c:pt>
                <c:pt idx="2">
                  <c:v>0.219</c:v>
                </c:pt>
                <c:pt idx="3">
                  <c:v>0.219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08-4EEA-8BD6-DB393393ACFD}"/>
            </c:ext>
          </c:extLst>
        </c:ser>
        <c:ser>
          <c:idx val="2"/>
          <c:order val="2"/>
          <c:tx>
            <c:v>data L1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D!$U$3:$U$6</c:f>
              <c:numCache>
                <c:formatCode>General</c:formatCode>
                <c:ptCount val="4"/>
                <c:pt idx="0">
                  <c:v>4.8912438763216446E-3</c:v>
                </c:pt>
                <c:pt idx="1">
                  <c:v>4.9283859756935108E-3</c:v>
                </c:pt>
                <c:pt idx="2">
                  <c:v>3.5480740402340956E-3</c:v>
                </c:pt>
                <c:pt idx="3">
                  <c:v>2.5687543597497724E-3</c:v>
                </c:pt>
              </c:numCache>
            </c:numRef>
          </c:xVal>
          <c:yVal>
            <c:numRef>
              <c:f>D!$T$3:$T$6</c:f>
              <c:numCache>
                <c:formatCode>General</c:formatCode>
                <c:ptCount val="4"/>
                <c:pt idx="0">
                  <c:v>2.7850000000000001</c:v>
                </c:pt>
                <c:pt idx="1">
                  <c:v>2.7850000000000001</c:v>
                </c:pt>
                <c:pt idx="2">
                  <c:v>2.7850000000000001</c:v>
                </c:pt>
                <c:pt idx="3">
                  <c:v>2.7850000000000001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08-4EEA-8BD6-DB393393ACFD}"/>
            </c:ext>
          </c:extLst>
        </c:ser>
        <c:ser>
          <c:idx val="3"/>
          <c:order val="3"/>
          <c:tx>
            <c:v>data L2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D!$S$3:$S$6</c:f>
              <c:numCache>
                <c:formatCode>General</c:formatCode>
                <c:ptCount val="4"/>
                <c:pt idx="0">
                  <c:v>2.4412350674778921E-3</c:v>
                </c:pt>
                <c:pt idx="1">
                  <c:v>5.8299443378106921E-4</c:v>
                </c:pt>
                <c:pt idx="2">
                  <c:v>1.060929798787656E-2</c:v>
                </c:pt>
                <c:pt idx="3">
                  <c:v>1.4467026853474201E-3</c:v>
                </c:pt>
              </c:numCache>
            </c:numRef>
          </c:xVal>
          <c:yVal>
            <c:numRef>
              <c:f>D!$R$3:$R$6</c:f>
              <c:numCache>
                <c:formatCode>General</c:formatCode>
                <c:ptCount val="4"/>
                <c:pt idx="0">
                  <c:v>2.355</c:v>
                </c:pt>
                <c:pt idx="1">
                  <c:v>2.355</c:v>
                </c:pt>
                <c:pt idx="2">
                  <c:v>2.355</c:v>
                </c:pt>
                <c:pt idx="3">
                  <c:v>2.355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08-4EEA-8BD6-DB393393ACFD}"/>
            </c:ext>
          </c:extLst>
        </c:ser>
        <c:ser>
          <c:idx val="4"/>
          <c:order val="4"/>
          <c:tx>
            <c:v>data L3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D!$Q$3:$Q$6</c:f>
              <c:numCache>
                <c:formatCode>General</c:formatCode>
                <c:ptCount val="4"/>
                <c:pt idx="0">
                  <c:v>7.9032232408214522E-3</c:v>
                </c:pt>
                <c:pt idx="1">
                  <c:v>3.9018937203849475E-3</c:v>
                </c:pt>
                <c:pt idx="2">
                  <c:v>5.5712639465897214E-3</c:v>
                </c:pt>
                <c:pt idx="3">
                  <c:v>3.308579073341561E-3</c:v>
                </c:pt>
              </c:numCache>
            </c:numRef>
          </c:xVal>
          <c:yVal>
            <c:numRef>
              <c:f>D!$P$3:$P$6</c:f>
              <c:numCache>
                <c:formatCode>General</c:formatCode>
                <c:ptCount val="4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08-4EEA-8BD6-DB393393ACFD}"/>
            </c:ext>
          </c:extLst>
        </c:ser>
        <c:ser>
          <c:idx val="5"/>
          <c:order val="5"/>
          <c:tx>
            <c:v>data Pupa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D!$O$3:$O$6</c:f>
              <c:numCache>
                <c:formatCode>General</c:formatCode>
                <c:ptCount val="4"/>
                <c:pt idx="0">
                  <c:v>4.6236072321487694E-2</c:v>
                </c:pt>
                <c:pt idx="1">
                  <c:v>0.17475297249865721</c:v>
                </c:pt>
                <c:pt idx="2">
                  <c:v>9.7814402222765936E-3</c:v>
                </c:pt>
                <c:pt idx="3">
                  <c:v>4.9785363128854718E-2</c:v>
                </c:pt>
              </c:numCache>
            </c:numRef>
          </c:xVal>
          <c:yVal>
            <c:numRef>
              <c:f>D!$N$3:$N$6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208-4EEA-8BD6-DB393393ACFD}"/>
            </c:ext>
          </c:extLst>
        </c:ser>
        <c:ser>
          <c:idx val="6"/>
          <c:order val="6"/>
          <c:tx>
            <c:v>data Immature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D!$M$3:$M$6</c:f>
              <c:numCache>
                <c:formatCode>General</c:formatCode>
                <c:ptCount val="4"/>
                <c:pt idx="0">
                  <c:v>1.8078070436484909E-4</c:v>
                </c:pt>
                <c:pt idx="1">
                  <c:v>1.2513907862249826E-4</c:v>
                </c:pt>
                <c:pt idx="2">
                  <c:v>1.7759660795555902E-4</c:v>
                </c:pt>
                <c:pt idx="3">
                  <c:v>9.1651815561144166E-4</c:v>
                </c:pt>
              </c:numCache>
            </c:numRef>
          </c:xVal>
          <c:yVal>
            <c:numRef>
              <c:f>D!$L$3:$L$6</c:f>
              <c:numCache>
                <c:formatCode>General</c:formatCode>
                <c:ptCount val="4"/>
                <c:pt idx="0">
                  <c:v>1.075</c:v>
                </c:pt>
                <c:pt idx="1">
                  <c:v>1.075</c:v>
                </c:pt>
                <c:pt idx="2">
                  <c:v>1.075</c:v>
                </c:pt>
                <c:pt idx="3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208-4EEA-8BD6-DB393393ACFD}"/>
            </c:ext>
          </c:extLst>
        </c:ser>
        <c:ser>
          <c:idx val="7"/>
          <c:order val="7"/>
          <c:tx>
            <c:v>data Emmerged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D!$K$3:$K$6</c:f>
              <c:numCache>
                <c:formatCode>General</c:formatCode>
                <c:ptCount val="4"/>
                <c:pt idx="0">
                  <c:v>1.3737238497244514E-4</c:v>
                </c:pt>
                <c:pt idx="1">
                  <c:v>9.2604231213698195E-6</c:v>
                </c:pt>
                <c:pt idx="2">
                  <c:v>3.927414012162435E-4</c:v>
                </c:pt>
                <c:pt idx="3">
                  <c:v>2.3619323248409501E-4</c:v>
                </c:pt>
              </c:numCache>
            </c:numRef>
          </c:xVal>
          <c:yVal>
            <c:numRef>
              <c:f>D!$J$3:$J$6</c:f>
              <c:numCache>
                <c:formatCode>General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208-4EEA-8BD6-DB393393A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78815"/>
        <c:axId val="1362576895"/>
      </c:scatterChart>
      <c:catAx>
        <c:axId val="1471272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99000"/>
            </a:schemeClr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3551"/>
        <c:crosses val="autoZero"/>
        <c:auto val="1"/>
        <c:lblAlgn val="ctr"/>
        <c:lblOffset val="100"/>
        <c:noMultiLvlLbl val="0"/>
      </c:catAx>
      <c:valAx>
        <c:axId val="1471273551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aseline="0">
                    <a:solidFill>
                      <a:schemeClr val="tx1"/>
                    </a:solidFill>
                  </a:rPr>
                  <a:t>2^(-Δ</a:t>
                </a:r>
                <a:r>
                  <a:rPr lang="cs-CZ" baseline="0">
                    <a:solidFill>
                      <a:schemeClr val="tx1"/>
                    </a:solidFill>
                  </a:rPr>
                  <a:t>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272111"/>
        <c:crosses val="autoZero"/>
        <c:crossBetween val="between"/>
      </c:valAx>
      <c:valAx>
        <c:axId val="1362576895"/>
        <c:scaling>
          <c:orientation val="minMax"/>
          <c:max val="3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362578815"/>
        <c:crosses val="max"/>
        <c:crossBetween val="midCat"/>
      </c:valAx>
      <c:valAx>
        <c:axId val="1362578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2576895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74296402416809959"/>
          <c:y val="0.13526194297059854"/>
          <c:w val="0.11961262070737962"/>
          <c:h val="0.15460503901333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male</a:t>
            </a:r>
            <a:r>
              <a:rPr lang="en-US"/>
              <a:t> in </a:t>
            </a:r>
            <a:r>
              <a:rPr lang="cs-CZ"/>
              <a:t>percentage/ methyl</a:t>
            </a:r>
            <a:r>
              <a:rPr lang="cs-CZ" baseline="0"/>
              <a:t> oleate skelet</a:t>
            </a:r>
            <a:endParaRPr lang="en-US"/>
          </a:p>
        </c:rich>
      </c:tx>
      <c:layout>
        <c:manualLayout>
          <c:xMode val="edge"/>
          <c:yMode val="edge"/>
          <c:x val="0.18950985846934176"/>
          <c:y val="3.0493276772706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0260592425947"/>
          <c:y val="0.15238474831941828"/>
          <c:w val="0.86903168475406622"/>
          <c:h val="0.66125469586449614"/>
        </c:manualLayout>
      </c:layout>
      <c:barChart>
        <c:barDir val="bar"/>
        <c:grouping val="clustered"/>
        <c:varyColors val="0"/>
        <c:ser>
          <c:idx val="0"/>
          <c:order val="0"/>
          <c:tx>
            <c:v>methyl oleate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1.8874033677896841E-2</c:v>
              </c:pt>
              <c:pt idx="1">
                <c:v>10.538709095213864</c:v>
              </c:pt>
              <c:pt idx="2">
                <c:v>14.998218335889353</c:v>
              </c:pt>
              <c:pt idx="3">
                <c:v>1.8874033677896841E-2</c:v>
              </c:pt>
              <c:pt idx="4">
                <c:v>1.8874033677896841E-2</c:v>
              </c:pt>
              <c:pt idx="5">
                <c:v>5.6173924898800411</c:v>
              </c:pt>
              <c:pt idx="6">
                <c:v>37.150325941670651</c:v>
              </c:pt>
              <c:pt idx="7">
                <c:v>31.638732036312398</c:v>
              </c:pt>
            </c:numLit>
          </c:val>
          <c:extLst>
            <c:ext xmlns:c16="http://schemas.microsoft.com/office/drawing/2014/chart" uri="{C3380CC4-5D6E-409C-BE32-E72D297353CC}">
              <c16:uniqueId val="{00000000-2D99-44FD-9136-2E1A0F3DD510}"/>
            </c:ext>
          </c:extLst>
        </c:ser>
        <c:ser>
          <c:idx val="1"/>
          <c:order val="1"/>
          <c:tx>
            <c:v>verbenyl oleate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1.1108061342677498E-2</c:v>
              </c:pt>
              <c:pt idx="1">
                <c:v>25.022570769759845</c:v>
              </c:pt>
              <c:pt idx="2">
                <c:v>43.071694249501327</c:v>
              </c:pt>
              <c:pt idx="3">
                <c:v>2.8033734692950576</c:v>
              </c:pt>
              <c:pt idx="4">
                <c:v>8.4776890566073568</c:v>
              </c:pt>
              <c:pt idx="5">
                <c:v>7.8040644551373273</c:v>
              </c:pt>
              <c:pt idx="6">
                <c:v>3.5005084973527172</c:v>
              </c:pt>
              <c:pt idx="7">
                <c:v>9.3089914410036894</c:v>
              </c:pt>
            </c:numLit>
          </c:val>
          <c:extLst>
            <c:ext xmlns:c16="http://schemas.microsoft.com/office/drawing/2014/chart" uri="{C3380CC4-5D6E-409C-BE32-E72D297353CC}">
              <c16:uniqueId val="{00000001-2D99-44FD-9136-2E1A0F3DD510}"/>
            </c:ext>
          </c:extLst>
        </c:ser>
        <c:ser>
          <c:idx val="2"/>
          <c:order val="2"/>
          <c:tx>
            <c:v>cis-Verbenol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larvae</c:v>
              </c:pt>
              <c:pt idx="1">
                <c:v>puppae</c:v>
              </c:pt>
              <c:pt idx="2">
                <c:v>golden</c:v>
              </c:pt>
              <c:pt idx="3">
                <c:v>sclerotized</c:v>
              </c:pt>
              <c:pt idx="4">
                <c:v>Emerged</c:v>
              </c:pt>
              <c:pt idx="5">
                <c:v>after flight</c:v>
              </c:pt>
              <c:pt idx="6">
                <c:v>fedmales</c:v>
              </c:pt>
              <c:pt idx="7">
                <c:v>mated</c:v>
              </c:pt>
            </c:strLit>
          </c:cat>
          <c:val>
            <c:numLit>
              <c:formatCode>General</c:formatCode>
              <c:ptCount val="8"/>
              <c:pt idx="0">
                <c:v>7.4507481781264529E-3</c:v>
              </c:pt>
              <c:pt idx="1">
                <c:v>0.42875291150421602</c:v>
              </c:pt>
              <c:pt idx="2">
                <c:v>59.912000219615877</c:v>
              </c:pt>
              <c:pt idx="3">
                <c:v>7.4507481781264529E-3</c:v>
              </c:pt>
              <c:pt idx="4">
                <c:v>1.5326046891802532</c:v>
              </c:pt>
              <c:pt idx="5">
                <c:v>12.622904867748673</c:v>
              </c:pt>
              <c:pt idx="6">
                <c:v>11.377063079331352</c:v>
              </c:pt>
              <c:pt idx="7">
                <c:v>14.111772736263385</c:v>
              </c:pt>
            </c:numLit>
          </c:val>
          <c:extLst>
            <c:ext xmlns:c16="http://schemas.microsoft.com/office/drawing/2014/chart" uri="{C3380CC4-5D6E-409C-BE32-E72D297353CC}">
              <c16:uniqueId val="{00000002-2D99-44FD-9136-2E1A0F3D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34952"/>
        <c:axId val="450129048"/>
      </c:barChart>
      <c:catAx>
        <c:axId val="4501349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29048"/>
        <c:crosses val="autoZero"/>
        <c:auto val="1"/>
        <c:lblAlgn val="ctr"/>
        <c:lblOffset val="100"/>
        <c:noMultiLvlLbl val="0"/>
      </c:catAx>
      <c:valAx>
        <c:axId val="450129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Breaker Gut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A!$D$3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A!$C$4:$C$13</c15:sqref>
                    </c15:fullRef>
                  </c:ext>
                </c:extLst>
                <c:f>(A!$C$4:$C$8,A!$C$10,A!$C$12)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4.1117770308747456E-2</c:v>
                  </c:pt>
                  <c:pt idx="5">
                    <c:v>9.0487655777681127E-4</c:v>
                  </c:pt>
                  <c:pt idx="6">
                    <c:v>4.5816759038038932E-2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A!$C$4:$C$13</c15:sqref>
                    </c15:fullRef>
                  </c:ext>
                </c:extLst>
                <c:f>(A!$C$4:$C$8,A!$C$10,A!$C$12)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4.1117770308747456E-2</c:v>
                  </c:pt>
                  <c:pt idx="5">
                    <c:v>9.0487655777681127E-4</c:v>
                  </c:pt>
                  <c:pt idx="6">
                    <c:v>4.5816759038038932E-2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(A!$B$4:$B$8,A!$B$10,A!$B$12)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Emerged (Gut)</c:v>
                </c:pt>
                <c:pt idx="6">
                  <c:v>Fed (Gut)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A!$D$4:$D$13</c15:sqref>
                  </c15:fullRef>
                </c:ext>
              </c:extLst>
              <c:f>(A!$D$4:$D$8,A!$D$10,A!$D$12)</c:f>
              <c:numCache>
                <c:formatCode>General</c:formatCode>
                <c:ptCount val="7"/>
                <c:pt idx="0">
                  <c:v>-1.5918574627301701E-2</c:v>
                </c:pt>
                <c:pt idx="1">
                  <c:v>-1.91286655372363E-2</c:v>
                </c:pt>
                <c:pt idx="2">
                  <c:v>-7.3176986130940702E-2</c:v>
                </c:pt>
                <c:pt idx="3">
                  <c:v>-6.1191160507091799E-3</c:v>
                </c:pt>
                <c:pt idx="4">
                  <c:v>-5.9479327509160802E-2</c:v>
                </c:pt>
                <c:pt idx="5">
                  <c:v>-2.9391902428354301E-3</c:v>
                </c:pt>
                <c:pt idx="6">
                  <c:v>-7.4508064690238601E-2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F-45FF-A877-A2F08661898C}"/>
            </c:ext>
          </c:extLst>
        </c:ser>
        <c:ser>
          <c:idx val="1"/>
          <c:order val="1"/>
          <c:tx>
            <c:strRef>
              <c:f>A!$E$3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A!$F$4:$F$13</c15:sqref>
                    </c15:fullRef>
                  </c:ext>
                </c:extLst>
                <c:f>(A!$F$4:$F$8,A!$F$10,A!$F$12)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1.2941210897390818E-2</c:v>
                  </c:pt>
                  <c:pt idx="5">
                    <c:v>6.7978705876918575E-4</c:v>
                  </c:pt>
                  <c:pt idx="6">
                    <c:v>9.6161980179085577E-3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A!$F$4:$F$13</c15:sqref>
                    </c15:fullRef>
                  </c:ext>
                </c:extLst>
                <c:f>(A!$F$4:$F$8,A!$F$10,A!$F$12)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1.2941210897390818E-2</c:v>
                  </c:pt>
                  <c:pt idx="5">
                    <c:v>6.7978705876918575E-4</c:v>
                  </c:pt>
                  <c:pt idx="6">
                    <c:v>9.6161980179085577E-3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(A!$B$4:$B$8,A!$B$10,A!$B$12)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Emerged (Gut)</c:v>
                </c:pt>
                <c:pt idx="6">
                  <c:v>Fed (Gut)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A!$E$4:$E$13</c15:sqref>
                  </c15:fullRef>
                </c:ext>
              </c:extLst>
              <c:f>(A!$E$4:$E$8,A!$E$10,A!$E$12)</c:f>
              <c:numCache>
                <c:formatCode>General</c:formatCode>
                <c:ptCount val="7"/>
                <c:pt idx="0">
                  <c:v>1.5918574627301733E-2</c:v>
                </c:pt>
                <c:pt idx="1">
                  <c:v>1.9128665537236335E-2</c:v>
                </c:pt>
                <c:pt idx="2">
                  <c:v>7.3176986130940661E-2</c:v>
                </c:pt>
                <c:pt idx="3">
                  <c:v>6.1191160507091816E-3</c:v>
                </c:pt>
                <c:pt idx="4">
                  <c:v>3.9525122701263266E-2</c:v>
                </c:pt>
                <c:pt idx="5">
                  <c:v>3.3624129813681668E-3</c:v>
                </c:pt>
                <c:pt idx="6">
                  <c:v>3.5010307076210265E-2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F-45FF-A877-A2F0866189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Breaker</a:t>
            </a:r>
            <a:r>
              <a:rPr lang="cs-CZ" baseline="0"/>
              <a:t> FB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A!$D$3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A!$C$4:$C$13</c15:sqref>
                    </c15:fullRef>
                  </c:ext>
                </c:extLst>
                <c:f>(A!$C$4:$C$7,A!$C$9,A!$C$11,A!$C$13)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5.9298480873821949E-3</c:v>
                  </c:pt>
                  <c:pt idx="5">
                    <c:v>1.0558403728725841E-3</c:v>
                  </c:pt>
                  <c:pt idx="6">
                    <c:v>3.0305512263294914E-3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A!$C$4:$C$13</c15:sqref>
                    </c15:fullRef>
                  </c:ext>
                </c:extLst>
                <c:f>(A!$C$4:$C$7,A!$C$9,A!$C$11,A!$C$13)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5.9298480873821949E-3</c:v>
                  </c:pt>
                  <c:pt idx="5">
                    <c:v>1.0558403728725841E-3</c:v>
                  </c:pt>
                  <c:pt idx="6">
                    <c:v>3.0305512263294914E-3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(A!$B$4:$B$7,A!$B$9,A!$B$11,A!$B$13)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(FB)</c:v>
                </c:pt>
                <c:pt idx="5">
                  <c:v>Emerged (FB)</c:v>
                </c:pt>
                <c:pt idx="6">
                  <c:v>Fed (FB)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A!$D$4:$D$13</c15:sqref>
                  </c15:fullRef>
                </c:ext>
              </c:extLst>
              <c:f>(A!$D$4:$D$7,A!$D$9,A!$D$11,A!$D$13)</c:f>
              <c:numCache>
                <c:formatCode>General</c:formatCode>
                <c:ptCount val="7"/>
                <c:pt idx="0">
                  <c:v>-1.5918574627301701E-2</c:v>
                </c:pt>
                <c:pt idx="1">
                  <c:v>-1.91286655372363E-2</c:v>
                </c:pt>
                <c:pt idx="2">
                  <c:v>-7.3176986130940702E-2</c:v>
                </c:pt>
                <c:pt idx="3">
                  <c:v>-6.1191160507091799E-3</c:v>
                </c:pt>
                <c:pt idx="4">
                  <c:v>-1.91194845352518E-2</c:v>
                </c:pt>
                <c:pt idx="5">
                  <c:v>-3.6152727750240598E-3</c:v>
                </c:pt>
                <c:pt idx="6">
                  <c:v>-1.1675446320147101E-2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E-43BA-AF33-D8420AB44505}"/>
            </c:ext>
          </c:extLst>
        </c:ser>
        <c:ser>
          <c:idx val="1"/>
          <c:order val="1"/>
          <c:tx>
            <c:strRef>
              <c:f>A!$E$3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A!$F$4:$F$13</c15:sqref>
                    </c15:fullRef>
                  </c:ext>
                </c:extLst>
                <c:f>(A!$F$4:$F$7,A!$F$9,A!$F$11,A!$F$13)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1.2941623951216412E-2</c:v>
                  </c:pt>
                  <c:pt idx="5">
                    <c:v>3.0465569714892139E-3</c:v>
                  </c:pt>
                  <c:pt idx="6">
                    <c:v>1.5716591535239795E-2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A!$F$4:$F$13</c15:sqref>
                    </c15:fullRef>
                  </c:ext>
                </c:extLst>
                <c:f>(A!$F$4:$F$7,A!$F$9,A!$F$11,A!$F$13)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1.2941623951216412E-2</c:v>
                  </c:pt>
                  <c:pt idx="5">
                    <c:v>3.0465569714892139E-3</c:v>
                  </c:pt>
                  <c:pt idx="6">
                    <c:v>1.5716591535239795E-2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(A!$B$4:$B$7,A!$B$9,A!$B$11,A!$B$13)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(FB)</c:v>
                </c:pt>
                <c:pt idx="5">
                  <c:v>Emerged (FB)</c:v>
                </c:pt>
                <c:pt idx="6">
                  <c:v>Fed (FB)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A!$E$4:$E$13</c15:sqref>
                  </c15:fullRef>
                </c:ext>
              </c:extLst>
              <c:f>(A!$E$4:$E$7,A!$E$9,A!$E$11,A!$E$13)</c:f>
              <c:numCache>
                <c:formatCode>General</c:formatCode>
                <c:ptCount val="7"/>
                <c:pt idx="0">
                  <c:v>1.5918574627301733E-2</c:v>
                </c:pt>
                <c:pt idx="1">
                  <c:v>1.9128665537236335E-2</c:v>
                </c:pt>
                <c:pt idx="2">
                  <c:v>7.3176986130940661E-2</c:v>
                </c:pt>
                <c:pt idx="3">
                  <c:v>6.1191160507091816E-3</c:v>
                </c:pt>
                <c:pt idx="4">
                  <c:v>5.8591151433505725E-2</c:v>
                </c:pt>
                <c:pt idx="5">
                  <c:v>8.4387102516575649E-3</c:v>
                </c:pt>
                <c:pt idx="6">
                  <c:v>4.6161539656344452E-2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E-43BA-AF33-D8420AB445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Breaker Gut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A!$D$3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A!$C$4:$C$13</c15:sqref>
                    </c15:fullRef>
                  </c:ext>
                </c:extLst>
                <c:f>(A!$C$4:$C$8,A!$C$10,A!$C$12)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4.1117770308747456E-2</c:v>
                  </c:pt>
                  <c:pt idx="5">
                    <c:v>9.0487655777681127E-4</c:v>
                  </c:pt>
                  <c:pt idx="6">
                    <c:v>4.5816759038038932E-2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A!$C$4:$C$13</c15:sqref>
                    </c15:fullRef>
                  </c:ext>
                </c:extLst>
                <c:f>(A!$C$4:$C$8,A!$C$10,A!$C$12)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4.1117770308747456E-2</c:v>
                  </c:pt>
                  <c:pt idx="5">
                    <c:v>9.0487655777681127E-4</c:v>
                  </c:pt>
                  <c:pt idx="6">
                    <c:v>4.5816759038038932E-2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(A!$B$4:$B$8,A!$B$10,A!$B$12)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Emerged (Gut)</c:v>
                </c:pt>
                <c:pt idx="6">
                  <c:v>Fed (Gut)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A!$D$4:$D$13</c15:sqref>
                  </c15:fullRef>
                </c:ext>
              </c:extLst>
              <c:f>(A!$D$4:$D$8,A!$D$10,A!$D$12)</c:f>
              <c:numCache>
                <c:formatCode>General</c:formatCode>
                <c:ptCount val="7"/>
                <c:pt idx="0">
                  <c:v>-1.5918574627301701E-2</c:v>
                </c:pt>
                <c:pt idx="1">
                  <c:v>-1.91286655372363E-2</c:v>
                </c:pt>
                <c:pt idx="2">
                  <c:v>-7.3176986130940702E-2</c:v>
                </c:pt>
                <c:pt idx="3">
                  <c:v>-6.1191160507091799E-3</c:v>
                </c:pt>
                <c:pt idx="4">
                  <c:v>-5.9479327509160802E-2</c:v>
                </c:pt>
                <c:pt idx="5">
                  <c:v>-2.9391902428354301E-3</c:v>
                </c:pt>
                <c:pt idx="6">
                  <c:v>-7.4508064690238601E-2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F-45FF-A877-A2F08661898C}"/>
            </c:ext>
          </c:extLst>
        </c:ser>
        <c:ser>
          <c:idx val="1"/>
          <c:order val="1"/>
          <c:tx>
            <c:strRef>
              <c:f>A!$E$3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A!$F$4:$F$13</c15:sqref>
                    </c15:fullRef>
                  </c:ext>
                </c:extLst>
                <c:f>(A!$F$4:$F$8,A!$F$10,A!$F$12)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1.2941210897390818E-2</c:v>
                  </c:pt>
                  <c:pt idx="5">
                    <c:v>6.7978705876918575E-4</c:v>
                  </c:pt>
                  <c:pt idx="6">
                    <c:v>9.6161980179085577E-3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A!$F$4:$F$13</c15:sqref>
                    </c15:fullRef>
                  </c:ext>
                </c:extLst>
                <c:f>(A!$F$4:$F$8,A!$F$10,A!$F$12)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1.2941210897390818E-2</c:v>
                  </c:pt>
                  <c:pt idx="5">
                    <c:v>6.7978705876918575E-4</c:v>
                  </c:pt>
                  <c:pt idx="6">
                    <c:v>9.6161980179085577E-3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(A!$B$4:$B$8,A!$B$10,A!$B$12)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(Gut)</c:v>
                </c:pt>
                <c:pt idx="5">
                  <c:v>Emerged (Gut)</c:v>
                </c:pt>
                <c:pt idx="6">
                  <c:v>Fed (Gut)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A!$E$4:$E$13</c15:sqref>
                  </c15:fullRef>
                </c:ext>
              </c:extLst>
              <c:f>(A!$E$4:$E$8,A!$E$10,A!$E$12)</c:f>
              <c:numCache>
                <c:formatCode>General</c:formatCode>
                <c:ptCount val="7"/>
                <c:pt idx="0">
                  <c:v>1.5918574627301733E-2</c:v>
                </c:pt>
                <c:pt idx="1">
                  <c:v>1.9128665537236335E-2</c:v>
                </c:pt>
                <c:pt idx="2">
                  <c:v>7.3176986130940661E-2</c:v>
                </c:pt>
                <c:pt idx="3">
                  <c:v>6.1191160507091816E-3</c:v>
                </c:pt>
                <c:pt idx="4">
                  <c:v>3.9525122701263266E-2</c:v>
                </c:pt>
                <c:pt idx="5">
                  <c:v>3.3624129813681668E-3</c:v>
                </c:pt>
                <c:pt idx="6">
                  <c:v>3.5010307076210265E-2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F-45FF-A877-A2F0866189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Breaker</a:t>
            </a:r>
            <a:r>
              <a:rPr lang="cs-CZ" baseline="0"/>
              <a:t> FB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A!$D$3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A!$C$4:$C$13</c15:sqref>
                    </c15:fullRef>
                  </c:ext>
                </c:extLst>
                <c:f>(A!$C$4:$C$7,A!$C$9,A!$C$11,A!$C$13)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5.9298480873821949E-3</c:v>
                  </c:pt>
                  <c:pt idx="5">
                    <c:v>1.0558403728725841E-3</c:v>
                  </c:pt>
                  <c:pt idx="6">
                    <c:v>3.0305512263294914E-3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A!$C$4:$C$13</c15:sqref>
                    </c15:fullRef>
                  </c:ext>
                </c:extLst>
                <c:f>(A!$C$4:$C$7,A!$C$9,A!$C$11,A!$C$13)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5.9298480873821949E-3</c:v>
                  </c:pt>
                  <c:pt idx="5">
                    <c:v>1.0558403728725841E-3</c:v>
                  </c:pt>
                  <c:pt idx="6">
                    <c:v>3.0305512263294914E-3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(A!$B$4:$B$7,A!$B$9,A!$B$11,A!$B$13)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(FB)</c:v>
                </c:pt>
                <c:pt idx="5">
                  <c:v>Emerged (FB)</c:v>
                </c:pt>
                <c:pt idx="6">
                  <c:v>Fed (FB)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A!$D$4:$D$13</c15:sqref>
                  </c15:fullRef>
                </c:ext>
              </c:extLst>
              <c:f>(A!$D$4:$D$7,A!$D$9,A!$D$11,A!$D$13)</c:f>
              <c:numCache>
                <c:formatCode>General</c:formatCode>
                <c:ptCount val="7"/>
                <c:pt idx="0">
                  <c:v>-1.5918574627301701E-2</c:v>
                </c:pt>
                <c:pt idx="1">
                  <c:v>-1.91286655372363E-2</c:v>
                </c:pt>
                <c:pt idx="2">
                  <c:v>-7.3176986130940702E-2</c:v>
                </c:pt>
                <c:pt idx="3">
                  <c:v>-6.1191160507091799E-3</c:v>
                </c:pt>
                <c:pt idx="4">
                  <c:v>-1.91194845352518E-2</c:v>
                </c:pt>
                <c:pt idx="5">
                  <c:v>-3.6152727750240598E-3</c:v>
                </c:pt>
                <c:pt idx="6">
                  <c:v>-1.1675446320147101E-2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E-43BA-AF33-D8420AB44505}"/>
            </c:ext>
          </c:extLst>
        </c:ser>
        <c:ser>
          <c:idx val="1"/>
          <c:order val="1"/>
          <c:tx>
            <c:strRef>
              <c:f>A!$E$3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A!$F$4:$F$13</c15:sqref>
                    </c15:fullRef>
                  </c:ext>
                </c:extLst>
                <c:f>(A!$F$4:$F$7,A!$F$9,A!$F$11,A!$F$13)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1.2941623951216412E-2</c:v>
                  </c:pt>
                  <c:pt idx="5">
                    <c:v>3.0465569714892139E-3</c:v>
                  </c:pt>
                  <c:pt idx="6">
                    <c:v>1.5716591535239795E-2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A!$F$4:$F$13</c15:sqref>
                    </c15:fullRef>
                  </c:ext>
                </c:extLst>
                <c:f>(A!$F$4:$F$7,A!$F$9,A!$F$11,A!$F$13)</c:f>
                <c:numCache>
                  <c:formatCode>General</c:formatCode>
                  <c:ptCount val="7"/>
                  <c:pt idx="0">
                    <c:v>2.3674524029672901E-3</c:v>
                  </c:pt>
                  <c:pt idx="1">
                    <c:v>6.7498536500957464E-3</c:v>
                  </c:pt>
                  <c:pt idx="2">
                    <c:v>9.1117817019702192E-3</c:v>
                  </c:pt>
                  <c:pt idx="3">
                    <c:v>1.3915808249714157E-3</c:v>
                  </c:pt>
                  <c:pt idx="4">
                    <c:v>1.2941623951216412E-2</c:v>
                  </c:pt>
                  <c:pt idx="5">
                    <c:v>3.0465569714892139E-3</c:v>
                  </c:pt>
                  <c:pt idx="6">
                    <c:v>1.5716591535239795E-2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A!$B$4:$B$13</c15:sqref>
                  </c15:fullRef>
                </c:ext>
              </c:extLst>
              <c:f>(A!$B$4:$B$7,A!$B$9,A!$B$11,A!$B$13)</c:f>
              <c:strCache>
                <c:ptCount val="7"/>
                <c:pt idx="0">
                  <c:v>L1 (Whole body)</c:v>
                </c:pt>
                <c:pt idx="1">
                  <c:v>L2 (Whole body)</c:v>
                </c:pt>
                <c:pt idx="2">
                  <c:v>L3 (Whole body)</c:v>
                </c:pt>
                <c:pt idx="3">
                  <c:v>Pupa (Whole body)</c:v>
                </c:pt>
                <c:pt idx="4">
                  <c:v>Immature (FB)</c:v>
                </c:pt>
                <c:pt idx="5">
                  <c:v>Emerged (FB)</c:v>
                </c:pt>
                <c:pt idx="6">
                  <c:v>Fed (FB)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A!$E$4:$E$13</c15:sqref>
                  </c15:fullRef>
                </c:ext>
              </c:extLst>
              <c:f>(A!$E$4:$E$7,A!$E$9,A!$E$11,A!$E$13)</c:f>
              <c:numCache>
                <c:formatCode>General</c:formatCode>
                <c:ptCount val="7"/>
                <c:pt idx="0">
                  <c:v>1.5918574627301733E-2</c:v>
                </c:pt>
                <c:pt idx="1">
                  <c:v>1.9128665537236335E-2</c:v>
                </c:pt>
                <c:pt idx="2">
                  <c:v>7.3176986130940661E-2</c:v>
                </c:pt>
                <c:pt idx="3">
                  <c:v>6.1191160507091816E-3</c:v>
                </c:pt>
                <c:pt idx="4">
                  <c:v>5.8591151433505725E-2</c:v>
                </c:pt>
                <c:pt idx="5">
                  <c:v>8.4387102516575649E-3</c:v>
                </c:pt>
                <c:pt idx="6">
                  <c:v>4.6161539656344452E-2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E-43BA-AF33-D8420AB445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544554080"/>
        <c:axId val="544553120"/>
      </c:barChart>
      <c:catAx>
        <c:axId val="544554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3120"/>
        <c:crosses val="autoZero"/>
        <c:auto val="1"/>
        <c:lblAlgn val="ctr"/>
        <c:lblOffset val="100"/>
        <c:noMultiLvlLbl val="0"/>
      </c:catAx>
      <c:valAx>
        <c:axId val="54455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4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microsoft.com/office/2007/relationships/hdphoto" Target="../media/hdphoto1.wdp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../media/image1.png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13" Type="http://schemas.openxmlformats.org/officeDocument/2006/relationships/chart" Target="../charts/chart46.xml"/><Relationship Id="rId3" Type="http://schemas.microsoft.com/office/2007/relationships/hdphoto" Target="../media/hdphoto4.wdp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image" Target="../media/image7.png"/><Relationship Id="rId1" Type="http://schemas.openxmlformats.org/officeDocument/2006/relationships/image" Target="../media/image3.png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5" Type="http://schemas.openxmlformats.org/officeDocument/2006/relationships/chart" Target="../charts/chart4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Relationship Id="rId1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microsoft.com/office/2007/relationships/hdphoto" Target="../media/hdphoto2.wdp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13" Type="http://schemas.openxmlformats.org/officeDocument/2006/relationships/chart" Target="../charts/chart35.xml"/><Relationship Id="rId3" Type="http://schemas.openxmlformats.org/officeDocument/2006/relationships/image" Target="../media/image5.png"/><Relationship Id="rId7" Type="http://schemas.openxmlformats.org/officeDocument/2006/relationships/chart" Target="../charts/chart29.xml"/><Relationship Id="rId12" Type="http://schemas.openxmlformats.org/officeDocument/2006/relationships/chart" Target="../charts/chart34.xml"/><Relationship Id="rId2" Type="http://schemas.openxmlformats.org/officeDocument/2006/relationships/chart" Target="../charts/chart26.xml"/><Relationship Id="rId1" Type="http://schemas.openxmlformats.org/officeDocument/2006/relationships/image" Target="../media/image3.png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0" Type="http://schemas.openxmlformats.org/officeDocument/2006/relationships/chart" Target="../charts/chart32.xml"/><Relationship Id="rId4" Type="http://schemas.microsoft.com/office/2007/relationships/hdphoto" Target="../media/hdphoto3.wdp"/><Relationship Id="rId9" Type="http://schemas.openxmlformats.org/officeDocument/2006/relationships/chart" Target="../charts/chart31.xml"/><Relationship Id="rId14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533401</xdr:colOff>
      <xdr:row>91</xdr:row>
      <xdr:rowOff>180974</xdr:rowOff>
    </xdr:from>
    <xdr:to>
      <xdr:col>58</xdr:col>
      <xdr:colOff>471488</xdr:colOff>
      <xdr:row>110</xdr:row>
      <xdr:rowOff>166687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322120</xdr:colOff>
      <xdr:row>160</xdr:row>
      <xdr:rowOff>11257</xdr:rowOff>
    </xdr:from>
    <xdr:to>
      <xdr:col>15</xdr:col>
      <xdr:colOff>60205</xdr:colOff>
      <xdr:row>191</xdr:row>
      <xdr:rowOff>11780</xdr:rowOff>
    </xdr:to>
    <xdr:grpSp>
      <xdr:nvGrpSpPr>
        <xdr:cNvPr id="35" name="Skupina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931720" y="29110132"/>
          <a:ext cx="10663260" cy="5610748"/>
          <a:chOff x="1219200" y="7372350"/>
          <a:chExt cx="8939235" cy="5906023"/>
        </a:xfrm>
      </xdr:grpSpPr>
      <xdr:pic>
        <xdr:nvPicPr>
          <xdr:cNvPr id="20" name="Obrázek 19" descr="Obsah obrázku snímek obrazovky, řada/pruh, diagram, text&#10;&#10;Popis byl vytvořen automaticky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50000"/>
                    </a14:imgEffect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45994" y="8053330"/>
            <a:ext cx="8668377" cy="4719006"/>
          </a:xfrm>
          <a:prstGeom prst="rect">
            <a:avLst/>
          </a:prstGeom>
        </xdr:spPr>
      </xdr:pic>
      <xdr:sp macro="" textlink="">
        <xdr:nvSpPr>
          <xdr:cNvPr id="21" name="Obdélník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1505705" y="11337689"/>
            <a:ext cx="8652730" cy="135675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2" name="Zástupný obsah 2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/>
          </xdr:cNvSpPr>
        </xdr:nvSpPr>
        <xdr:spPr>
          <a:xfrm>
            <a:off x="1903127" y="7372350"/>
            <a:ext cx="7861279" cy="705091"/>
          </a:xfrm>
          <a:prstGeom prst="rect">
            <a:avLst/>
          </a:prstGeom>
        </xdr:spPr>
        <xdr:txBody>
          <a:bodyPr vert="horz" wrap="square" lIns="91440" tIns="45720" rIns="91440" bIns="45720" rtlCol="0">
            <a:normAutofit/>
          </a:bodyPr>
          <a:lstStyle>
            <a:defPPr>
              <a:defRPr lang="cs-CZ"/>
            </a:defPPr>
            <a:lvl1pPr marL="0" indent="0" algn="ctr" defTabSz="2263236" rtl="0" eaLnBrk="1" latinLnBrk="0" hangingPunct="1">
              <a:lnSpc>
                <a:spcPct val="90000"/>
              </a:lnSpc>
              <a:spcBef>
                <a:spcPts val="2475"/>
              </a:spcBef>
              <a:buFont typeface="Arial" panose="020B0604020202020204" pitchFamily="34" charset="0"/>
              <a:buNone/>
              <a:defRPr sz="594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131617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9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26323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455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39485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526470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658088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78970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92132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9052941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5d. </a:t>
            </a:r>
            <a:r>
              <a:rPr lang="en-US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„</a:t>
            </a:r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Breaker</a:t>
            </a:r>
            <a:r>
              <a:rPr lang="en-US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“</a:t>
            </a:r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Esterase Candidate </a:t>
            </a:r>
            <a:r>
              <a:rPr lang="en-US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in </a:t>
            </a:r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endParaRPr lang="en-US" sz="3000" b="1">
              <a:solidFill>
                <a:srgbClr val="406732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3" name="Zástupný obsah 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>
            <a:spLocks/>
          </xdr:cNvSpPr>
        </xdr:nvSpPr>
        <xdr:spPr>
          <a:xfrm rot="16200000">
            <a:off x="412808" y="9486201"/>
            <a:ext cx="2317876" cy="705091"/>
          </a:xfrm>
          <a:prstGeom prst="rect">
            <a:avLst/>
          </a:prstGeom>
        </xdr:spPr>
        <xdr:txBody>
          <a:bodyPr vert="horz" wrap="square" lIns="91440" tIns="45720" rIns="91440" bIns="45720" rtlCol="0">
            <a:normAutofit/>
          </a:bodyPr>
          <a:lstStyle>
            <a:defPPr>
              <a:defRPr lang="cs-CZ"/>
            </a:defPPr>
            <a:lvl1pPr marL="0" indent="0" algn="ctr" defTabSz="2263236" rtl="0" eaLnBrk="1" latinLnBrk="0" hangingPunct="1">
              <a:lnSpc>
                <a:spcPct val="90000"/>
              </a:lnSpc>
              <a:spcBef>
                <a:spcPts val="2475"/>
              </a:spcBef>
              <a:buFont typeface="Arial" panose="020B0604020202020204" pitchFamily="34" charset="0"/>
              <a:buNone/>
              <a:defRPr sz="594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131617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9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26323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455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39485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526470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658088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78970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92132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9052941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700">
                <a:solidFill>
                  <a:schemeClr val="tx1">
                    <a:lumMod val="95000"/>
                    <a:lumOff val="5000"/>
                  </a:scheme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Log2 Fold Change</a:t>
            </a:r>
            <a:endParaRPr lang="en-US" sz="1700">
              <a:solidFill>
                <a:schemeClr val="tx1">
                  <a:lumMod val="95000"/>
                  <a:lumOff val="5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4" name="Obdélník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 rot="5400000">
            <a:off x="5597192" y="4298532"/>
            <a:ext cx="334583" cy="7558544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5" name="Zástupný obsah 2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/>
          </xdr:cNvSpPr>
        </xdr:nvSpPr>
        <xdr:spPr>
          <a:xfrm rot="18382834">
            <a:off x="1066484" y="11882933"/>
            <a:ext cx="2315203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Immature 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F Midgut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6" name="Zástupný obsah 2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>
            <a:spLocks/>
          </xdr:cNvSpPr>
        </xdr:nvSpPr>
        <xdr:spPr>
          <a:xfrm rot="18345344">
            <a:off x="3590067" y="11673203"/>
            <a:ext cx="1970632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Fed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7" name="Zástupný obsah 2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>
            <a:spLocks/>
          </xdr:cNvSpPr>
        </xdr:nvSpPr>
        <xdr:spPr>
          <a:xfrm rot="18433215">
            <a:off x="5463085" y="11848452"/>
            <a:ext cx="2315203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Immature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8" name="Zástupný obsah 2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/>
          </xdr:cNvSpPr>
        </xdr:nvSpPr>
        <xdr:spPr>
          <a:xfrm rot="18410692">
            <a:off x="7013193" y="11696095"/>
            <a:ext cx="1656884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9" name="Zástupný obsah 2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>
            <a:spLocks/>
          </xdr:cNvSpPr>
        </xdr:nvSpPr>
        <xdr:spPr>
          <a:xfrm rot="18380341">
            <a:off x="4832014" y="11667638"/>
            <a:ext cx="1666414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Fed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0" name="Zástupný obsah 2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 txBox="1">
            <a:spLocks/>
          </xdr:cNvSpPr>
        </xdr:nvSpPr>
        <xdr:spPr>
          <a:xfrm rot="18420739">
            <a:off x="8105373" y="11691637"/>
            <a:ext cx="1706114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1" name="Zástupný obsah 2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/>
          </xdr:cNvSpPr>
        </xdr:nvSpPr>
        <xdr:spPr>
          <a:xfrm rot="18375613">
            <a:off x="2538232" y="11643777"/>
            <a:ext cx="1961794" cy="513439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F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2" name="Zástupný obsah 2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 txBox="1">
            <a:spLocks/>
          </xdr:cNvSpPr>
        </xdr:nvSpPr>
        <xdr:spPr>
          <a:xfrm>
            <a:off x="3923747" y="7889552"/>
            <a:ext cx="4223166" cy="342076"/>
          </a:xfrm>
          <a:prstGeom prst="rect">
            <a:avLst/>
          </a:prstGeom>
        </xdr:spPr>
        <xdr:txBody>
          <a:bodyPr vert="horz" wrap="square" lIns="91440" tIns="45720" rIns="91440" bIns="45720" rtlCol="0">
            <a:normAutofit/>
          </a:bodyPr>
          <a:lstStyle>
            <a:defPPr>
              <a:defRPr lang="cs-CZ"/>
            </a:defPPr>
            <a:lvl1pPr marL="0" indent="0" algn="ctr" defTabSz="2263236" rtl="0" eaLnBrk="1" latinLnBrk="0" hangingPunct="1">
              <a:lnSpc>
                <a:spcPct val="90000"/>
              </a:lnSpc>
              <a:spcBef>
                <a:spcPts val="2475"/>
              </a:spcBef>
              <a:buFont typeface="Arial" panose="020B0604020202020204" pitchFamily="34" charset="0"/>
              <a:buNone/>
              <a:defRPr sz="594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131617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9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26323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455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39485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526470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658088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78970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92132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9052941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400" b="1">
                <a:solidFill>
                  <a:schemeClr val="tx1">
                    <a:lumMod val="95000"/>
                    <a:lumOff val="5000"/>
                  </a:scheme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Esterase-NODE_8625_JADDUH010000030.1</a:t>
            </a:r>
            <a:endParaRPr lang="en-US" sz="1400" b="1">
              <a:solidFill>
                <a:schemeClr val="tx1">
                  <a:lumMod val="95000"/>
                  <a:lumOff val="5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3" name="Rovnoramenný trojúhelník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5796617" y="8300735"/>
            <a:ext cx="278876" cy="293313"/>
          </a:xfrm>
          <a:prstGeom prst="triangle">
            <a:avLst/>
          </a:prstGeom>
          <a:solidFill>
            <a:schemeClr val="tx1"/>
          </a:solidFill>
          <a:ln>
            <a:solidFill>
              <a:schemeClr val="bg2">
                <a:lumMod val="1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4" name="Rovnoramenný trojúhelník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9103089" y="9342100"/>
            <a:ext cx="278876" cy="293313"/>
          </a:xfrm>
          <a:prstGeom prst="triangle">
            <a:avLst/>
          </a:prstGeom>
          <a:solidFill>
            <a:schemeClr val="tx1"/>
          </a:solidFill>
          <a:ln>
            <a:solidFill>
              <a:schemeClr val="bg2">
                <a:lumMod val="1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37</xdr:col>
      <xdr:colOff>314325</xdr:colOff>
      <xdr:row>7</xdr:row>
      <xdr:rowOff>38099</xdr:rowOff>
    </xdr:from>
    <xdr:to>
      <xdr:col>50</xdr:col>
      <xdr:colOff>19051</xdr:colOff>
      <xdr:row>24</xdr:row>
      <xdr:rowOff>99872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0700" y="1466849"/>
          <a:ext cx="7753351" cy="3300273"/>
        </a:xfrm>
        <a:prstGeom prst="rect">
          <a:avLst/>
        </a:prstGeom>
      </xdr:spPr>
    </xdr:pic>
    <xdr:clientData/>
  </xdr:twoCellAnchor>
  <xdr:twoCellAnchor>
    <xdr:from>
      <xdr:col>32</xdr:col>
      <xdr:colOff>374172</xdr:colOff>
      <xdr:row>126</xdr:row>
      <xdr:rowOff>136218</xdr:rowOff>
    </xdr:from>
    <xdr:to>
      <xdr:col>46</xdr:col>
      <xdr:colOff>503647</xdr:colOff>
      <xdr:row>152</xdr:row>
      <xdr:rowOff>188172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80098</xdr:colOff>
      <xdr:row>126</xdr:row>
      <xdr:rowOff>75766</xdr:rowOff>
    </xdr:from>
    <xdr:to>
      <xdr:col>34</xdr:col>
      <xdr:colOff>2578</xdr:colOff>
      <xdr:row>154</xdr:row>
      <xdr:rowOff>35357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0000000-0008-0000-0100-000007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394938</xdr:colOff>
      <xdr:row>126</xdr:row>
      <xdr:rowOff>60614</xdr:rowOff>
    </xdr:from>
    <xdr:to>
      <xdr:col>21</xdr:col>
      <xdr:colOff>355988</xdr:colOff>
      <xdr:row>152</xdr:row>
      <xdr:rowOff>164522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00000000-0008-0000-0100-000008000000}"/>
            </a:ext>
            <a:ext uri="{147F2762-F138-4A5C-976F-8EAC2B608ADB}">
              <a16:predDERef xmlns:a16="http://schemas.microsoft.com/office/drawing/2014/main" pre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958995</xdr:colOff>
      <xdr:row>126</xdr:row>
      <xdr:rowOff>133202</xdr:rowOff>
    </xdr:from>
    <xdr:to>
      <xdr:col>10</xdr:col>
      <xdr:colOff>493300</xdr:colOff>
      <xdr:row>154</xdr:row>
      <xdr:rowOff>136995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00000000-0008-0000-0100-000009000000}"/>
            </a:ext>
            <a:ext uri="{147F2762-F138-4A5C-976F-8EAC2B608ADB}">
              <a16:predDERef xmlns:a16="http://schemas.microsoft.com/office/drawing/2014/main" pre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471207</xdr:colOff>
      <xdr:row>80</xdr:row>
      <xdr:rowOff>70317</xdr:rowOff>
    </xdr:from>
    <xdr:to>
      <xdr:col>10</xdr:col>
      <xdr:colOff>204787</xdr:colOff>
      <xdr:row>99</xdr:row>
      <xdr:rowOff>56030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B47407C-3807-440B-817F-C6B36EB78BCB}"/>
            </a:ext>
            <a:ext uri="{147F2762-F138-4A5C-976F-8EAC2B608ADB}">
              <a16:predDERef xmlns:a16="http://schemas.microsoft.com/office/drawing/2014/main" pre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242888</xdr:colOff>
      <xdr:row>80</xdr:row>
      <xdr:rowOff>79842</xdr:rowOff>
    </xdr:from>
    <xdr:to>
      <xdr:col>22</xdr:col>
      <xdr:colOff>219075</xdr:colOff>
      <xdr:row>99</xdr:row>
      <xdr:rowOff>65555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85E9C3A3-68E2-4F78-967A-3C886085ADB7}"/>
            </a:ext>
            <a:ext uri="{147F2762-F138-4A5C-976F-8EAC2B608ADB}">
              <a16:predDERef xmlns:a16="http://schemas.microsoft.com/office/drawing/2014/main" pred="{4B47407C-3807-440B-817F-C6B36EB78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528357</xdr:colOff>
      <xdr:row>101</xdr:row>
      <xdr:rowOff>35681</xdr:rowOff>
    </xdr:from>
    <xdr:to>
      <xdr:col>10</xdr:col>
      <xdr:colOff>300037</xdr:colOff>
      <xdr:row>120</xdr:row>
      <xdr:rowOff>21394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6BF0BD86-18A2-AC66-8508-D97F60E081AD}"/>
            </a:ext>
            <a:ext uri="{147F2762-F138-4A5C-976F-8EAC2B608ADB}">
              <a16:predDERef xmlns:a16="http://schemas.microsoft.com/office/drawing/2014/main" pred="{85E9C3A3-68E2-4F78-967A-3C886085A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338138</xdr:colOff>
      <xdr:row>101</xdr:row>
      <xdr:rowOff>45206</xdr:rowOff>
    </xdr:from>
    <xdr:to>
      <xdr:col>22</xdr:col>
      <xdr:colOff>314325</xdr:colOff>
      <xdr:row>120</xdr:row>
      <xdr:rowOff>30919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376A8CD8-F653-40B8-CD57-103AA3B52E0A}"/>
            </a:ext>
            <a:ext uri="{147F2762-F138-4A5C-976F-8EAC2B608ADB}">
              <a16:predDERef xmlns:a16="http://schemas.microsoft.com/office/drawing/2014/main" pred="{6BF0BD86-18A2-AC66-8508-D97F60E08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372835</xdr:colOff>
      <xdr:row>33</xdr:row>
      <xdr:rowOff>44904</xdr:rowOff>
    </xdr:from>
    <xdr:to>
      <xdr:col>18</xdr:col>
      <xdr:colOff>292634</xdr:colOff>
      <xdr:row>49</xdr:row>
      <xdr:rowOff>102705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B148EE1C-0F86-4BC1-8126-514487E37876}"/>
            </a:ext>
            <a:ext uri="{147F2762-F138-4A5C-976F-8EAC2B608ADB}">
              <a16:predDERef xmlns:a16="http://schemas.microsoft.com/office/drawing/2014/main" pred="{376A8CD8-F653-40B8-CD57-103AA3B52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412296</xdr:colOff>
      <xdr:row>53</xdr:row>
      <xdr:rowOff>72118</xdr:rowOff>
    </xdr:from>
    <xdr:to>
      <xdr:col>18</xdr:col>
      <xdr:colOff>332095</xdr:colOff>
      <xdr:row>69</xdr:row>
      <xdr:rowOff>135362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C4256F8C-B860-43FB-8CAC-768B30071E28}"/>
            </a:ext>
            <a:ext uri="{147F2762-F138-4A5C-976F-8EAC2B608ADB}">
              <a16:predDERef xmlns:a16="http://schemas.microsoft.com/office/drawing/2014/main" pred="{B148EE1C-0F86-4BC1-8126-514487E37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366137</xdr:colOff>
      <xdr:row>33</xdr:row>
      <xdr:rowOff>37682</xdr:rowOff>
    </xdr:from>
    <xdr:to>
      <xdr:col>25</xdr:col>
      <xdr:colOff>137617</xdr:colOff>
      <xdr:row>49</xdr:row>
      <xdr:rowOff>95483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EA739769-5A61-4293-A659-B36705FE0415}"/>
            </a:ext>
            <a:ext uri="{147F2762-F138-4A5C-976F-8EAC2B608ADB}">
              <a16:predDERef xmlns:a16="http://schemas.microsoft.com/office/drawing/2014/main" pred="{C4256F8C-B860-43FB-8CAC-768B30071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429632</xdr:colOff>
      <xdr:row>53</xdr:row>
      <xdr:rowOff>42243</xdr:rowOff>
    </xdr:from>
    <xdr:to>
      <xdr:col>25</xdr:col>
      <xdr:colOff>201112</xdr:colOff>
      <xdr:row>69</xdr:row>
      <xdr:rowOff>105487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C5C49341-169F-4937-92E3-CB5C0FA7D134}"/>
            </a:ext>
            <a:ext uri="{147F2762-F138-4A5C-976F-8EAC2B608ADB}">
              <a16:predDERef xmlns:a16="http://schemas.microsoft.com/office/drawing/2014/main" pred="{EA739769-5A61-4293-A659-B36705FE0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27</xdr:col>
      <xdr:colOff>8658</xdr:colOff>
      <xdr:row>32</xdr:row>
      <xdr:rowOff>117763</xdr:rowOff>
    </xdr:from>
    <xdr:to>
      <xdr:col>34</xdr:col>
      <xdr:colOff>337703</xdr:colOff>
      <xdr:row>47</xdr:row>
      <xdr:rowOff>3463</xdr:rowOff>
    </xdr:to>
    <xdr:graphicFrame macro="">
      <xdr:nvGraphicFramePr>
        <xdr:cNvPr id="19" name="Graf 18">
          <a:extLst>
            <a:ext uri="{FF2B5EF4-FFF2-40B4-BE49-F238E27FC236}">
              <a16:creationId xmlns:a16="http://schemas.microsoft.com/office/drawing/2014/main" id="{84522C9E-46AB-9A24-9E4D-684269ECB53D}"/>
            </a:ext>
            <a:ext uri="{147F2762-F138-4A5C-976F-8EAC2B608ADB}">
              <a16:predDERef xmlns:a16="http://schemas.microsoft.com/office/drawing/2014/main" pred="{C5C49341-169F-4937-92E3-CB5C0FA7D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0.10711</cdr:x>
      <cdr:y>0.24466</cdr:y>
    </cdr:from>
    <cdr:to>
      <cdr:x>0.20065</cdr:x>
      <cdr:y>0.31962</cdr:y>
    </cdr:to>
    <cdr:sp macro="" textlink="">
      <cdr:nvSpPr>
        <cdr:cNvPr id="3" name="TextovéPole 28">
          <a:extLst xmlns:a="http://schemas.openxmlformats.org/drawingml/2006/main">
            <a:ext uri="{FF2B5EF4-FFF2-40B4-BE49-F238E27FC236}">
              <a16:creationId xmlns:a16="http://schemas.microsoft.com/office/drawing/2014/main" id="{E624F1F0-078B-3E8C-CD68-BD1D758442E1}"/>
            </a:ext>
          </a:extLst>
        </cdr:cNvPr>
        <cdr:cNvSpPr txBox="1"/>
      </cdr:nvSpPr>
      <cdr:spPr>
        <a:xfrm xmlns:a="http://schemas.openxmlformats.org/drawingml/2006/main">
          <a:off x="493078" y="717332"/>
          <a:ext cx="430599" cy="21977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>
              <a:solidFill>
                <a:schemeClr val="tx1"/>
              </a:solidFill>
            </a:rPr>
            <a:t>Male</a:t>
          </a:r>
          <a:endParaRPr lang="cs-CZ" sz="10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0.0701</cdr:x>
      <cdr:y>0.20756</cdr:y>
    </cdr:from>
    <cdr:to>
      <cdr:x>0.13531</cdr:x>
      <cdr:y>0.31671</cdr:y>
    </cdr:to>
    <cdr:sp macro="" textlink="">
      <cdr:nvSpPr>
        <cdr:cNvPr id="4" name="TextovéPole 1">
          <a:extLst xmlns:a="http://schemas.openxmlformats.org/drawingml/2006/main">
            <a:ext uri="{FF2B5EF4-FFF2-40B4-BE49-F238E27FC236}">
              <a16:creationId xmlns:a16="http://schemas.microsoft.com/office/drawing/2014/main" id="{C5E85F33-44C9-19FE-A637-D1E00CBC15F5}"/>
            </a:ext>
          </a:extLst>
        </cdr:cNvPr>
        <cdr:cNvSpPr txBox="1"/>
      </cdr:nvSpPr>
      <cdr:spPr>
        <a:xfrm xmlns:a="http://schemas.openxmlformats.org/drawingml/2006/main">
          <a:off x="322674" y="608542"/>
          <a:ext cx="300187" cy="32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▪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  <cdr:relSizeAnchor xmlns:cdr="http://schemas.openxmlformats.org/drawingml/2006/chartDrawing">
    <cdr:from>
      <cdr:x>0.72762</cdr:x>
      <cdr:y>0.51676</cdr:y>
    </cdr:from>
    <cdr:to>
      <cdr:x>0.79317</cdr:x>
      <cdr:y>0.62591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FE8EE0B5-BED6-F503-9117-4C56F149F068}"/>
            </a:ext>
          </a:extLst>
        </cdr:cNvPr>
        <cdr:cNvSpPr txBox="1"/>
      </cdr:nvSpPr>
      <cdr:spPr>
        <a:xfrm xmlns:a="http://schemas.openxmlformats.org/drawingml/2006/main">
          <a:off x="3349515" y="1515124"/>
          <a:ext cx="301752" cy="320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*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0.20341</cdr:x>
      <cdr:y>0.69563</cdr:y>
    </cdr:from>
    <cdr:to>
      <cdr:x>0.26894</cdr:x>
      <cdr:y>0.80478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81F8EDCD-DB04-E6EB-A58D-BA15C3402D28}"/>
            </a:ext>
          </a:extLst>
        </cdr:cNvPr>
        <cdr:cNvSpPr txBox="1"/>
      </cdr:nvSpPr>
      <cdr:spPr>
        <a:xfrm xmlns:a="http://schemas.openxmlformats.org/drawingml/2006/main">
          <a:off x="941713" y="2039551"/>
          <a:ext cx="303379" cy="320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*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  <cdr:relSizeAnchor xmlns:cdr="http://schemas.openxmlformats.org/drawingml/2006/chartDrawing">
    <cdr:from>
      <cdr:x>0.14626</cdr:x>
      <cdr:y>0.68236</cdr:y>
    </cdr:from>
    <cdr:to>
      <cdr:x>0.26489</cdr:x>
      <cdr:y>0.89987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B9A42CDE-FC51-F92B-1F56-FFDF6E9673D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7146" y="2000637"/>
          <a:ext cx="549213" cy="6377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0.22846</cdr:x>
      <cdr:y>0.48317</cdr:y>
    </cdr:from>
    <cdr:to>
      <cdr:x>0.34709</cdr:x>
      <cdr:y>0.70068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66231627-85DE-C34F-A57E-766C45DBDE3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57685" y="1416637"/>
          <a:ext cx="549213" cy="637728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0.27363</cdr:x>
      <cdr:y>0.49033</cdr:y>
    </cdr:from>
    <cdr:to>
      <cdr:x>0.33916</cdr:x>
      <cdr:y>0.59948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FE8EE0B5-BED6-F503-9117-4C56F149F068}"/>
            </a:ext>
          </a:extLst>
        </cdr:cNvPr>
        <cdr:cNvSpPr txBox="1"/>
      </cdr:nvSpPr>
      <cdr:spPr>
        <a:xfrm xmlns:a="http://schemas.openxmlformats.org/drawingml/2006/main">
          <a:off x="1266799" y="1437622"/>
          <a:ext cx="303380" cy="320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*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245052</xdr:colOff>
      <xdr:row>102</xdr:row>
      <xdr:rowOff>62807</xdr:rowOff>
    </xdr:from>
    <xdr:to>
      <xdr:col>28</xdr:col>
      <xdr:colOff>419965</xdr:colOff>
      <xdr:row>123</xdr:row>
      <xdr:rowOff>130753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6552" y="19589057"/>
          <a:ext cx="8747414" cy="4068446"/>
        </a:xfrm>
        <a:prstGeom prst="rect">
          <a:avLst/>
        </a:prstGeom>
      </xdr:spPr>
    </xdr:pic>
    <xdr:clientData/>
  </xdr:twoCellAnchor>
  <xdr:twoCellAnchor>
    <xdr:from>
      <xdr:col>1</xdr:col>
      <xdr:colOff>1054677</xdr:colOff>
      <xdr:row>208</xdr:row>
      <xdr:rowOff>159328</xdr:rowOff>
    </xdr:from>
    <xdr:to>
      <xdr:col>16</xdr:col>
      <xdr:colOff>66557</xdr:colOff>
      <xdr:row>239</xdr:row>
      <xdr:rowOff>155421</xdr:rowOff>
    </xdr:to>
    <xdr:grpSp>
      <xdr:nvGrpSpPr>
        <xdr:cNvPr id="18" name="Skupina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pSpPr/>
      </xdr:nvGrpSpPr>
      <xdr:grpSpPr>
        <a:xfrm>
          <a:off x="1664277" y="37906903"/>
          <a:ext cx="12613580" cy="5606318"/>
          <a:chOff x="1228725" y="8105775"/>
          <a:chExt cx="8723916" cy="5901593"/>
        </a:xfrm>
      </xdr:grpSpPr>
      <xdr:pic>
        <xdr:nvPicPr>
          <xdr:cNvPr id="5" name="Obrázek 4" descr="Obsah obrázku text, snímek obrazovky, řada/pruh, Vykreslený graf&#10;&#10;Popis byl vytvořen automaticky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50000"/>
                    </a14:imgEffect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8725" y="8626071"/>
            <a:ext cx="8723916" cy="4662109"/>
          </a:xfrm>
          <a:prstGeom prst="rect">
            <a:avLst/>
          </a:prstGeom>
        </xdr:spPr>
      </xdr:pic>
      <xdr:sp macro="" textlink="">
        <xdr:nvSpPr>
          <xdr:cNvPr id="6" name="Zástupný obsah 2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 txBox="1">
            <a:spLocks/>
          </xdr:cNvSpPr>
        </xdr:nvSpPr>
        <xdr:spPr>
          <a:xfrm>
            <a:off x="1610241" y="8105775"/>
            <a:ext cx="7665831" cy="705091"/>
          </a:xfrm>
          <a:prstGeom prst="rect">
            <a:avLst/>
          </a:prstGeom>
        </xdr:spPr>
        <xdr:txBody>
          <a:bodyPr vert="horz" wrap="square" lIns="91440" tIns="45720" rIns="91440" bIns="45720" rtlCol="0">
            <a:normAutofit/>
          </a:bodyPr>
          <a:lstStyle>
            <a:defPPr>
              <a:defRPr lang="cs-CZ"/>
            </a:defPPr>
            <a:lvl1pPr marL="0" indent="0" algn="ctr" defTabSz="2263236" rtl="0" eaLnBrk="1" latinLnBrk="0" hangingPunct="1">
              <a:lnSpc>
                <a:spcPct val="90000"/>
              </a:lnSpc>
              <a:spcBef>
                <a:spcPts val="2475"/>
              </a:spcBef>
              <a:buFont typeface="Arial" panose="020B0604020202020204" pitchFamily="34" charset="0"/>
              <a:buNone/>
              <a:defRPr sz="594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131617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9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26323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455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39485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526470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658088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78970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92132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9052941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5b. </a:t>
            </a:r>
            <a:r>
              <a:rPr lang="en-US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„Maker“</a:t>
            </a:r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Esterase Candidate </a:t>
            </a:r>
            <a:r>
              <a:rPr lang="en-US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in </a:t>
            </a:r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endParaRPr lang="en-US" sz="3000" b="1">
              <a:solidFill>
                <a:srgbClr val="406732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7" name="Obdélník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 rot="5400000">
            <a:off x="5241545" y="4963647"/>
            <a:ext cx="334583" cy="7558544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Zástupný obsah 2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 txBox="1">
            <a:spLocks/>
          </xdr:cNvSpPr>
        </xdr:nvSpPr>
        <xdr:spPr>
          <a:xfrm rot="18398204">
            <a:off x="7897970" y="12398997"/>
            <a:ext cx="1737873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9" name="Zástupný obsah 2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 txBox="1">
            <a:spLocks/>
          </xdr:cNvSpPr>
        </xdr:nvSpPr>
        <xdr:spPr>
          <a:xfrm rot="18382834">
            <a:off x="844052" y="12590380"/>
            <a:ext cx="2358299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Immature 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F Midgut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0" name="Zástupný obsah 2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>
            <a:spLocks/>
          </xdr:cNvSpPr>
        </xdr:nvSpPr>
        <xdr:spPr>
          <a:xfrm rot="18423642">
            <a:off x="3364889" y="12367668"/>
            <a:ext cx="2007315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Fed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1" name="Zástupný obsah 2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 txBox="1">
            <a:spLocks/>
          </xdr:cNvSpPr>
        </xdr:nvSpPr>
        <xdr:spPr>
          <a:xfrm rot="18371227">
            <a:off x="5228165" y="12580778"/>
            <a:ext cx="2358299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Immature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2" name="Zástupný obsah 2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 txBox="1">
            <a:spLocks/>
          </xdr:cNvSpPr>
        </xdr:nvSpPr>
        <xdr:spPr>
          <a:xfrm rot="18395506">
            <a:off x="6830941" y="12389948"/>
            <a:ext cx="1687726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3" name="Zástupný obsah 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 txBox="1">
            <a:spLocks/>
          </xdr:cNvSpPr>
        </xdr:nvSpPr>
        <xdr:spPr>
          <a:xfrm rot="18417394">
            <a:off x="4683266" y="12557792"/>
            <a:ext cx="1697434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Fed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4" name="Zástupný obsah 2">
            <a:extLst>
              <a:ext uri="{FF2B5EF4-FFF2-40B4-BE49-F238E27FC236}">
                <a16:creationId xmlns:a16="http://schemas.microsoft.com/office/drawing/2014/main" id="{00000000-0008-0000-0A00-00000E000000}"/>
              </a:ext>
            </a:extLst>
          </xdr:cNvPr>
          <xdr:cNvSpPr txBox="1">
            <a:spLocks/>
          </xdr:cNvSpPr>
        </xdr:nvSpPr>
        <xdr:spPr>
          <a:xfrm rot="18423879">
            <a:off x="2280404" y="12357371"/>
            <a:ext cx="1998312" cy="513439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F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5" name="Zástupný obsah 2"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SpPr txBox="1">
            <a:spLocks/>
          </xdr:cNvSpPr>
        </xdr:nvSpPr>
        <xdr:spPr>
          <a:xfrm>
            <a:off x="3519857" y="8571091"/>
            <a:ext cx="4223166" cy="342076"/>
          </a:xfrm>
          <a:prstGeom prst="rect">
            <a:avLst/>
          </a:prstGeom>
        </xdr:spPr>
        <xdr:txBody>
          <a:bodyPr vert="horz" wrap="square" lIns="91440" tIns="45720" rIns="91440" bIns="45720" rtlCol="0">
            <a:normAutofit/>
          </a:bodyPr>
          <a:lstStyle>
            <a:defPPr>
              <a:defRPr lang="cs-CZ"/>
            </a:defPPr>
            <a:lvl1pPr marL="0" indent="0" algn="ctr" defTabSz="2263236" rtl="0" eaLnBrk="1" latinLnBrk="0" hangingPunct="1">
              <a:lnSpc>
                <a:spcPct val="90000"/>
              </a:lnSpc>
              <a:spcBef>
                <a:spcPts val="2475"/>
              </a:spcBef>
              <a:buFont typeface="Arial" panose="020B0604020202020204" pitchFamily="34" charset="0"/>
              <a:buNone/>
              <a:defRPr sz="594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131617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9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26323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455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39485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526470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658088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78970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92132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9052941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400" b="1">
                <a:solidFill>
                  <a:schemeClr val="tx1">
                    <a:lumMod val="95000"/>
                    <a:lumOff val="5000"/>
                  </a:scheme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Esterase-NODE_109299_JADDUH010000028.1</a:t>
            </a:r>
            <a:endParaRPr lang="en-US" sz="1400" b="1">
              <a:solidFill>
                <a:schemeClr val="tx1">
                  <a:lumMod val="95000"/>
                  <a:lumOff val="5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6" name="Rovnoramenný trojúhelník 15"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SpPr/>
        </xdr:nvSpPr>
        <xdr:spPr>
          <a:xfrm>
            <a:off x="2295835" y="8697928"/>
            <a:ext cx="278876" cy="293313"/>
          </a:xfrm>
          <a:prstGeom prst="triangle">
            <a:avLst/>
          </a:prstGeom>
          <a:solidFill>
            <a:schemeClr val="tx1"/>
          </a:solidFill>
          <a:ln>
            <a:solidFill>
              <a:schemeClr val="bg2">
                <a:lumMod val="1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7" name="Rovnoramenný trojúhelník 16">
            <a:extLst>
              <a:ext uri="{FF2B5EF4-FFF2-40B4-BE49-F238E27FC236}">
                <a16:creationId xmlns:a16="http://schemas.microsoft.com/office/drawing/2014/main" id="{00000000-0008-0000-0A00-000011000000}"/>
              </a:ext>
            </a:extLst>
          </xdr:cNvPr>
          <xdr:cNvSpPr/>
        </xdr:nvSpPr>
        <xdr:spPr>
          <a:xfrm>
            <a:off x="6757356" y="8954680"/>
            <a:ext cx="278876" cy="293313"/>
          </a:xfrm>
          <a:prstGeom prst="triangle">
            <a:avLst/>
          </a:prstGeom>
          <a:solidFill>
            <a:schemeClr val="tx1"/>
          </a:solidFill>
          <a:ln>
            <a:solidFill>
              <a:schemeClr val="bg2">
                <a:lumMod val="1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5726</xdr:colOff>
      <xdr:row>128</xdr:row>
      <xdr:rowOff>29280</xdr:rowOff>
    </xdr:from>
    <xdr:to>
      <xdr:col>25</xdr:col>
      <xdr:colOff>96235</xdr:colOff>
      <xdr:row>154</xdr:row>
      <xdr:rowOff>81234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A00-000002000000}"/>
            </a:ext>
            <a:ext uri="{147F2762-F138-4A5C-976F-8EAC2B608ADB}">
              <a16:predDERef xmlns:a16="http://schemas.microsoft.com/office/drawing/2014/main" pred="{00000000-0008-0000-0A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1016577</xdr:colOff>
      <xdr:row>127</xdr:row>
      <xdr:rowOff>159328</xdr:rowOff>
    </xdr:from>
    <xdr:to>
      <xdr:col>12</xdr:col>
      <xdr:colOff>208230</xdr:colOff>
      <xdr:row>155</xdr:row>
      <xdr:rowOff>118919</xdr:rowOff>
    </xdr:to>
    <xdr:graphicFrame macro="">
      <xdr:nvGraphicFramePr>
        <xdr:cNvPr id="19" name="Chart 8">
          <a:extLst>
            <a:ext uri="{FF2B5EF4-FFF2-40B4-BE49-F238E27FC236}">
              <a16:creationId xmlns:a16="http://schemas.microsoft.com/office/drawing/2014/main" id="{00000000-0008-0000-0A00-000013000000}"/>
            </a:ext>
            <a:ext uri="{147F2762-F138-4A5C-976F-8EAC2B608ADB}">
              <a16:predDERef xmlns:a16="http://schemas.microsoft.com/office/drawing/2014/main" pre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220457</xdr:colOff>
      <xdr:row>161</xdr:row>
      <xdr:rowOff>45028</xdr:rowOff>
    </xdr:from>
    <xdr:to>
      <xdr:col>23</xdr:col>
      <xdr:colOff>130418</xdr:colOff>
      <xdr:row>187</xdr:row>
      <xdr:rowOff>148936</xdr:rowOff>
    </xdr:to>
    <xdr:graphicFrame macro="">
      <xdr:nvGraphicFramePr>
        <xdr:cNvPr id="20" name="Chart 5">
          <a:extLst>
            <a:ext uri="{FF2B5EF4-FFF2-40B4-BE49-F238E27FC236}">
              <a16:creationId xmlns:a16="http://schemas.microsoft.com/office/drawing/2014/main" id="{00000000-0008-0000-0A00-000014000000}"/>
            </a:ext>
            <a:ext uri="{147F2762-F138-4A5C-976F-8EAC2B608ADB}">
              <a16:predDERef xmlns:a16="http://schemas.microsoft.com/office/drawing/2014/main" pred="{00000000-0008-0000-0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102177</xdr:colOff>
      <xdr:row>161</xdr:row>
      <xdr:rowOff>117616</xdr:rowOff>
    </xdr:from>
    <xdr:to>
      <xdr:col>12</xdr:col>
      <xdr:colOff>353455</xdr:colOff>
      <xdr:row>189</xdr:row>
      <xdr:rowOff>121409</xdr:rowOff>
    </xdr:to>
    <xdr:graphicFrame macro="">
      <xdr:nvGraphicFramePr>
        <xdr:cNvPr id="21" name="Chart 7">
          <a:extLst>
            <a:ext uri="{FF2B5EF4-FFF2-40B4-BE49-F238E27FC236}">
              <a16:creationId xmlns:a16="http://schemas.microsoft.com/office/drawing/2014/main" id="{00000000-0008-0000-0A00-000015000000}"/>
            </a:ext>
            <a:ext uri="{147F2762-F138-4A5C-976F-8EAC2B608ADB}">
              <a16:predDERef xmlns:a16="http://schemas.microsoft.com/office/drawing/2014/main" pred="{00000000-0008-0000-0A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711777</xdr:colOff>
      <xdr:row>102</xdr:row>
      <xdr:rowOff>111703</xdr:rowOff>
    </xdr:from>
    <xdr:to>
      <xdr:col>12</xdr:col>
      <xdr:colOff>429491</xdr:colOff>
      <xdr:row>123</xdr:row>
      <xdr:rowOff>54553</xdr:rowOff>
    </xdr:to>
    <xdr:graphicFrame macro="">
      <xdr:nvGraphicFramePr>
        <xdr:cNvPr id="22" name="Graf 21">
          <a:extLst>
            <a:ext uri="{FF2B5EF4-FFF2-40B4-BE49-F238E27FC236}">
              <a16:creationId xmlns:a16="http://schemas.microsoft.com/office/drawing/2014/main" id="{147638B3-C552-49E3-9786-B488A4C45812}"/>
            </a:ext>
            <a:ext uri="{147F2762-F138-4A5C-976F-8EAC2B608ADB}">
              <a16:predDERef xmlns:a16="http://schemas.microsoft.com/office/drawing/2014/main" pred="{00000000-0008-0000-0A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857250</xdr:colOff>
      <xdr:row>75</xdr:row>
      <xdr:rowOff>152400</xdr:rowOff>
    </xdr:from>
    <xdr:to>
      <xdr:col>13</xdr:col>
      <xdr:colOff>3464</xdr:colOff>
      <xdr:row>96</xdr:row>
      <xdr:rowOff>95250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2682718-5214-4624-A501-BE286FF0586E}"/>
            </a:ext>
            <a:ext uri="{147F2762-F138-4A5C-976F-8EAC2B608ADB}">
              <a16:predDERef xmlns:a16="http://schemas.microsoft.com/office/drawing/2014/main" pred="{147638B3-C552-49E3-9786-B488A4C45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361950</xdr:colOff>
      <xdr:row>76</xdr:row>
      <xdr:rowOff>76200</xdr:rowOff>
    </xdr:from>
    <xdr:to>
      <xdr:col>26</xdr:col>
      <xdr:colOff>232064</xdr:colOff>
      <xdr:row>97</xdr:row>
      <xdr:rowOff>19050</xdr:rowOff>
    </xdr:to>
    <xdr:graphicFrame macro="">
      <xdr:nvGraphicFramePr>
        <xdr:cNvPr id="23" name="Graf 22">
          <a:extLst>
            <a:ext uri="{FF2B5EF4-FFF2-40B4-BE49-F238E27FC236}">
              <a16:creationId xmlns:a16="http://schemas.microsoft.com/office/drawing/2014/main" id="{EFF37405-87CB-4D96-B94A-01509028990F}"/>
            </a:ext>
            <a:ext uri="{147F2762-F138-4A5C-976F-8EAC2B608ADB}">
              <a16:predDERef xmlns:a16="http://schemas.microsoft.com/office/drawing/2014/main" pred="{72682718-5214-4624-A501-BE286FF05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93594</xdr:colOff>
      <xdr:row>15</xdr:row>
      <xdr:rowOff>48452</xdr:rowOff>
    </xdr:from>
    <xdr:to>
      <xdr:col>25</xdr:col>
      <xdr:colOff>375203</xdr:colOff>
      <xdr:row>31</xdr:row>
      <xdr:rowOff>111696</xdr:rowOff>
    </xdr:to>
    <xdr:graphicFrame macro="">
      <xdr:nvGraphicFramePr>
        <xdr:cNvPr id="24" name="Graf 23">
          <a:extLst>
            <a:ext uri="{FF2B5EF4-FFF2-40B4-BE49-F238E27FC236}">
              <a16:creationId xmlns:a16="http://schemas.microsoft.com/office/drawing/2014/main" id="{5BC5B6B1-B805-B677-3CBF-4A6FDAD15C64}"/>
            </a:ext>
            <a:ext uri="{147F2762-F138-4A5C-976F-8EAC2B608ADB}">
              <a16:predDERef xmlns:a16="http://schemas.microsoft.com/office/drawing/2014/main" pred="{EFF37405-87CB-4D96-B94A-015090289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16808</xdr:colOff>
      <xdr:row>33</xdr:row>
      <xdr:rowOff>21851</xdr:rowOff>
    </xdr:from>
    <xdr:to>
      <xdr:col>25</xdr:col>
      <xdr:colOff>298418</xdr:colOff>
      <xdr:row>49</xdr:row>
      <xdr:rowOff>85095</xdr:rowOff>
    </xdr:to>
    <xdr:graphicFrame macro="">
      <xdr:nvGraphicFramePr>
        <xdr:cNvPr id="27" name="Graf 26">
          <a:extLst>
            <a:ext uri="{FF2B5EF4-FFF2-40B4-BE49-F238E27FC236}">
              <a16:creationId xmlns:a16="http://schemas.microsoft.com/office/drawing/2014/main" id="{51967A51-F7B8-4590-9533-CB23B3206353}"/>
            </a:ext>
            <a:ext uri="{147F2762-F138-4A5C-976F-8EAC2B608ADB}">
              <a16:predDERef xmlns:a16="http://schemas.microsoft.com/office/drawing/2014/main" pred="{5BC5B6B1-B805-B677-3CBF-4A6FDAD15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30224</xdr:colOff>
      <xdr:row>15</xdr:row>
      <xdr:rowOff>22748</xdr:rowOff>
    </xdr:from>
    <xdr:to>
      <xdr:col>18</xdr:col>
      <xdr:colOff>120281</xdr:colOff>
      <xdr:row>31</xdr:row>
      <xdr:rowOff>85992</xdr:rowOff>
    </xdr:to>
    <xdr:graphicFrame macro="">
      <xdr:nvGraphicFramePr>
        <xdr:cNvPr id="28" name="Graf 27">
          <a:extLst>
            <a:ext uri="{FF2B5EF4-FFF2-40B4-BE49-F238E27FC236}">
              <a16:creationId xmlns:a16="http://schemas.microsoft.com/office/drawing/2014/main" id="{F90B6CC9-9E80-4FAD-B56B-EE8C4B0BC8AA}"/>
            </a:ext>
            <a:ext uri="{147F2762-F138-4A5C-976F-8EAC2B608ADB}">
              <a16:predDERef xmlns:a16="http://schemas.microsoft.com/office/drawing/2014/main" pred="{51967A51-F7B8-4590-9533-CB23B3206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23</xdr:col>
      <xdr:colOff>435744</xdr:colOff>
      <xdr:row>36</xdr:row>
      <xdr:rowOff>6558</xdr:rowOff>
    </xdr:from>
    <xdr:ext cx="422552" cy="233205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E624F1F0-078B-3E8C-CD68-BD1D758442E1}"/>
            </a:ext>
          </a:extLst>
        </xdr:cNvPr>
        <xdr:cNvSpPr txBox="1"/>
      </xdr:nvSpPr>
      <xdr:spPr>
        <a:xfrm>
          <a:off x="18230685" y="6976617"/>
          <a:ext cx="4225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900">
              <a:solidFill>
                <a:schemeClr val="tx1"/>
              </a:solidFill>
            </a:rPr>
            <a:t>Male</a:t>
          </a:r>
          <a:endParaRPr lang="cs-CZ" sz="1000">
            <a:solidFill>
              <a:schemeClr val="tx1"/>
            </a:solidFill>
          </a:endParaRPr>
        </a:p>
      </xdr:txBody>
    </xdr:sp>
    <xdr:clientData/>
  </xdr:oneCellAnchor>
  <xdr:twoCellAnchor>
    <xdr:from>
      <xdr:col>11</xdr:col>
      <xdr:colOff>552094</xdr:colOff>
      <xdr:row>33</xdr:row>
      <xdr:rowOff>25114</xdr:rowOff>
    </xdr:from>
    <xdr:to>
      <xdr:col>18</xdr:col>
      <xdr:colOff>57104</xdr:colOff>
      <xdr:row>50</xdr:row>
      <xdr:rowOff>6569</xdr:rowOff>
    </xdr:to>
    <xdr:graphicFrame macro="">
      <xdr:nvGraphicFramePr>
        <xdr:cNvPr id="30" name="Graf 29">
          <a:extLst>
            <a:ext uri="{FF2B5EF4-FFF2-40B4-BE49-F238E27FC236}">
              <a16:creationId xmlns:a16="http://schemas.microsoft.com/office/drawing/2014/main" id="{F68A1D48-BC76-42FD-AA7C-CAA29DC8C4FA}"/>
            </a:ext>
            <a:ext uri="{147F2762-F138-4A5C-976F-8EAC2B608ADB}">
              <a16:predDERef xmlns:a16="http://schemas.microsoft.com/office/drawing/2014/main" pred="{E624F1F0-078B-3E8C-CD68-BD1D75844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312480</xdr:colOff>
      <xdr:row>35</xdr:row>
      <xdr:rowOff>73793</xdr:rowOff>
    </xdr:from>
    <xdr:to>
      <xdr:col>24</xdr:col>
      <xdr:colOff>1976</xdr:colOff>
      <xdr:row>37</xdr:row>
      <xdr:rowOff>32379</xdr:rowOff>
    </xdr:to>
    <xdr:sp macro="" textlink="">
      <xdr:nvSpPr>
        <xdr:cNvPr id="31" name="TextovéPole 1">
          <a:extLst>
            <a:ext uri="{FF2B5EF4-FFF2-40B4-BE49-F238E27FC236}">
              <a16:creationId xmlns:a16="http://schemas.microsoft.com/office/drawing/2014/main" id="{80011F3A-6E6A-0BB4-38A4-3533BDD5A1EB}"/>
            </a:ext>
          </a:extLst>
        </xdr:cNvPr>
        <xdr:cNvSpPr txBox="1"/>
      </xdr:nvSpPr>
      <xdr:spPr>
        <a:xfrm>
          <a:off x="18107421" y="6853352"/>
          <a:ext cx="294614" cy="3395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2450" kern="1200"/>
            <a:t>▪</a:t>
          </a:r>
          <a:endParaRPr lang="cs-CZ" sz="1100" kern="1200"/>
        </a:p>
        <a:p>
          <a:endParaRPr lang="cs-CZ" sz="1100" kern="1200"/>
        </a:p>
      </xdr:txBody>
    </xdr:sp>
    <xdr:clientData/>
  </xdr:twoCellAnchor>
  <xdr:twoCellAnchor>
    <xdr:from>
      <xdr:col>28</xdr:col>
      <xdr:colOff>0</xdr:colOff>
      <xdr:row>15</xdr:row>
      <xdr:rowOff>0</xdr:rowOff>
    </xdr:from>
    <xdr:to>
      <xdr:col>35</xdr:col>
      <xdr:colOff>281610</xdr:colOff>
      <xdr:row>31</xdr:row>
      <xdr:rowOff>63244</xdr:rowOff>
    </xdr:to>
    <xdr:graphicFrame macro="">
      <xdr:nvGraphicFramePr>
        <xdr:cNvPr id="32" name="Graf 31">
          <a:extLst>
            <a:ext uri="{FF2B5EF4-FFF2-40B4-BE49-F238E27FC236}">
              <a16:creationId xmlns:a16="http://schemas.microsoft.com/office/drawing/2014/main" id="{21618E0B-C520-40E2-81C9-5D7C59DD7B8C}"/>
            </a:ext>
            <a:ext uri="{147F2762-F138-4A5C-976F-8EAC2B608ADB}">
              <a16:predDERef xmlns:a16="http://schemas.microsoft.com/office/drawing/2014/main" pred="{80011F3A-6E6A-0BB4-38A4-3533BDD5A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0.76534</cdr:x>
      <cdr:y>0.23243</cdr:y>
    </cdr:from>
    <cdr:to>
      <cdr:x>0.85888</cdr:x>
      <cdr:y>0.30739</cdr:y>
    </cdr:to>
    <cdr:sp macro="" textlink="">
      <cdr:nvSpPr>
        <cdr:cNvPr id="3" name="TextovéPole 28">
          <a:extLst xmlns:a="http://schemas.openxmlformats.org/drawingml/2006/main">
            <a:ext uri="{FF2B5EF4-FFF2-40B4-BE49-F238E27FC236}">
              <a16:creationId xmlns:a16="http://schemas.microsoft.com/office/drawing/2014/main" id="{E624F1F0-078B-3E8C-CD68-BD1D758442E1}"/>
            </a:ext>
          </a:extLst>
        </cdr:cNvPr>
        <cdr:cNvSpPr txBox="1"/>
      </cdr:nvSpPr>
      <cdr:spPr>
        <a:xfrm xmlns:a="http://schemas.openxmlformats.org/drawingml/2006/main">
          <a:off x="3457388" y="723152"/>
          <a:ext cx="422552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>
              <a:solidFill>
                <a:schemeClr val="tx1"/>
              </a:solidFill>
            </a:rPr>
            <a:t>Male</a:t>
          </a:r>
          <a:endParaRPr lang="cs-CZ" sz="10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0.73806</cdr:x>
      <cdr:y>0.18921</cdr:y>
    </cdr:from>
    <cdr:to>
      <cdr:x>0.80327</cdr:x>
      <cdr:y>0.29836</cdr:y>
    </cdr:to>
    <cdr:sp macro="" textlink="">
      <cdr:nvSpPr>
        <cdr:cNvPr id="4" name="TextovéPole 1">
          <a:extLst xmlns:a="http://schemas.openxmlformats.org/drawingml/2006/main">
            <a:ext uri="{FF2B5EF4-FFF2-40B4-BE49-F238E27FC236}">
              <a16:creationId xmlns:a16="http://schemas.microsoft.com/office/drawing/2014/main" id="{C5E85F33-44C9-19FE-A637-D1E00CBC15F5}"/>
            </a:ext>
          </a:extLst>
        </cdr:cNvPr>
        <cdr:cNvSpPr txBox="1"/>
      </cdr:nvSpPr>
      <cdr:spPr>
        <a:xfrm xmlns:a="http://schemas.openxmlformats.org/drawingml/2006/main">
          <a:off x="3334123" y="588683"/>
          <a:ext cx="294614" cy="339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▪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  <cdr:relSizeAnchor xmlns:cdr="http://schemas.openxmlformats.org/drawingml/2006/chartDrawing">
    <cdr:from>
      <cdr:x>0.11543</cdr:x>
      <cdr:y>0.48095</cdr:y>
    </cdr:from>
    <cdr:to>
      <cdr:x>0.23554</cdr:x>
      <cdr:y>0.69846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21447" y="1496359"/>
          <a:ext cx="542591" cy="6767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0.15016</cdr:x>
      <cdr:y>0.48095</cdr:y>
    </cdr:from>
    <cdr:to>
      <cdr:x>0.27027</cdr:x>
      <cdr:y>0.69846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8329" y="1496359"/>
          <a:ext cx="542591" cy="6767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0.18489</cdr:x>
      <cdr:y>0.48095</cdr:y>
    </cdr:from>
    <cdr:to>
      <cdr:x>0.305</cdr:x>
      <cdr:y>0.69846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5212" y="1496359"/>
          <a:ext cx="542591" cy="676715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0.15264</cdr:x>
      <cdr:y>0.71867</cdr:y>
    </cdr:from>
    <cdr:to>
      <cdr:x>0.27275</cdr:x>
      <cdr:y>0.93617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9535" y="2235947"/>
          <a:ext cx="542591" cy="6767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0.12783</cdr:x>
      <cdr:y>0.60341</cdr:y>
    </cdr:from>
    <cdr:to>
      <cdr:x>0.24794</cdr:x>
      <cdr:y>0.82092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77476" y="1877359"/>
          <a:ext cx="542591" cy="6767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0.2345</cdr:x>
      <cdr:y>0.48816</cdr:y>
    </cdr:from>
    <cdr:to>
      <cdr:x>0.35461</cdr:x>
      <cdr:y>0.70566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59329" y="1518771"/>
          <a:ext cx="542591" cy="676715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0.71538</cdr:x>
      <cdr:y>0.48095</cdr:y>
    </cdr:from>
    <cdr:to>
      <cdr:x>0.86121</cdr:x>
      <cdr:y>0.69846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661770" y="1496359"/>
          <a:ext cx="542591" cy="6767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0.67021</cdr:x>
      <cdr:y>0.48095</cdr:y>
    </cdr:from>
    <cdr:to>
      <cdr:x>0.81604</cdr:x>
      <cdr:y>0.69846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493682" y="1496359"/>
          <a:ext cx="542591" cy="6767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0.62503</cdr:x>
      <cdr:y>0.48095</cdr:y>
    </cdr:from>
    <cdr:to>
      <cdr:x>0.77086</cdr:x>
      <cdr:y>0.69846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25594" y="1496359"/>
          <a:ext cx="542591" cy="676715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0.69357</cdr:x>
      <cdr:y>0.46819</cdr:y>
    </cdr:from>
    <cdr:to>
      <cdr:x>0.83862</cdr:x>
      <cdr:y>0.67836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594535" y="1507565"/>
          <a:ext cx="542591" cy="6767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0.65463</cdr:x>
      <cdr:y>0.58304</cdr:y>
    </cdr:from>
    <cdr:to>
      <cdr:x>0.79967</cdr:x>
      <cdr:y>0.7932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448859" y="1877358"/>
          <a:ext cx="542591" cy="6767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0.6726</cdr:x>
      <cdr:y>0.68744</cdr:y>
    </cdr:from>
    <cdr:to>
      <cdr:x>0.81765</cdr:x>
      <cdr:y>0.89761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516094" y="2213536"/>
          <a:ext cx="542591" cy="676715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0.76534</cdr:x>
      <cdr:y>0.23243</cdr:y>
    </cdr:from>
    <cdr:to>
      <cdr:x>0.85888</cdr:x>
      <cdr:y>0.30739</cdr:y>
    </cdr:to>
    <cdr:sp macro="" textlink="">
      <cdr:nvSpPr>
        <cdr:cNvPr id="3" name="TextovéPole 28">
          <a:extLst xmlns:a="http://schemas.openxmlformats.org/drawingml/2006/main">
            <a:ext uri="{FF2B5EF4-FFF2-40B4-BE49-F238E27FC236}">
              <a16:creationId xmlns:a16="http://schemas.microsoft.com/office/drawing/2014/main" id="{E624F1F0-078B-3E8C-CD68-BD1D758442E1}"/>
            </a:ext>
          </a:extLst>
        </cdr:cNvPr>
        <cdr:cNvSpPr txBox="1"/>
      </cdr:nvSpPr>
      <cdr:spPr>
        <a:xfrm xmlns:a="http://schemas.openxmlformats.org/drawingml/2006/main">
          <a:off x="3457388" y="723152"/>
          <a:ext cx="422552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>
              <a:solidFill>
                <a:schemeClr val="tx1"/>
              </a:solidFill>
            </a:rPr>
            <a:t>Male</a:t>
          </a:r>
          <a:endParaRPr lang="cs-CZ" sz="10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0.73806</cdr:x>
      <cdr:y>0.18921</cdr:y>
    </cdr:from>
    <cdr:to>
      <cdr:x>0.80327</cdr:x>
      <cdr:y>0.29836</cdr:y>
    </cdr:to>
    <cdr:sp macro="" textlink="">
      <cdr:nvSpPr>
        <cdr:cNvPr id="4" name="TextovéPole 1">
          <a:extLst xmlns:a="http://schemas.openxmlformats.org/drawingml/2006/main">
            <a:ext uri="{FF2B5EF4-FFF2-40B4-BE49-F238E27FC236}">
              <a16:creationId xmlns:a16="http://schemas.microsoft.com/office/drawing/2014/main" id="{C5E85F33-44C9-19FE-A637-D1E00CBC15F5}"/>
            </a:ext>
          </a:extLst>
        </cdr:cNvPr>
        <cdr:cNvSpPr txBox="1"/>
      </cdr:nvSpPr>
      <cdr:spPr>
        <a:xfrm xmlns:a="http://schemas.openxmlformats.org/drawingml/2006/main">
          <a:off x="3334123" y="588683"/>
          <a:ext cx="294614" cy="339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▪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  <cdr:relSizeAnchor xmlns:cdr="http://schemas.openxmlformats.org/drawingml/2006/chartDrawing">
    <cdr:from>
      <cdr:x>0.11543</cdr:x>
      <cdr:y>0.48095</cdr:y>
    </cdr:from>
    <cdr:to>
      <cdr:x>0.23554</cdr:x>
      <cdr:y>0.69846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21447" y="1496359"/>
          <a:ext cx="542591" cy="6767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0.15016</cdr:x>
      <cdr:y>0.48095</cdr:y>
    </cdr:from>
    <cdr:to>
      <cdr:x>0.27027</cdr:x>
      <cdr:y>0.69846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8329" y="1496359"/>
          <a:ext cx="542591" cy="6767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0.18489</cdr:x>
      <cdr:y>0.48095</cdr:y>
    </cdr:from>
    <cdr:to>
      <cdr:x>0.305</cdr:x>
      <cdr:y>0.69846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AADEC758-ACF4-F8B8-343E-8B385D6DD9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5212" y="1496359"/>
          <a:ext cx="542591" cy="676715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0.10707</cdr:x>
      <cdr:y>0.13627</cdr:y>
    </cdr:from>
    <cdr:to>
      <cdr:x>0.20061</cdr:x>
      <cdr:y>0.21123</cdr:y>
    </cdr:to>
    <cdr:sp macro="" textlink="">
      <cdr:nvSpPr>
        <cdr:cNvPr id="3" name="TextovéPole 28">
          <a:extLst xmlns:a="http://schemas.openxmlformats.org/drawingml/2006/main">
            <a:ext uri="{FF2B5EF4-FFF2-40B4-BE49-F238E27FC236}">
              <a16:creationId xmlns:a16="http://schemas.microsoft.com/office/drawing/2014/main" id="{E624F1F0-078B-3E8C-CD68-BD1D758442E1}"/>
            </a:ext>
          </a:extLst>
        </cdr:cNvPr>
        <cdr:cNvSpPr txBox="1"/>
      </cdr:nvSpPr>
      <cdr:spPr>
        <a:xfrm xmlns:a="http://schemas.openxmlformats.org/drawingml/2006/main">
          <a:off x="495376" y="404056"/>
          <a:ext cx="432774" cy="22226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>
              <a:solidFill>
                <a:schemeClr val="tx1"/>
              </a:solidFill>
            </a:rPr>
            <a:t>Male</a:t>
          </a:r>
          <a:endParaRPr lang="cs-CZ" sz="10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0.07075</cdr:x>
      <cdr:y>0.09324</cdr:y>
    </cdr:from>
    <cdr:to>
      <cdr:x>0.13596</cdr:x>
      <cdr:y>0.20239</cdr:y>
    </cdr:to>
    <cdr:sp macro="" textlink="">
      <cdr:nvSpPr>
        <cdr:cNvPr id="4" name="TextovéPole 1">
          <a:extLst xmlns:a="http://schemas.openxmlformats.org/drawingml/2006/main">
            <a:ext uri="{FF2B5EF4-FFF2-40B4-BE49-F238E27FC236}">
              <a16:creationId xmlns:a16="http://schemas.microsoft.com/office/drawing/2014/main" id="{C5E85F33-44C9-19FE-A637-D1E00CBC15F5}"/>
            </a:ext>
          </a:extLst>
        </cdr:cNvPr>
        <cdr:cNvSpPr txBox="1"/>
      </cdr:nvSpPr>
      <cdr:spPr>
        <a:xfrm xmlns:a="http://schemas.openxmlformats.org/drawingml/2006/main">
          <a:off x="327344" y="276466"/>
          <a:ext cx="301701" cy="3236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▪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  <cdr:relSizeAnchor xmlns:cdr="http://schemas.openxmlformats.org/drawingml/2006/chartDrawing">
    <cdr:from>
      <cdr:x>0.62848</cdr:x>
      <cdr:y>0.34901</cdr:y>
    </cdr:from>
    <cdr:to>
      <cdr:x>0.8263</cdr:x>
      <cdr:y>0.64291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90A4E3D8-64FF-44CC-48B2-49AF01DB1B8E}"/>
            </a:ext>
          </a:extLst>
        </cdr:cNvPr>
        <cdr:cNvSpPr txBox="1"/>
      </cdr:nvSpPr>
      <cdr:spPr>
        <a:xfrm xmlns:a="http://schemas.openxmlformats.org/drawingml/2006/main">
          <a:off x="2905125" y="1085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 sz="1100" kern="12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0.08634</cdr:x>
      <cdr:y>0.2309</cdr:y>
    </cdr:from>
    <cdr:to>
      <cdr:x>0.17988</cdr:x>
      <cdr:y>0.30586</cdr:y>
    </cdr:to>
    <cdr:sp macro="" textlink="">
      <cdr:nvSpPr>
        <cdr:cNvPr id="3" name="TextovéPole 28">
          <a:extLst xmlns:a="http://schemas.openxmlformats.org/drawingml/2006/main">
            <a:ext uri="{FF2B5EF4-FFF2-40B4-BE49-F238E27FC236}">
              <a16:creationId xmlns:a16="http://schemas.microsoft.com/office/drawing/2014/main" id="{E624F1F0-078B-3E8C-CD68-BD1D758442E1}"/>
            </a:ext>
          </a:extLst>
        </cdr:cNvPr>
        <cdr:cNvSpPr txBox="1"/>
      </cdr:nvSpPr>
      <cdr:spPr>
        <a:xfrm xmlns:a="http://schemas.openxmlformats.org/drawingml/2006/main">
          <a:off x="398989" y="690227"/>
          <a:ext cx="432280" cy="22407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>
              <a:solidFill>
                <a:schemeClr val="tx1"/>
              </a:solidFill>
            </a:rPr>
            <a:t>Male</a:t>
          </a:r>
          <a:endParaRPr lang="cs-CZ" sz="10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0.04956</cdr:x>
      <cdr:y>0.19125</cdr:y>
    </cdr:from>
    <cdr:to>
      <cdr:x>0.11477</cdr:x>
      <cdr:y>0.3004</cdr:y>
    </cdr:to>
    <cdr:sp macro="" textlink="">
      <cdr:nvSpPr>
        <cdr:cNvPr id="4" name="TextovéPole 1">
          <a:extLst xmlns:a="http://schemas.openxmlformats.org/drawingml/2006/main">
            <a:ext uri="{FF2B5EF4-FFF2-40B4-BE49-F238E27FC236}">
              <a16:creationId xmlns:a16="http://schemas.microsoft.com/office/drawing/2014/main" id="{C5E85F33-44C9-19FE-A637-D1E00CBC15F5}"/>
            </a:ext>
          </a:extLst>
        </cdr:cNvPr>
        <cdr:cNvSpPr txBox="1"/>
      </cdr:nvSpPr>
      <cdr:spPr>
        <a:xfrm xmlns:a="http://schemas.openxmlformats.org/drawingml/2006/main">
          <a:off x="229052" y="571703"/>
          <a:ext cx="301358" cy="326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▪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  <cdr:relSizeAnchor xmlns:cdr="http://schemas.openxmlformats.org/drawingml/2006/chartDrawing">
    <cdr:from>
      <cdr:x>0.25002</cdr:x>
      <cdr:y>0.5031</cdr:y>
    </cdr:from>
    <cdr:to>
      <cdr:x>0.31523</cdr:x>
      <cdr:y>0.61225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DB530600-6E4C-BAEF-5649-99645993E6B9}"/>
            </a:ext>
          </a:extLst>
        </cdr:cNvPr>
        <cdr:cNvSpPr txBox="1"/>
      </cdr:nvSpPr>
      <cdr:spPr>
        <a:xfrm xmlns:a="http://schemas.openxmlformats.org/drawingml/2006/main">
          <a:off x="1155700" y="1565275"/>
          <a:ext cx="301429" cy="339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*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0.48493</cdr:x>
      <cdr:y>0.49698</cdr:y>
    </cdr:from>
    <cdr:to>
      <cdr:x>0.55014</cdr:x>
      <cdr:y>0.60613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DB530600-6E4C-BAEF-5649-99645993E6B9}"/>
            </a:ext>
          </a:extLst>
        </cdr:cNvPr>
        <cdr:cNvSpPr txBox="1"/>
      </cdr:nvSpPr>
      <cdr:spPr>
        <a:xfrm xmlns:a="http://schemas.openxmlformats.org/drawingml/2006/main">
          <a:off x="2241550" y="1546225"/>
          <a:ext cx="301429" cy="339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*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333375</xdr:colOff>
      <xdr:row>96</xdr:row>
      <xdr:rowOff>152400</xdr:rowOff>
    </xdr:from>
    <xdr:to>
      <xdr:col>27</xdr:col>
      <xdr:colOff>285750</xdr:colOff>
      <xdr:row>116</xdr:row>
      <xdr:rowOff>48929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5475" y="18554700"/>
          <a:ext cx="8486775" cy="3706529"/>
        </a:xfrm>
        <a:prstGeom prst="rect">
          <a:avLst/>
        </a:prstGeom>
      </xdr:spPr>
    </xdr:pic>
    <xdr:clientData/>
  </xdr:twoCellAnchor>
  <xdr:twoCellAnchor>
    <xdr:from>
      <xdr:col>1</xdr:col>
      <xdr:colOff>965488</xdr:colOff>
      <xdr:row>193</xdr:row>
      <xdr:rowOff>123825</xdr:rowOff>
    </xdr:from>
    <xdr:to>
      <xdr:col>17</xdr:col>
      <xdr:colOff>103540</xdr:colOff>
      <xdr:row>224</xdr:row>
      <xdr:rowOff>174197</xdr:rowOff>
    </xdr:to>
    <xdr:grpSp>
      <xdr:nvGrpSpPr>
        <xdr:cNvPr id="22" name="Skupina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GrpSpPr/>
      </xdr:nvGrpSpPr>
      <xdr:grpSpPr>
        <a:xfrm>
          <a:off x="1575088" y="35194875"/>
          <a:ext cx="12225402" cy="5660597"/>
          <a:chOff x="1219200" y="9848850"/>
          <a:chExt cx="9516838" cy="5955872"/>
        </a:xfrm>
      </xdr:grpSpPr>
      <xdr:pic>
        <xdr:nvPicPr>
          <xdr:cNvPr id="5" name="Obrázek 4" descr="Obsah obrázku text, řada/pruh, snímek obrazovky, Vykreslený graf&#10;&#10;Popis byl vytvořen automaticky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50000"/>
                    </a14:imgEffect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0050" y="10574839"/>
            <a:ext cx="8767152" cy="4411320"/>
          </a:xfrm>
          <a:prstGeom prst="rect">
            <a:avLst/>
          </a:prstGeom>
        </xdr:spPr>
      </xdr:pic>
      <xdr:sp macro="" textlink="">
        <xdr:nvSpPr>
          <xdr:cNvPr id="6" name="Obdélník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2040983" y="13838230"/>
            <a:ext cx="8695055" cy="9677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7" name="Zástupný obsah 2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>
            <a:spLocks/>
          </xdr:cNvSpPr>
        </xdr:nvSpPr>
        <xdr:spPr>
          <a:xfrm>
            <a:off x="2613443" y="9848850"/>
            <a:ext cx="7861279" cy="705091"/>
          </a:xfrm>
          <a:prstGeom prst="rect">
            <a:avLst/>
          </a:prstGeom>
        </xdr:spPr>
        <xdr:txBody>
          <a:bodyPr vert="horz" wrap="square" lIns="91440" tIns="45720" rIns="91440" bIns="45720" rtlCol="0">
            <a:normAutofit/>
          </a:bodyPr>
          <a:lstStyle>
            <a:defPPr>
              <a:defRPr lang="cs-CZ"/>
            </a:defPPr>
            <a:lvl1pPr marL="0" indent="0" algn="ctr" defTabSz="2263236" rtl="0" eaLnBrk="1" latinLnBrk="0" hangingPunct="1">
              <a:lnSpc>
                <a:spcPct val="90000"/>
              </a:lnSpc>
              <a:spcBef>
                <a:spcPts val="2475"/>
              </a:spcBef>
              <a:buFont typeface="Arial" panose="020B0604020202020204" pitchFamily="34" charset="0"/>
              <a:buNone/>
              <a:defRPr sz="594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131617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9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26323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455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39485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526470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658088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78970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92132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9052941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5c. </a:t>
            </a:r>
            <a:r>
              <a:rPr lang="en-US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„</a:t>
            </a:r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Breaker</a:t>
            </a:r>
            <a:r>
              <a:rPr lang="en-US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“</a:t>
            </a:r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Esterase Candidate </a:t>
            </a:r>
            <a:r>
              <a:rPr lang="en-US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in </a:t>
            </a:r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endParaRPr lang="en-US" sz="3000" b="1">
              <a:solidFill>
                <a:srgbClr val="406732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8" name="Obdélník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1219200" y="10772455"/>
            <a:ext cx="705092" cy="2408221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9" name="Zástupný obsah 2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>
            <a:spLocks/>
          </xdr:cNvSpPr>
        </xdr:nvSpPr>
        <xdr:spPr>
          <a:xfrm rot="16200000">
            <a:off x="701270" y="11887500"/>
            <a:ext cx="2317876" cy="705091"/>
          </a:xfrm>
          <a:prstGeom prst="rect">
            <a:avLst/>
          </a:prstGeom>
        </xdr:spPr>
        <xdr:txBody>
          <a:bodyPr vert="horz" wrap="square" lIns="91440" tIns="45720" rIns="91440" bIns="45720" rtlCol="0">
            <a:normAutofit/>
          </a:bodyPr>
          <a:lstStyle>
            <a:defPPr>
              <a:defRPr lang="cs-CZ"/>
            </a:defPPr>
            <a:lvl1pPr marL="0" indent="0" algn="ctr" defTabSz="2263236" rtl="0" eaLnBrk="1" latinLnBrk="0" hangingPunct="1">
              <a:lnSpc>
                <a:spcPct val="90000"/>
              </a:lnSpc>
              <a:spcBef>
                <a:spcPts val="2475"/>
              </a:spcBef>
              <a:buFont typeface="Arial" panose="020B0604020202020204" pitchFamily="34" charset="0"/>
              <a:buNone/>
              <a:defRPr sz="594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131617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9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26323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455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39485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526470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658088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78970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92132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9052941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700">
                <a:solidFill>
                  <a:schemeClr val="tx1">
                    <a:lumMod val="95000"/>
                    <a:lumOff val="5000"/>
                  </a:scheme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Log2 Fold Change</a:t>
            </a:r>
            <a:endParaRPr lang="en-US" sz="1700">
              <a:solidFill>
                <a:schemeClr val="tx1">
                  <a:lumMod val="95000"/>
                  <a:lumOff val="5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0" name="Obdélník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/>
        </xdr:nvSpPr>
        <xdr:spPr>
          <a:xfrm rot="5400000">
            <a:off x="5882315" y="6787435"/>
            <a:ext cx="334583" cy="7558544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1" name="Obdélník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/>
        </xdr:nvSpPr>
        <xdr:spPr>
          <a:xfrm>
            <a:off x="10441972" y="10655647"/>
            <a:ext cx="148083" cy="336753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2" name="Zástupný obsah 2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>
            <a:spLocks/>
          </xdr:cNvSpPr>
        </xdr:nvSpPr>
        <xdr:spPr>
          <a:xfrm rot="18382834">
            <a:off x="1397344" y="14400509"/>
            <a:ext cx="2332749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Immature 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F Midgut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3" name="Zástupný obsah 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 txBox="1">
            <a:spLocks/>
          </xdr:cNvSpPr>
        </xdr:nvSpPr>
        <xdr:spPr>
          <a:xfrm rot="18447910">
            <a:off x="3893066" y="14183229"/>
            <a:ext cx="1985566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Fed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4" name="Zástupný obsah 2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 txBox="1">
            <a:spLocks/>
          </xdr:cNvSpPr>
        </xdr:nvSpPr>
        <xdr:spPr>
          <a:xfrm rot="18373933">
            <a:off x="5795549" y="14378381"/>
            <a:ext cx="2332749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Immature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5" name="Zástupný obsah 2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 txBox="1">
            <a:spLocks/>
          </xdr:cNvSpPr>
        </xdr:nvSpPr>
        <xdr:spPr>
          <a:xfrm rot="18390646">
            <a:off x="7375549" y="14204888"/>
            <a:ext cx="1669441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6" name="Zástupný obsah 2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 txBox="1">
            <a:spLocks/>
          </xdr:cNvSpPr>
        </xdr:nvSpPr>
        <xdr:spPr>
          <a:xfrm rot="18420169">
            <a:off x="5156517" y="14197416"/>
            <a:ext cx="1679043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Fed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7" name="Zástupný obsah 2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 txBox="1">
            <a:spLocks/>
          </xdr:cNvSpPr>
        </xdr:nvSpPr>
        <xdr:spPr>
          <a:xfrm rot="18390401">
            <a:off x="8432655" y="14208554"/>
            <a:ext cx="1719044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8" name="Zástupný obsah 2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 txBox="1">
            <a:spLocks/>
          </xdr:cNvSpPr>
        </xdr:nvSpPr>
        <xdr:spPr>
          <a:xfrm rot="18394511">
            <a:off x="2847441" y="14167418"/>
            <a:ext cx="1976662" cy="513439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F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9" name="Zástupný obsah 2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 txBox="1">
            <a:spLocks/>
          </xdr:cNvSpPr>
        </xdr:nvSpPr>
        <xdr:spPr>
          <a:xfrm>
            <a:off x="4685665" y="10328657"/>
            <a:ext cx="4223166" cy="342076"/>
          </a:xfrm>
          <a:prstGeom prst="rect">
            <a:avLst/>
          </a:prstGeom>
        </xdr:spPr>
        <xdr:txBody>
          <a:bodyPr vert="horz" wrap="square" lIns="91440" tIns="45720" rIns="91440" bIns="45720" rtlCol="0">
            <a:normAutofit/>
          </a:bodyPr>
          <a:lstStyle>
            <a:defPPr>
              <a:defRPr lang="cs-CZ"/>
            </a:defPPr>
            <a:lvl1pPr marL="0" indent="0" algn="ctr" defTabSz="2263236" rtl="0" eaLnBrk="1" latinLnBrk="0" hangingPunct="1">
              <a:lnSpc>
                <a:spcPct val="90000"/>
              </a:lnSpc>
              <a:spcBef>
                <a:spcPts val="2475"/>
              </a:spcBef>
              <a:buFont typeface="Arial" panose="020B0604020202020204" pitchFamily="34" charset="0"/>
              <a:buNone/>
              <a:defRPr sz="594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131617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9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26323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455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39485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526470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658088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78970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92132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9052941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400" b="1">
                <a:solidFill>
                  <a:schemeClr val="tx1">
                    <a:lumMod val="95000"/>
                    <a:lumOff val="5000"/>
                  </a:scheme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Esterase-NODE_58466_JADDUH010000003.1</a:t>
            </a:r>
            <a:endParaRPr lang="en-US" sz="1400" b="1">
              <a:solidFill>
                <a:schemeClr val="tx1">
                  <a:lumMod val="95000"/>
                  <a:lumOff val="5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0" name="Rovnoramenný trojúhelník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/>
        </xdr:nvSpPr>
        <xdr:spPr>
          <a:xfrm>
            <a:off x="9474931" y="11531403"/>
            <a:ext cx="278876" cy="293313"/>
          </a:xfrm>
          <a:prstGeom prst="triangle">
            <a:avLst/>
          </a:prstGeom>
          <a:solidFill>
            <a:schemeClr val="tx1"/>
          </a:solidFill>
          <a:ln>
            <a:solidFill>
              <a:schemeClr val="bg2">
                <a:lumMod val="1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1" name="Rovnoramenný trojúhelník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/>
        </xdr:nvSpPr>
        <xdr:spPr>
          <a:xfrm>
            <a:off x="6158588" y="10541975"/>
            <a:ext cx="278876" cy="293313"/>
          </a:xfrm>
          <a:prstGeom prst="triangle">
            <a:avLst/>
          </a:prstGeom>
          <a:solidFill>
            <a:schemeClr val="tx1"/>
          </a:solidFill>
          <a:ln>
            <a:solidFill>
              <a:schemeClr val="bg2">
                <a:lumMod val="1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</xdr:col>
      <xdr:colOff>1057275</xdr:colOff>
      <xdr:row>96</xdr:row>
      <xdr:rowOff>123825</xdr:rowOff>
    </xdr:from>
    <xdr:to>
      <xdr:col>11</xdr:col>
      <xdr:colOff>419100</xdr:colOff>
      <xdr:row>115</xdr:row>
      <xdr:rowOff>109538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  <a:ext uri="{147F2762-F138-4A5C-976F-8EAC2B608ADB}">
              <a16:predDERef xmlns:a16="http://schemas.microsoft.com/office/drawing/2014/main" pred="{00000000-0008-0000-04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28241</xdr:colOff>
      <xdr:row>121</xdr:row>
      <xdr:rowOff>136652</xdr:rowOff>
    </xdr:from>
    <xdr:to>
      <xdr:col>25</xdr:col>
      <xdr:colOff>205341</xdr:colOff>
      <xdr:row>147</xdr:row>
      <xdr:rowOff>188606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400-000004000000}"/>
            </a:ext>
            <a:ext uri="{147F2762-F138-4A5C-976F-8EAC2B608ADB}">
              <a16:predDERef xmlns:a16="http://schemas.microsoft.com/office/drawing/2014/main" pre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318655</xdr:colOff>
      <xdr:row>121</xdr:row>
      <xdr:rowOff>76200</xdr:rowOff>
    </xdr:from>
    <xdr:to>
      <xdr:col>12</xdr:col>
      <xdr:colOff>275771</xdr:colOff>
      <xdr:row>149</xdr:row>
      <xdr:rowOff>35791</xdr:rowOff>
    </xdr:to>
    <xdr:graphicFrame macro="">
      <xdr:nvGraphicFramePr>
        <xdr:cNvPr id="23" name="Chart 8">
          <a:extLst>
            <a:ext uri="{FF2B5EF4-FFF2-40B4-BE49-F238E27FC236}">
              <a16:creationId xmlns:a16="http://schemas.microsoft.com/office/drawing/2014/main" id="{00000000-0008-0000-0400-000017000000}"/>
            </a:ext>
            <a:ext uri="{147F2762-F138-4A5C-976F-8EAC2B608ADB}">
              <a16:predDERef xmlns:a16="http://schemas.microsoft.com/office/drawing/2014/main" pre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114817</xdr:colOff>
      <xdr:row>151</xdr:row>
      <xdr:rowOff>76200</xdr:rowOff>
    </xdr:from>
    <xdr:to>
      <xdr:col>23</xdr:col>
      <xdr:colOff>66341</xdr:colOff>
      <xdr:row>177</xdr:row>
      <xdr:rowOff>180108</xdr:rowOff>
    </xdr:to>
    <xdr:graphicFrame macro="">
      <xdr:nvGraphicFramePr>
        <xdr:cNvPr id="24" name="Chart 5">
          <a:extLst>
            <a:ext uri="{FF2B5EF4-FFF2-40B4-BE49-F238E27FC236}">
              <a16:creationId xmlns:a16="http://schemas.microsoft.com/office/drawing/2014/main" id="{00000000-0008-0000-0400-000018000000}"/>
            </a:ext>
            <a:ext uri="{147F2762-F138-4A5C-976F-8EAC2B608ADB}">
              <a16:predDERef xmlns:a16="http://schemas.microsoft.com/office/drawing/2014/main" pred="{00000000-0008-0000-0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491837</xdr:colOff>
      <xdr:row>151</xdr:row>
      <xdr:rowOff>148788</xdr:rowOff>
    </xdr:from>
    <xdr:to>
      <xdr:col>12</xdr:col>
      <xdr:colOff>251278</xdr:colOff>
      <xdr:row>179</xdr:row>
      <xdr:rowOff>152581</xdr:rowOff>
    </xdr:to>
    <xdr:graphicFrame macro="">
      <xdr:nvGraphicFramePr>
        <xdr:cNvPr id="25" name="Chart 7">
          <a:extLst>
            <a:ext uri="{FF2B5EF4-FFF2-40B4-BE49-F238E27FC236}">
              <a16:creationId xmlns:a16="http://schemas.microsoft.com/office/drawing/2014/main" id="{00000000-0008-0000-0400-000019000000}"/>
            </a:ext>
            <a:ext uri="{147F2762-F138-4A5C-976F-8EAC2B608ADB}">
              <a16:predDERef xmlns:a16="http://schemas.microsoft.com/office/drawing/2014/main" pre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865096</xdr:colOff>
      <xdr:row>74</xdr:row>
      <xdr:rowOff>92499</xdr:rowOff>
    </xdr:from>
    <xdr:to>
      <xdr:col>11</xdr:col>
      <xdr:colOff>223457</xdr:colOff>
      <xdr:row>93</xdr:row>
      <xdr:rowOff>78212</xdr:rowOff>
    </xdr:to>
    <xdr:graphicFrame macro="">
      <xdr:nvGraphicFramePr>
        <xdr:cNvPr id="26" name="Graf 25">
          <a:extLst>
            <a:ext uri="{FF2B5EF4-FFF2-40B4-BE49-F238E27FC236}">
              <a16:creationId xmlns:a16="http://schemas.microsoft.com/office/drawing/2014/main" id="{E9FE4843-0FBC-4222-8112-352AA53C7789}"/>
            </a:ext>
            <a:ext uri="{147F2762-F138-4A5C-976F-8EAC2B608ADB}">
              <a16:predDERef xmlns:a16="http://schemas.microsoft.com/office/drawing/2014/main" pre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442327</xdr:colOff>
      <xdr:row>75</xdr:row>
      <xdr:rowOff>8965</xdr:rowOff>
    </xdr:from>
    <xdr:to>
      <xdr:col>25</xdr:col>
      <xdr:colOff>444925</xdr:colOff>
      <xdr:row>93</xdr:row>
      <xdr:rowOff>185178</xdr:rowOff>
    </xdr:to>
    <xdr:graphicFrame macro="">
      <xdr:nvGraphicFramePr>
        <xdr:cNvPr id="27" name="Graf 26">
          <a:extLst>
            <a:ext uri="{FF2B5EF4-FFF2-40B4-BE49-F238E27FC236}">
              <a16:creationId xmlns:a16="http://schemas.microsoft.com/office/drawing/2014/main" id="{95CC65A8-0221-4EC2-A304-D43149F50F02}"/>
            </a:ext>
            <a:ext uri="{147F2762-F138-4A5C-976F-8EAC2B608ADB}">
              <a16:predDERef xmlns:a16="http://schemas.microsoft.com/office/drawing/2014/main" pred="{E9FE4843-0FBC-4222-8112-352AA53C7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174171</xdr:colOff>
      <xdr:row>32</xdr:row>
      <xdr:rowOff>40181</xdr:rowOff>
    </xdr:from>
    <xdr:to>
      <xdr:col>18</xdr:col>
      <xdr:colOff>457200</xdr:colOff>
      <xdr:row>48</xdr:row>
      <xdr:rowOff>103425</xdr:rowOff>
    </xdr:to>
    <xdr:graphicFrame macro="">
      <xdr:nvGraphicFramePr>
        <xdr:cNvPr id="28" name="Graf 27">
          <a:extLst>
            <a:ext uri="{FF2B5EF4-FFF2-40B4-BE49-F238E27FC236}">
              <a16:creationId xmlns:a16="http://schemas.microsoft.com/office/drawing/2014/main" id="{C618D58D-7AA8-4CA1-8D0A-6BE56A09320B}"/>
            </a:ext>
            <a:ext uri="{147F2762-F138-4A5C-976F-8EAC2B608ADB}">
              <a16:predDERef xmlns:a16="http://schemas.microsoft.com/office/drawing/2014/main" pred="{95CC65A8-0221-4EC2-A304-D43149F50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376917</xdr:colOff>
      <xdr:row>53</xdr:row>
      <xdr:rowOff>152400</xdr:rowOff>
    </xdr:from>
    <xdr:to>
      <xdr:col>18</xdr:col>
      <xdr:colOff>158403</xdr:colOff>
      <xdr:row>70</xdr:row>
      <xdr:rowOff>30587</xdr:rowOff>
    </xdr:to>
    <xdr:graphicFrame macro="">
      <xdr:nvGraphicFramePr>
        <xdr:cNvPr id="34" name="Graf 33">
          <a:extLst>
            <a:ext uri="{FF2B5EF4-FFF2-40B4-BE49-F238E27FC236}">
              <a16:creationId xmlns:a16="http://schemas.microsoft.com/office/drawing/2014/main" id="{D9F92C7B-FA33-4401-B1AF-5EA17FFC365C}"/>
            </a:ext>
            <a:ext uri="{147F2762-F138-4A5C-976F-8EAC2B608ADB}">
              <a16:predDERef xmlns:a16="http://schemas.microsoft.com/office/drawing/2014/main" pred="{C618D58D-7AA8-4CA1-8D0A-6BE56A093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531548</xdr:colOff>
      <xdr:row>32</xdr:row>
      <xdr:rowOff>66746</xdr:rowOff>
    </xdr:from>
    <xdr:to>
      <xdr:col>25</xdr:col>
      <xdr:colOff>308551</xdr:colOff>
      <xdr:row>48</xdr:row>
      <xdr:rowOff>129990</xdr:rowOff>
    </xdr:to>
    <xdr:graphicFrame macro="">
      <xdr:nvGraphicFramePr>
        <xdr:cNvPr id="35" name="Graf 34">
          <a:extLst>
            <a:ext uri="{FF2B5EF4-FFF2-40B4-BE49-F238E27FC236}">
              <a16:creationId xmlns:a16="http://schemas.microsoft.com/office/drawing/2014/main" id="{D1F11533-6E8F-4C89-8BF4-E5C0A9442BB0}"/>
            </a:ext>
            <a:ext uri="{147F2762-F138-4A5C-976F-8EAC2B608ADB}">
              <a16:predDERef xmlns:a16="http://schemas.microsoft.com/office/drawing/2014/main" pred="{D9F92C7B-FA33-4401-B1AF-5EA17FFC3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232443</xdr:colOff>
      <xdr:row>53</xdr:row>
      <xdr:rowOff>177375</xdr:rowOff>
    </xdr:from>
    <xdr:to>
      <xdr:col>25</xdr:col>
      <xdr:colOff>9446</xdr:colOff>
      <xdr:row>70</xdr:row>
      <xdr:rowOff>55562</xdr:rowOff>
    </xdr:to>
    <xdr:graphicFrame macro="">
      <xdr:nvGraphicFramePr>
        <xdr:cNvPr id="37" name="Graf 36">
          <a:extLst>
            <a:ext uri="{FF2B5EF4-FFF2-40B4-BE49-F238E27FC236}">
              <a16:creationId xmlns:a16="http://schemas.microsoft.com/office/drawing/2014/main" id="{E7530318-B677-4E7C-8EBE-B8DB523B43D1}"/>
            </a:ext>
            <a:ext uri="{147F2762-F138-4A5C-976F-8EAC2B608ADB}">
              <a16:predDERef xmlns:a16="http://schemas.microsoft.com/office/drawing/2014/main" pred="{D1F11533-6E8F-4C89-8BF4-E5C0A9442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0.05875</cdr:x>
      <cdr:y>0.25166</cdr:y>
    </cdr:from>
    <cdr:to>
      <cdr:x>0.15229</cdr:x>
      <cdr:y>0.32662</cdr:y>
    </cdr:to>
    <cdr:sp macro="" textlink="">
      <cdr:nvSpPr>
        <cdr:cNvPr id="3" name="TextovéPole 28">
          <a:extLst xmlns:a="http://schemas.openxmlformats.org/drawingml/2006/main">
            <a:ext uri="{FF2B5EF4-FFF2-40B4-BE49-F238E27FC236}">
              <a16:creationId xmlns:a16="http://schemas.microsoft.com/office/drawing/2014/main" id="{E624F1F0-078B-3E8C-CD68-BD1D758442E1}"/>
            </a:ext>
          </a:extLst>
        </cdr:cNvPr>
        <cdr:cNvSpPr txBox="1"/>
      </cdr:nvSpPr>
      <cdr:spPr>
        <a:xfrm xmlns:a="http://schemas.openxmlformats.org/drawingml/2006/main">
          <a:off x="303127" y="762973"/>
          <a:ext cx="482651" cy="2272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>
              <a:solidFill>
                <a:schemeClr val="tx1"/>
              </a:solidFill>
            </a:rPr>
            <a:t>Male</a:t>
          </a:r>
          <a:endParaRPr lang="cs-CZ" sz="10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0.02967</cdr:x>
      <cdr:y>0.20801</cdr:y>
    </cdr:from>
    <cdr:to>
      <cdr:x>0.09488</cdr:x>
      <cdr:y>0.31716</cdr:y>
    </cdr:to>
    <cdr:sp macro="" textlink="">
      <cdr:nvSpPr>
        <cdr:cNvPr id="4" name="TextovéPole 1">
          <a:extLst xmlns:a="http://schemas.openxmlformats.org/drawingml/2006/main">
            <a:ext uri="{FF2B5EF4-FFF2-40B4-BE49-F238E27FC236}">
              <a16:creationId xmlns:a16="http://schemas.microsoft.com/office/drawing/2014/main" id="{C5E85F33-44C9-19FE-A637-D1E00CBC15F5}"/>
            </a:ext>
          </a:extLst>
        </cdr:cNvPr>
        <cdr:cNvSpPr txBox="1"/>
      </cdr:nvSpPr>
      <cdr:spPr>
        <a:xfrm xmlns:a="http://schemas.openxmlformats.org/drawingml/2006/main">
          <a:off x="153067" y="630618"/>
          <a:ext cx="336472" cy="330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▪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0.06284</cdr:x>
      <cdr:y>0.23199</cdr:y>
    </cdr:from>
    <cdr:to>
      <cdr:x>0.15638</cdr:x>
      <cdr:y>0.30695</cdr:y>
    </cdr:to>
    <cdr:sp macro="" textlink="">
      <cdr:nvSpPr>
        <cdr:cNvPr id="3" name="TextovéPole 28">
          <a:extLst xmlns:a="http://schemas.openxmlformats.org/drawingml/2006/main">
            <a:ext uri="{FF2B5EF4-FFF2-40B4-BE49-F238E27FC236}">
              <a16:creationId xmlns:a16="http://schemas.microsoft.com/office/drawing/2014/main" id="{E624F1F0-078B-3E8C-CD68-BD1D758442E1}"/>
            </a:ext>
          </a:extLst>
        </cdr:cNvPr>
        <cdr:cNvSpPr txBox="1"/>
      </cdr:nvSpPr>
      <cdr:spPr>
        <a:xfrm xmlns:a="http://schemas.openxmlformats.org/drawingml/2006/main">
          <a:off x="292704" y="703444"/>
          <a:ext cx="435736" cy="22729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>
              <a:solidFill>
                <a:schemeClr val="tx1"/>
              </a:solidFill>
            </a:rPr>
            <a:t>Male</a:t>
          </a:r>
          <a:endParaRPr lang="cs-CZ" sz="10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0.03476</cdr:x>
      <cdr:y>0.18834</cdr:y>
    </cdr:from>
    <cdr:to>
      <cdr:x>0.09997</cdr:x>
      <cdr:y>0.29749</cdr:y>
    </cdr:to>
    <cdr:sp macro="" textlink="">
      <cdr:nvSpPr>
        <cdr:cNvPr id="4" name="TextovéPole 1">
          <a:extLst xmlns:a="http://schemas.openxmlformats.org/drawingml/2006/main">
            <a:ext uri="{FF2B5EF4-FFF2-40B4-BE49-F238E27FC236}">
              <a16:creationId xmlns:a16="http://schemas.microsoft.com/office/drawing/2014/main" id="{C5E85F33-44C9-19FE-A637-D1E00CBC15F5}"/>
            </a:ext>
          </a:extLst>
        </cdr:cNvPr>
        <cdr:cNvSpPr txBox="1"/>
      </cdr:nvSpPr>
      <cdr:spPr>
        <a:xfrm xmlns:a="http://schemas.openxmlformats.org/drawingml/2006/main">
          <a:off x="161922" y="571071"/>
          <a:ext cx="303767" cy="33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▪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209550</xdr:colOff>
      <xdr:row>119</xdr:row>
      <xdr:rowOff>84420</xdr:rowOff>
    </xdr:from>
    <xdr:to>
      <xdr:col>28</xdr:col>
      <xdr:colOff>97559</xdr:colOff>
      <xdr:row>140</xdr:row>
      <xdr:rowOff>28575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05950" y="22868220"/>
          <a:ext cx="9032008" cy="3944655"/>
        </a:xfrm>
        <a:prstGeom prst="rect">
          <a:avLst/>
        </a:prstGeom>
      </xdr:spPr>
    </xdr:pic>
    <xdr:clientData/>
  </xdr:twoCellAnchor>
  <xdr:twoCellAnchor>
    <xdr:from>
      <xdr:col>1</xdr:col>
      <xdr:colOff>1133474</xdr:colOff>
      <xdr:row>119</xdr:row>
      <xdr:rowOff>0</xdr:rowOff>
    </xdr:from>
    <xdr:to>
      <xdr:col>13</xdr:col>
      <xdr:colOff>114299</xdr:colOff>
      <xdr:row>138</xdr:row>
      <xdr:rowOff>104775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  <a:ext uri="{147F2762-F138-4A5C-976F-8EAC2B608ADB}">
              <a16:predDERef xmlns:a16="http://schemas.microsoft.com/office/drawing/2014/main" pre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471488</xdr:colOff>
      <xdr:row>210</xdr:row>
      <xdr:rowOff>152400</xdr:rowOff>
    </xdr:from>
    <xdr:to>
      <xdr:col>15</xdr:col>
      <xdr:colOff>281419</xdr:colOff>
      <xdr:row>241</xdr:row>
      <xdr:rowOff>147738</xdr:rowOff>
    </xdr:to>
    <xdr:grpSp>
      <xdr:nvGrpSpPr>
        <xdr:cNvPr id="23" name="Skupina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pSpPr/>
      </xdr:nvGrpSpPr>
      <xdr:grpSpPr>
        <a:xfrm>
          <a:off x="2376488" y="38300025"/>
          <a:ext cx="11411381" cy="5605563"/>
          <a:chOff x="8124825" y="7781925"/>
          <a:chExt cx="8391956" cy="5900838"/>
        </a:xfrm>
      </xdr:grpSpPr>
      <xdr:pic>
        <xdr:nvPicPr>
          <xdr:cNvPr id="6" name="Obrázek 5" descr="Obsah obrázku text, řada/pruh, diagram, Vykreslený graf&#10;&#10;Popis byl vytvořen automaticky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50000"/>
                    </a14:imgEffect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271123" y="8426175"/>
            <a:ext cx="8245658" cy="4291007"/>
          </a:xfrm>
          <a:prstGeom prst="rect">
            <a:avLst/>
          </a:prstGeom>
        </xdr:spPr>
      </xdr:pic>
      <xdr:sp macro="" textlink="">
        <xdr:nvSpPr>
          <xdr:cNvPr id="7" name="Obdélník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8425744" y="11714263"/>
            <a:ext cx="7837684" cy="9677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8" name="Zástupný obsah 2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 txBox="1">
            <a:spLocks/>
          </xdr:cNvSpPr>
        </xdr:nvSpPr>
        <xdr:spPr>
          <a:xfrm>
            <a:off x="8906786" y="7781925"/>
            <a:ext cx="7505740" cy="705091"/>
          </a:xfrm>
          <a:prstGeom prst="rect">
            <a:avLst/>
          </a:prstGeom>
        </xdr:spPr>
        <xdr:txBody>
          <a:bodyPr vert="horz" wrap="square" lIns="91440" tIns="45720" rIns="91440" bIns="45720" rtlCol="0">
            <a:normAutofit/>
          </a:bodyPr>
          <a:lstStyle>
            <a:defPPr>
              <a:defRPr lang="cs-CZ"/>
            </a:defPPr>
            <a:lvl1pPr marL="0" indent="0" algn="ctr" defTabSz="2263236" rtl="0" eaLnBrk="1" latinLnBrk="0" hangingPunct="1">
              <a:lnSpc>
                <a:spcPct val="90000"/>
              </a:lnSpc>
              <a:spcBef>
                <a:spcPts val="2475"/>
              </a:spcBef>
              <a:buFont typeface="Arial" panose="020B0604020202020204" pitchFamily="34" charset="0"/>
              <a:buNone/>
              <a:defRPr sz="594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131617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9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26323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455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39485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526470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658088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78970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92132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9052941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5a. </a:t>
            </a:r>
            <a:r>
              <a:rPr lang="en-US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„Maker“ </a:t>
            </a:r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Esterase Candidate </a:t>
            </a:r>
            <a:r>
              <a:rPr lang="en-US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in </a:t>
            </a:r>
            <a:r>
              <a:rPr lang="cs-CZ" sz="3000" b="1">
                <a:solidFill>
                  <a:srgbClr val="40673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Fat Body</a:t>
            </a:r>
            <a:endParaRPr lang="en-US" sz="3000" b="1">
              <a:solidFill>
                <a:srgbClr val="406732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9" name="Zástupný obsah 2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>
            <a:spLocks/>
          </xdr:cNvSpPr>
        </xdr:nvSpPr>
        <xdr:spPr>
          <a:xfrm rot="16200000">
            <a:off x="7318433" y="9730282"/>
            <a:ext cx="2317876" cy="705091"/>
          </a:xfrm>
          <a:prstGeom prst="rect">
            <a:avLst/>
          </a:prstGeom>
        </xdr:spPr>
        <xdr:txBody>
          <a:bodyPr vert="horz" wrap="square" lIns="91440" tIns="45720" rIns="91440" bIns="45720" rtlCol="0">
            <a:normAutofit/>
          </a:bodyPr>
          <a:lstStyle>
            <a:defPPr>
              <a:defRPr lang="cs-CZ"/>
            </a:defPPr>
            <a:lvl1pPr marL="0" indent="0" algn="ctr" defTabSz="2263236" rtl="0" eaLnBrk="1" latinLnBrk="0" hangingPunct="1">
              <a:lnSpc>
                <a:spcPct val="90000"/>
              </a:lnSpc>
              <a:spcBef>
                <a:spcPts val="2475"/>
              </a:spcBef>
              <a:buFont typeface="Arial" panose="020B0604020202020204" pitchFamily="34" charset="0"/>
              <a:buNone/>
              <a:defRPr sz="594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131617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9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26323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455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39485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526470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658088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78970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92132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9052941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400">
                <a:solidFill>
                  <a:schemeClr val="tx1">
                    <a:lumMod val="95000"/>
                    <a:lumOff val="5000"/>
                  </a:scheme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Log2 </a:t>
            </a:r>
            <a:r>
              <a:rPr lang="cs-CZ" sz="1700">
                <a:solidFill>
                  <a:schemeClr val="tx1">
                    <a:lumMod val="95000"/>
                    <a:lumOff val="5000"/>
                  </a:scheme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Fold</a:t>
            </a:r>
            <a:r>
              <a:rPr lang="cs-CZ" sz="1400">
                <a:solidFill>
                  <a:schemeClr val="tx1">
                    <a:lumMod val="95000"/>
                    <a:lumOff val="5000"/>
                  </a:scheme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Change</a:t>
            </a:r>
            <a:endParaRPr lang="en-US" sz="1400">
              <a:solidFill>
                <a:schemeClr val="tx1">
                  <a:lumMod val="95000"/>
                  <a:lumOff val="5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0" name="Obdélník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 rot="5400000">
            <a:off x="12440770" y="4645584"/>
            <a:ext cx="334583" cy="7570282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1" name="Zástupný obsah 2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 txBox="1">
            <a:spLocks/>
          </xdr:cNvSpPr>
        </xdr:nvSpPr>
        <xdr:spPr>
          <a:xfrm rot="18481572">
            <a:off x="7914281" y="12223084"/>
            <a:ext cx="2119887" cy="799472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Immature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Fat body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x 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L1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Whole body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2" name="Zástupný obsah 2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 txBox="1">
            <a:spLocks/>
          </xdr:cNvSpPr>
        </xdr:nvSpPr>
        <xdr:spPr>
          <a:xfrm rot="18432442">
            <a:off x="8598808" y="12337403"/>
            <a:ext cx="2127690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Immature 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Fat body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L1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Whole body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3" name="Zástupný obsah 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>
            <a:spLocks/>
          </xdr:cNvSpPr>
        </xdr:nvSpPr>
        <xdr:spPr>
          <a:xfrm rot="18381976">
            <a:off x="9451958" y="12274129"/>
            <a:ext cx="2130886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Immature 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F Midgut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4" name="Zástupný obsah 2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 txBox="1">
            <a:spLocks/>
          </xdr:cNvSpPr>
        </xdr:nvSpPr>
        <xdr:spPr>
          <a:xfrm rot="18342967">
            <a:off x="11387634" y="12060553"/>
            <a:ext cx="1813747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Fed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5" name="Zástupný obsah 2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 txBox="1">
            <a:spLocks/>
          </xdr:cNvSpPr>
        </xdr:nvSpPr>
        <xdr:spPr>
          <a:xfrm rot="18365608">
            <a:off x="11890350" y="12248860"/>
            <a:ext cx="2130886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Immature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6" name="Zástupný obsah 2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>
            <a:spLocks/>
          </xdr:cNvSpPr>
        </xdr:nvSpPr>
        <xdr:spPr>
          <a:xfrm rot="18403081">
            <a:off x="13052792" y="12074937"/>
            <a:ext cx="1647576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7" name="Zástupný obsah 2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SpPr txBox="1">
            <a:spLocks/>
          </xdr:cNvSpPr>
        </xdr:nvSpPr>
        <xdr:spPr>
          <a:xfrm rot="18371055">
            <a:off x="13857045" y="12052822"/>
            <a:ext cx="1713261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Fed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8" name="Zástupný obsah 2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SpPr txBox="1">
            <a:spLocks/>
          </xdr:cNvSpPr>
        </xdr:nvSpPr>
        <xdr:spPr>
          <a:xfrm rot="18356671">
            <a:off x="14658249" y="12071281"/>
            <a:ext cx="1704052" cy="47567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M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9" name="Zástupný obsah 2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 txBox="1">
            <a:spLocks/>
          </xdr:cNvSpPr>
        </xdr:nvSpPr>
        <xdr:spPr>
          <a:xfrm rot="18394799">
            <a:off x="10601468" y="12032368"/>
            <a:ext cx="1805612" cy="513439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cs-CZ"/>
            </a:defPPr>
            <a:lvl1pPr marL="0" indent="0" algn="ctr" defTabSz="914400" rtl="0" eaLnBrk="1" latinLnBrk="0" hangingPunct="1">
              <a:lnSpc>
                <a:spcPct val="90000"/>
              </a:lnSpc>
              <a:spcBef>
                <a:spcPts val="1000"/>
              </a:spcBef>
              <a:buFont typeface="Arial" panose="020B0604020202020204" pitchFamily="34" charset="0"/>
              <a:buNone/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ctr" defTabSz="914400" rtl="0" eaLnBrk="1" latinLnBrk="0" hangingPunct="1">
              <a:lnSpc>
                <a:spcPct val="90000"/>
              </a:lnSpc>
              <a:spcBef>
                <a:spcPts val="500"/>
              </a:spcBef>
              <a:buFont typeface="Arial" panose="020B0604020202020204" pitchFamily="34" charset="0"/>
              <a:buNone/>
              <a:defRPr sz="1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JHIII F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Midgut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x Acetone </a:t>
            </a:r>
            <a:r>
              <a:rPr lang="cs-CZ" sz="15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</a:t>
            </a:r>
            <a:r>
              <a:rPr lang="cs-CZ" sz="1500" b="0" i="0" u="none" strike="noStrike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 Midgut </a:t>
            </a:r>
            <a:endParaRPr lang="en-US" sz="15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0" name="Zástupný obsah 2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SpPr txBox="1">
            <a:spLocks/>
          </xdr:cNvSpPr>
        </xdr:nvSpPr>
        <xdr:spPr>
          <a:xfrm>
            <a:off x="10506167" y="8280868"/>
            <a:ext cx="4223166" cy="342076"/>
          </a:xfrm>
          <a:prstGeom prst="rect">
            <a:avLst/>
          </a:prstGeom>
        </xdr:spPr>
        <xdr:txBody>
          <a:bodyPr vert="horz" wrap="square" lIns="91440" tIns="45720" rIns="91440" bIns="45720" rtlCol="0">
            <a:normAutofit/>
          </a:bodyPr>
          <a:lstStyle>
            <a:defPPr>
              <a:defRPr lang="cs-CZ"/>
            </a:defPPr>
            <a:lvl1pPr marL="0" indent="0" algn="ctr" defTabSz="2263236" rtl="0" eaLnBrk="1" latinLnBrk="0" hangingPunct="1">
              <a:lnSpc>
                <a:spcPct val="90000"/>
              </a:lnSpc>
              <a:spcBef>
                <a:spcPts val="2475"/>
              </a:spcBef>
              <a:buFont typeface="Arial" panose="020B0604020202020204" pitchFamily="34" charset="0"/>
              <a:buNone/>
              <a:defRPr sz="594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131617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9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26323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4455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39485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526470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658088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789706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921323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9052941" indent="0" algn="ctr" defTabSz="2263236" rtl="0" eaLnBrk="1" latinLnBrk="0" hangingPunct="1">
              <a:lnSpc>
                <a:spcPct val="90000"/>
              </a:lnSpc>
              <a:spcBef>
                <a:spcPts val="1238"/>
              </a:spcBef>
              <a:buFont typeface="Arial" panose="020B0604020202020204" pitchFamily="34" charset="0"/>
              <a:buNone/>
              <a:defRPr sz="396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1400" b="1">
                <a:solidFill>
                  <a:schemeClr val="tx1">
                    <a:lumMod val="95000"/>
                    <a:lumOff val="5000"/>
                  </a:scheme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Esterase-NODE_62638_JADDUH010000016.1</a:t>
            </a:r>
            <a:endParaRPr lang="en-US" sz="1400" b="1">
              <a:solidFill>
                <a:schemeClr val="tx1">
                  <a:lumMod val="95000"/>
                  <a:lumOff val="5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1" name="Rovnoramenný trojúhelník 20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SpPr/>
        </xdr:nvSpPr>
        <xdr:spPr>
          <a:xfrm>
            <a:off x="9993939" y="8393851"/>
            <a:ext cx="278876" cy="293313"/>
          </a:xfrm>
          <a:prstGeom prst="triangle">
            <a:avLst/>
          </a:prstGeom>
          <a:solidFill>
            <a:schemeClr val="tx1"/>
          </a:solidFill>
          <a:ln>
            <a:solidFill>
              <a:schemeClr val="bg2">
                <a:lumMod val="1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2" name="Rovnoramenný trojúhelník 21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/>
        </xdr:nvSpPr>
        <xdr:spPr>
          <a:xfrm>
            <a:off x="9204934" y="9022117"/>
            <a:ext cx="278876" cy="293313"/>
          </a:xfrm>
          <a:prstGeom prst="triangle">
            <a:avLst/>
          </a:prstGeom>
          <a:solidFill>
            <a:schemeClr val="tx1"/>
          </a:solidFill>
          <a:ln>
            <a:solidFill>
              <a:schemeClr val="bg2">
                <a:lumMod val="1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</xdr:col>
      <xdr:colOff>1019176</xdr:colOff>
      <xdr:row>141</xdr:row>
      <xdr:rowOff>114300</xdr:rowOff>
    </xdr:from>
    <xdr:to>
      <xdr:col>11</xdr:col>
      <xdr:colOff>210829</xdr:colOff>
      <xdr:row>169</xdr:row>
      <xdr:rowOff>73891</xdr:rowOff>
    </xdr:to>
    <xdr:graphicFrame macro="">
      <xdr:nvGraphicFramePr>
        <xdr:cNvPr id="24" name="Chart 8">
          <a:extLst>
            <a:ext uri="{FF2B5EF4-FFF2-40B4-BE49-F238E27FC236}">
              <a16:creationId xmlns:a16="http://schemas.microsoft.com/office/drawing/2014/main" id="{00000000-0008-0000-0700-000018000000}"/>
            </a:ext>
            <a:ext uri="{147F2762-F138-4A5C-976F-8EAC2B608ADB}">
              <a16:predDERef xmlns:a16="http://schemas.microsoft.com/office/drawing/2014/main" pred="{00000000-0008-0000-07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365931</xdr:colOff>
      <xdr:row>171</xdr:row>
      <xdr:rowOff>161925</xdr:rowOff>
    </xdr:from>
    <xdr:to>
      <xdr:col>22</xdr:col>
      <xdr:colOff>161592</xdr:colOff>
      <xdr:row>198</xdr:row>
      <xdr:rowOff>75333</xdr:rowOff>
    </xdr:to>
    <xdr:graphicFrame macro="">
      <xdr:nvGraphicFramePr>
        <xdr:cNvPr id="25" name="Chart 5">
          <a:extLst>
            <a:ext uri="{FF2B5EF4-FFF2-40B4-BE49-F238E27FC236}">
              <a16:creationId xmlns:a16="http://schemas.microsoft.com/office/drawing/2014/main" id="{00000000-0008-0000-0700-000019000000}"/>
            </a:ext>
            <a:ext uri="{147F2762-F138-4A5C-976F-8EAC2B608ADB}">
              <a16:predDERef xmlns:a16="http://schemas.microsoft.com/office/drawing/2014/main" pred="{00000000-0008-0000-07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200026</xdr:colOff>
      <xdr:row>172</xdr:row>
      <xdr:rowOff>44013</xdr:rowOff>
    </xdr:from>
    <xdr:to>
      <xdr:col>11</xdr:col>
      <xdr:colOff>489404</xdr:colOff>
      <xdr:row>200</xdr:row>
      <xdr:rowOff>47806</xdr:rowOff>
    </xdr:to>
    <xdr:graphicFrame macro="">
      <xdr:nvGraphicFramePr>
        <xdr:cNvPr id="26" name="Chart 7">
          <a:extLst>
            <a:ext uri="{FF2B5EF4-FFF2-40B4-BE49-F238E27FC236}">
              <a16:creationId xmlns:a16="http://schemas.microsoft.com/office/drawing/2014/main" id="{00000000-0008-0000-0700-00001A000000}"/>
            </a:ext>
            <a:ext uri="{147F2762-F138-4A5C-976F-8EAC2B608ADB}">
              <a16:predDERef xmlns:a16="http://schemas.microsoft.com/office/drawing/2014/main" pred="{00000000-0008-0000-07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266700</xdr:colOff>
      <xdr:row>142</xdr:row>
      <xdr:rowOff>66676</xdr:rowOff>
    </xdr:from>
    <xdr:to>
      <xdr:col>24</xdr:col>
      <xdr:colOff>252434</xdr:colOff>
      <xdr:row>168</xdr:row>
      <xdr:rowOff>118630</xdr:rowOff>
    </xdr:to>
    <xdr:graphicFrame macro="">
      <xdr:nvGraphicFramePr>
        <xdr:cNvPr id="27" name="Chart 6">
          <a:extLst>
            <a:ext uri="{FF2B5EF4-FFF2-40B4-BE49-F238E27FC236}">
              <a16:creationId xmlns:a16="http://schemas.microsoft.com/office/drawing/2014/main" id="{00000000-0008-0000-0700-00001B000000}"/>
            </a:ext>
            <a:ext uri="{147F2762-F138-4A5C-976F-8EAC2B608ADB}">
              <a16:predDERef xmlns:a16="http://schemas.microsoft.com/office/drawing/2014/main" pred="{00000000-0008-0000-07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166255</xdr:colOff>
      <xdr:row>95</xdr:row>
      <xdr:rowOff>173182</xdr:rowOff>
    </xdr:from>
    <xdr:to>
      <xdr:col>13</xdr:col>
      <xdr:colOff>445944</xdr:colOff>
      <xdr:row>115</xdr:row>
      <xdr:rowOff>87457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F95292E-9F0E-42FB-BB69-305FD726A5CE}"/>
            </a:ext>
            <a:ext uri="{147F2762-F138-4A5C-976F-8EAC2B608ADB}">
              <a16:predDERef xmlns:a16="http://schemas.microsoft.com/office/drawing/2014/main" pred="{00000000-0008-0000-07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176645</xdr:colOff>
      <xdr:row>96</xdr:row>
      <xdr:rowOff>69273</xdr:rowOff>
    </xdr:from>
    <xdr:to>
      <xdr:col>26</xdr:col>
      <xdr:colOff>515216</xdr:colOff>
      <xdr:row>115</xdr:row>
      <xdr:rowOff>174048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3AFC70D0-D44F-49C3-A64E-000DBE30F336}"/>
            </a:ext>
            <a:ext uri="{147F2762-F138-4A5C-976F-8EAC2B608ADB}">
              <a16:predDERef xmlns:a16="http://schemas.microsoft.com/office/drawing/2014/main" pred="{0F95292E-9F0E-42FB-BB69-305FD726A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92213</xdr:colOff>
      <xdr:row>20</xdr:row>
      <xdr:rowOff>124316</xdr:rowOff>
    </xdr:from>
    <xdr:to>
      <xdr:col>19</xdr:col>
      <xdr:colOff>428390</xdr:colOff>
      <xdr:row>37</xdr:row>
      <xdr:rowOff>8266</xdr:rowOff>
    </xdr:to>
    <xdr:graphicFrame macro="">
      <xdr:nvGraphicFramePr>
        <xdr:cNvPr id="28" name="Graf 27">
          <a:extLst>
            <a:ext uri="{FF2B5EF4-FFF2-40B4-BE49-F238E27FC236}">
              <a16:creationId xmlns:a16="http://schemas.microsoft.com/office/drawing/2014/main" id="{D8AFCAE5-F473-410B-8C73-27F638B25A0E}"/>
            </a:ext>
            <a:ext uri="{147F2762-F138-4A5C-976F-8EAC2B608ADB}">
              <a16:predDERef xmlns:a16="http://schemas.microsoft.com/office/drawing/2014/main" pred="{3AFC70D0-D44F-49C3-A64E-000DBE30F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480731</xdr:colOff>
      <xdr:row>41</xdr:row>
      <xdr:rowOff>121824</xdr:rowOff>
    </xdr:from>
    <xdr:to>
      <xdr:col>19</xdr:col>
      <xdr:colOff>207308</xdr:colOff>
      <xdr:row>58</xdr:row>
      <xdr:rowOff>5774</xdr:rowOff>
    </xdr:to>
    <xdr:graphicFrame macro="">
      <xdr:nvGraphicFramePr>
        <xdr:cNvPr id="30" name="Graf 29">
          <a:extLst>
            <a:ext uri="{FF2B5EF4-FFF2-40B4-BE49-F238E27FC236}">
              <a16:creationId xmlns:a16="http://schemas.microsoft.com/office/drawing/2014/main" id="{6FA3C751-3008-43C4-B9C9-628ED73FAACA}"/>
            </a:ext>
            <a:ext uri="{147F2762-F138-4A5C-976F-8EAC2B608ADB}">
              <a16:predDERef xmlns:a16="http://schemas.microsoft.com/office/drawing/2014/main" pred="{D8AFCAE5-F473-410B-8C73-27F638B25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513711</xdr:colOff>
      <xdr:row>20</xdr:row>
      <xdr:rowOff>121503</xdr:rowOff>
    </xdr:from>
    <xdr:to>
      <xdr:col>26</xdr:col>
      <xdr:colOff>266541</xdr:colOff>
      <xdr:row>37</xdr:row>
      <xdr:rowOff>5453</xdr:rowOff>
    </xdr:to>
    <xdr:graphicFrame macro="">
      <xdr:nvGraphicFramePr>
        <xdr:cNvPr id="31" name="Graf 30">
          <a:extLst>
            <a:ext uri="{FF2B5EF4-FFF2-40B4-BE49-F238E27FC236}">
              <a16:creationId xmlns:a16="http://schemas.microsoft.com/office/drawing/2014/main" id="{0C32FD73-132E-4D37-90B3-8F84CEB4EC58}"/>
            </a:ext>
            <a:ext uri="{147F2762-F138-4A5C-976F-8EAC2B608ADB}">
              <a16:predDERef xmlns:a16="http://schemas.microsoft.com/office/drawing/2014/main" pred="{6FA3C751-3008-43C4-B9C9-628ED73FA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266699</xdr:colOff>
      <xdr:row>42</xdr:row>
      <xdr:rowOff>2241</xdr:rowOff>
    </xdr:from>
    <xdr:to>
      <xdr:col>26</xdr:col>
      <xdr:colOff>19529</xdr:colOff>
      <xdr:row>58</xdr:row>
      <xdr:rowOff>65485</xdr:rowOff>
    </xdr:to>
    <xdr:graphicFrame macro="">
      <xdr:nvGraphicFramePr>
        <xdr:cNvPr id="32" name="Graf 31">
          <a:extLst>
            <a:ext uri="{FF2B5EF4-FFF2-40B4-BE49-F238E27FC236}">
              <a16:creationId xmlns:a16="http://schemas.microsoft.com/office/drawing/2014/main" id="{8BFA6018-77B7-4448-8D10-8E7DE9A07CEC}"/>
            </a:ext>
            <a:ext uri="{147F2762-F138-4A5C-976F-8EAC2B608ADB}">
              <a16:predDERef xmlns:a16="http://schemas.microsoft.com/office/drawing/2014/main" pred="{0C32FD73-132E-4D37-90B3-8F84CEB4E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0.08569</cdr:x>
      <cdr:y>0.2202</cdr:y>
    </cdr:from>
    <cdr:to>
      <cdr:x>0.17923</cdr:x>
      <cdr:y>0.29516</cdr:y>
    </cdr:to>
    <cdr:sp macro="" textlink="">
      <cdr:nvSpPr>
        <cdr:cNvPr id="3" name="TextovéPole 28">
          <a:extLst xmlns:a="http://schemas.openxmlformats.org/drawingml/2006/main">
            <a:ext uri="{FF2B5EF4-FFF2-40B4-BE49-F238E27FC236}">
              <a16:creationId xmlns:a16="http://schemas.microsoft.com/office/drawing/2014/main" id="{E624F1F0-078B-3E8C-CD68-BD1D758442E1}"/>
            </a:ext>
          </a:extLst>
        </cdr:cNvPr>
        <cdr:cNvSpPr txBox="1"/>
      </cdr:nvSpPr>
      <cdr:spPr>
        <a:xfrm xmlns:a="http://schemas.openxmlformats.org/drawingml/2006/main">
          <a:off x="394467" y="645613"/>
          <a:ext cx="430599" cy="21977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>
              <a:solidFill>
                <a:schemeClr val="tx1"/>
              </a:solidFill>
            </a:rPr>
            <a:t>Male</a:t>
          </a:r>
          <a:endParaRPr lang="cs-CZ" sz="10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0.05452</cdr:x>
      <cdr:y>0.18615</cdr:y>
    </cdr:from>
    <cdr:to>
      <cdr:x>0.11973</cdr:x>
      <cdr:y>0.2953</cdr:y>
    </cdr:to>
    <cdr:sp macro="" textlink="">
      <cdr:nvSpPr>
        <cdr:cNvPr id="4" name="TextovéPole 1">
          <a:extLst xmlns:a="http://schemas.openxmlformats.org/drawingml/2006/main">
            <a:ext uri="{FF2B5EF4-FFF2-40B4-BE49-F238E27FC236}">
              <a16:creationId xmlns:a16="http://schemas.microsoft.com/office/drawing/2014/main" id="{C5E85F33-44C9-19FE-A637-D1E00CBC15F5}"/>
            </a:ext>
          </a:extLst>
        </cdr:cNvPr>
        <cdr:cNvSpPr txBox="1"/>
      </cdr:nvSpPr>
      <cdr:spPr>
        <a:xfrm xmlns:a="http://schemas.openxmlformats.org/drawingml/2006/main">
          <a:off x="250956" y="545790"/>
          <a:ext cx="300187" cy="32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2450" kern="1200"/>
            <a:t>▪</a:t>
          </a:r>
          <a:endParaRPr lang="cs-CZ" sz="1100" kern="1200"/>
        </a:p>
        <a:p xmlns:a="http://schemas.openxmlformats.org/drawingml/2006/main">
          <a:endParaRPr lang="cs-CZ" sz="1100" kern="1200"/>
        </a:p>
      </cdr:txBody>
    </cdr:sp>
  </cdr:relSizeAnchor>
  <cdr:relSizeAnchor xmlns:cdr="http://schemas.openxmlformats.org/drawingml/2006/chartDrawing">
    <cdr:from>
      <cdr:x>0.06131</cdr:x>
      <cdr:y>0.69099</cdr:y>
    </cdr:from>
    <cdr:to>
      <cdr:x>0.17999</cdr:x>
      <cdr:y>0.9085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D27AA103-55C7-C7C1-34C6-B89BE5181CF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82255" y="2025941"/>
          <a:ext cx="546329" cy="6377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0.10732</cdr:x>
      <cdr:y>0.69099</cdr:y>
    </cdr:from>
    <cdr:to>
      <cdr:x>0.22599</cdr:x>
      <cdr:y>0.9085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A36AF843-83EF-062D-8575-46BB10EE78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94031" y="2025940"/>
          <a:ext cx="546283" cy="6377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0.59402</cdr:x>
      <cdr:y>0.47957</cdr:y>
    </cdr:from>
    <cdr:to>
      <cdr:x>0.71269</cdr:x>
      <cdr:y>0.69708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0CFD63F0-30CF-6972-8576-D1844FCB581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734510" y="1406082"/>
          <a:ext cx="546283" cy="63772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EF80-2154-4206-8F58-97A2B2CF19EB}">
  <dimension ref="B2:B8"/>
  <sheetViews>
    <sheetView workbookViewId="0">
      <selection activeCell="O17" sqref="O17"/>
    </sheetView>
  </sheetViews>
  <sheetFormatPr defaultRowHeight="14.45"/>
  <sheetData>
    <row r="2" spans="2:2">
      <c r="B2" t="s">
        <v>0</v>
      </c>
    </row>
    <row r="3" spans="2:2">
      <c r="B3" t="s">
        <v>1</v>
      </c>
    </row>
    <row r="4" spans="2:2">
      <c r="B4" t="s">
        <v>2</v>
      </c>
    </row>
    <row r="5" spans="2:2">
      <c r="B5" t="s">
        <v>3</v>
      </c>
    </row>
    <row r="7" spans="2:2">
      <c r="B7" t="s">
        <v>4</v>
      </c>
    </row>
    <row r="8" spans="2:2">
      <c r="B8" t="s">
        <v>5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4E17-CA0A-4301-AD73-67514E649680}">
  <dimension ref="A7:V570"/>
  <sheetViews>
    <sheetView topLeftCell="A346" zoomScale="55" zoomScaleNormal="55" workbookViewId="0">
      <selection activeCell="G386" sqref="G386"/>
    </sheetView>
  </sheetViews>
  <sheetFormatPr defaultRowHeight="14.45"/>
  <cols>
    <col min="2" max="2" width="17" customWidth="1"/>
    <col min="3" max="3" width="26" customWidth="1"/>
    <col min="4" max="4" width="22.5703125" customWidth="1"/>
    <col min="5" max="5" width="22.85546875" customWidth="1"/>
    <col min="6" max="6" width="22.140625" customWidth="1"/>
    <col min="7" max="7" width="26.28515625" customWidth="1"/>
    <col min="8" max="8" width="20.42578125" customWidth="1"/>
    <col min="9" max="9" width="15" customWidth="1"/>
    <col min="10" max="10" width="15.140625" customWidth="1"/>
    <col min="11" max="11" width="13.7109375" customWidth="1"/>
    <col min="12" max="12" width="14" customWidth="1"/>
    <col min="13" max="13" width="14.7109375" customWidth="1"/>
    <col min="15" max="15" width="20" customWidth="1"/>
    <col min="16" max="16" width="19" customWidth="1"/>
    <col min="17" max="17" width="23.85546875" customWidth="1"/>
  </cols>
  <sheetData>
    <row r="7" spans="1:2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thickBo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6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74"/>
      <c r="S10" s="1"/>
      <c r="T10" s="1"/>
      <c r="U10" s="1"/>
      <c r="V10" s="1"/>
    </row>
    <row r="11" spans="1:22">
      <c r="A11" s="3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73"/>
      <c r="S11" s="1"/>
      <c r="T11" s="1"/>
      <c r="U11" s="1"/>
      <c r="V11" s="1"/>
    </row>
    <row r="12" spans="1:22">
      <c r="A12" s="3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 t="s">
        <v>325</v>
      </c>
      <c r="P12" s="2" t="s">
        <v>326</v>
      </c>
      <c r="Q12" s="2" t="s">
        <v>327</v>
      </c>
      <c r="R12" s="73"/>
      <c r="S12" s="1"/>
      <c r="T12" s="1"/>
      <c r="U12" s="1"/>
      <c r="V12" s="1"/>
    </row>
    <row r="13" spans="1:22" ht="15" thickBot="1">
      <c r="A13" s="3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 t="s">
        <v>328</v>
      </c>
      <c r="P13" s="2" t="s">
        <v>31</v>
      </c>
      <c r="Q13" s="2" t="s">
        <v>329</v>
      </c>
      <c r="R13" s="73"/>
      <c r="S13" s="1"/>
      <c r="T13" s="1"/>
      <c r="U13" s="1"/>
      <c r="V13" s="1"/>
    </row>
    <row r="14" spans="1:22">
      <c r="A14" s="32"/>
      <c r="B14" s="1"/>
      <c r="C14" s="1"/>
      <c r="D14" s="1"/>
      <c r="E14" s="1"/>
      <c r="F14" s="1"/>
      <c r="G14" s="1"/>
      <c r="H14" s="1"/>
      <c r="I14" s="1"/>
      <c r="J14" s="50" t="s">
        <v>330</v>
      </c>
      <c r="K14" s="51" t="s">
        <v>331</v>
      </c>
      <c r="L14" s="51" t="s">
        <v>331</v>
      </c>
      <c r="M14" s="52" t="s">
        <v>331</v>
      </c>
      <c r="N14" s="1"/>
      <c r="O14" s="2" t="s">
        <v>332</v>
      </c>
      <c r="P14" s="2" t="s">
        <v>333</v>
      </c>
      <c r="Q14" s="2" t="s">
        <v>334</v>
      </c>
      <c r="R14" s="73"/>
      <c r="S14" s="1"/>
      <c r="T14" s="1"/>
      <c r="U14" s="1"/>
      <c r="V14" s="1"/>
    </row>
    <row r="15" spans="1:22" ht="15" thickBot="1">
      <c r="A15" s="32"/>
      <c r="B15" s="1"/>
      <c r="C15" s="1"/>
      <c r="D15" s="1"/>
      <c r="E15" s="1"/>
      <c r="F15" s="1"/>
      <c r="G15" s="1"/>
      <c r="H15" s="1"/>
      <c r="I15" s="1"/>
      <c r="J15" s="53" t="s">
        <v>335</v>
      </c>
      <c r="K15" s="54" t="s">
        <v>336</v>
      </c>
      <c r="L15" s="54" t="s">
        <v>337</v>
      </c>
      <c r="M15" s="55" t="s">
        <v>338</v>
      </c>
      <c r="N15" s="1"/>
      <c r="O15" s="2" t="s">
        <v>339</v>
      </c>
      <c r="P15" s="2" t="s">
        <v>340</v>
      </c>
      <c r="Q15" s="2" t="s">
        <v>329</v>
      </c>
      <c r="R15" s="73"/>
      <c r="S15" s="1"/>
      <c r="T15" s="1"/>
      <c r="U15" s="1"/>
      <c r="V15" s="1"/>
    </row>
    <row r="16" spans="1:22" ht="24" thickBot="1">
      <c r="A16" s="32"/>
      <c r="B16" s="56" t="s">
        <v>34</v>
      </c>
      <c r="C16" s="1"/>
      <c r="D16" s="1"/>
      <c r="E16" s="1"/>
      <c r="F16" s="1"/>
      <c r="G16" s="1"/>
      <c r="H16" s="1"/>
      <c r="I16" s="1"/>
      <c r="J16" s="57" t="s">
        <v>341</v>
      </c>
      <c r="K16" s="58" t="s">
        <v>342</v>
      </c>
      <c r="L16" s="57" t="s">
        <v>343</v>
      </c>
      <c r="M16" s="57" t="s">
        <v>344</v>
      </c>
      <c r="N16" s="1"/>
      <c r="O16" s="2" t="s">
        <v>345</v>
      </c>
      <c r="P16" s="2" t="s">
        <v>346</v>
      </c>
      <c r="Q16" s="2" t="s">
        <v>329</v>
      </c>
      <c r="R16" s="73"/>
      <c r="S16" s="1"/>
      <c r="T16" s="1"/>
      <c r="U16" s="1"/>
      <c r="V16" s="1"/>
    </row>
    <row r="17" spans="1:22">
      <c r="A17" s="32"/>
      <c r="B17" s="41" t="s">
        <v>325</v>
      </c>
      <c r="C17" s="24" t="s">
        <v>347</v>
      </c>
      <c r="D17" s="127" t="s">
        <v>348</v>
      </c>
      <c r="E17" s="127"/>
      <c r="F17" s="127"/>
      <c r="G17" s="127"/>
      <c r="H17" s="1"/>
      <c r="I17" s="1"/>
      <c r="J17" s="29" t="s">
        <v>349</v>
      </c>
      <c r="K17" s="59" t="s">
        <v>350</v>
      </c>
      <c r="L17" s="59" t="s">
        <v>351</v>
      </c>
      <c r="M17" s="29" t="s">
        <v>352</v>
      </c>
      <c r="N17" s="1"/>
      <c r="O17" s="1"/>
      <c r="P17" s="1"/>
      <c r="Q17" s="1"/>
      <c r="R17" s="73"/>
      <c r="S17" s="1"/>
      <c r="T17" s="1"/>
      <c r="U17" s="1"/>
      <c r="V17" s="1"/>
    </row>
    <row r="18" spans="1:22">
      <c r="A18" s="32"/>
      <c r="B18" s="24" t="s">
        <v>353</v>
      </c>
      <c r="C18" s="24" t="s">
        <v>354</v>
      </c>
      <c r="D18" s="24" t="s">
        <v>355</v>
      </c>
      <c r="E18" s="24" t="s">
        <v>356</v>
      </c>
      <c r="F18" s="24" t="s">
        <v>357</v>
      </c>
      <c r="G18" s="24" t="s">
        <v>358</v>
      </c>
      <c r="H18" s="1"/>
      <c r="I18" s="1"/>
      <c r="J18" s="29" t="s">
        <v>359</v>
      </c>
      <c r="K18" s="59" t="s">
        <v>360</v>
      </c>
      <c r="L18" s="59" t="s">
        <v>361</v>
      </c>
      <c r="M18" s="29" t="s">
        <v>352</v>
      </c>
      <c r="N18" s="1"/>
      <c r="O18" s="1"/>
      <c r="P18" s="1"/>
      <c r="Q18" s="1"/>
      <c r="R18" s="73"/>
      <c r="S18" s="1"/>
      <c r="T18" s="1"/>
      <c r="U18" s="1"/>
      <c r="V18" s="1"/>
    </row>
    <row r="19" spans="1:22">
      <c r="A19" s="32"/>
      <c r="B19" s="2" t="s">
        <v>328</v>
      </c>
      <c r="C19" s="2" t="s">
        <v>31</v>
      </c>
      <c r="D19" s="2" t="s">
        <v>362</v>
      </c>
      <c r="E19" s="2" t="s">
        <v>363</v>
      </c>
      <c r="F19" s="2" t="s">
        <v>364</v>
      </c>
      <c r="G19" s="2" t="s">
        <v>365</v>
      </c>
      <c r="H19" s="1"/>
      <c r="I19" s="1"/>
      <c r="J19" s="60" t="s">
        <v>366</v>
      </c>
      <c r="K19" s="61" t="s">
        <v>367</v>
      </c>
      <c r="L19" s="61" t="s">
        <v>343</v>
      </c>
      <c r="M19" s="60" t="s">
        <v>344</v>
      </c>
      <c r="N19" s="1"/>
      <c r="O19" s="1"/>
      <c r="P19" s="1"/>
      <c r="Q19" s="1"/>
      <c r="R19" s="73"/>
      <c r="S19" s="1"/>
      <c r="T19" s="1"/>
      <c r="U19" s="1"/>
      <c r="V19" s="1"/>
    </row>
    <row r="20" spans="1:22">
      <c r="A20" s="32"/>
      <c r="B20" s="2" t="s">
        <v>332</v>
      </c>
      <c r="C20" s="2" t="s">
        <v>333</v>
      </c>
      <c r="D20" s="2" t="s">
        <v>368</v>
      </c>
      <c r="E20" s="2" t="s">
        <v>369</v>
      </c>
      <c r="F20" s="2" t="s">
        <v>370</v>
      </c>
      <c r="G20" s="2" t="s">
        <v>371</v>
      </c>
      <c r="H20" s="1"/>
      <c r="I20" s="1"/>
      <c r="J20" s="60" t="s">
        <v>372</v>
      </c>
      <c r="K20" s="61" t="s">
        <v>373</v>
      </c>
      <c r="L20" s="61" t="s">
        <v>343</v>
      </c>
      <c r="M20" s="60" t="s">
        <v>344</v>
      </c>
      <c r="N20" s="1"/>
      <c r="O20" s="1"/>
      <c r="P20" s="1"/>
      <c r="Q20" s="1"/>
      <c r="R20" s="73"/>
      <c r="S20" s="1"/>
      <c r="T20" s="1"/>
      <c r="U20" s="1"/>
      <c r="V20" s="1"/>
    </row>
    <row r="21" spans="1:22">
      <c r="A21" s="32"/>
      <c r="B21" s="2" t="s">
        <v>339</v>
      </c>
      <c r="C21" s="2" t="s">
        <v>340</v>
      </c>
      <c r="D21" s="2" t="s">
        <v>374</v>
      </c>
      <c r="E21" s="2" t="s">
        <v>375</v>
      </c>
      <c r="F21" s="2" t="s">
        <v>376</v>
      </c>
      <c r="G21" s="2" t="s">
        <v>377</v>
      </c>
      <c r="H21" s="1"/>
      <c r="I21" s="1"/>
      <c r="J21" s="29" t="s">
        <v>378</v>
      </c>
      <c r="K21" s="29" t="s">
        <v>379</v>
      </c>
      <c r="L21" s="59" t="s">
        <v>380</v>
      </c>
      <c r="M21" s="29" t="s">
        <v>352</v>
      </c>
      <c r="N21" s="1"/>
      <c r="O21" s="1"/>
      <c r="P21" s="1"/>
      <c r="Q21" s="1"/>
      <c r="R21" s="73"/>
      <c r="S21" s="1"/>
      <c r="T21" s="1"/>
      <c r="U21" s="1"/>
      <c r="V21" s="1"/>
    </row>
    <row r="22" spans="1:22">
      <c r="A22" s="32"/>
      <c r="B22" s="2" t="s">
        <v>345</v>
      </c>
      <c r="C22" s="2" t="s">
        <v>346</v>
      </c>
      <c r="D22" s="2" t="s">
        <v>381</v>
      </c>
      <c r="E22" s="2" t="s">
        <v>382</v>
      </c>
      <c r="F22" s="2" t="s">
        <v>383</v>
      </c>
      <c r="G22" s="2" t="s">
        <v>384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73"/>
      <c r="S22" s="62"/>
      <c r="T22" s="1"/>
      <c r="U22" s="1"/>
      <c r="V22" s="1"/>
    </row>
    <row r="23" spans="1:22">
      <c r="A23" s="3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73"/>
      <c r="S23" s="63"/>
      <c r="T23" s="1"/>
      <c r="U23" s="1"/>
      <c r="V23" s="1"/>
    </row>
    <row r="24" spans="1:22" ht="15" thickBot="1">
      <c r="A24" s="32"/>
      <c r="B24" s="24" t="s">
        <v>325</v>
      </c>
      <c r="C24" s="24" t="s">
        <v>385</v>
      </c>
      <c r="D24" s="127" t="s">
        <v>348</v>
      </c>
      <c r="E24" s="127"/>
      <c r="F24" s="127"/>
      <c r="G24" s="127"/>
      <c r="H24" s="1"/>
      <c r="I24" s="1"/>
      <c r="J24" s="1"/>
      <c r="K24" s="1"/>
      <c r="L24" s="1"/>
      <c r="M24" s="1"/>
      <c r="N24" s="1"/>
      <c r="O24" s="1"/>
      <c r="P24" s="1"/>
      <c r="Q24" s="1"/>
      <c r="R24" s="73"/>
      <c r="S24" s="63"/>
      <c r="T24" s="1"/>
      <c r="U24" s="1"/>
      <c r="V24" s="1"/>
    </row>
    <row r="25" spans="1:22">
      <c r="A25" s="32"/>
      <c r="B25" s="24" t="s">
        <v>353</v>
      </c>
      <c r="C25" s="24" t="s">
        <v>354</v>
      </c>
      <c r="D25" s="24" t="s">
        <v>355</v>
      </c>
      <c r="E25" s="24" t="s">
        <v>356</v>
      </c>
      <c r="F25" s="24" t="s">
        <v>357</v>
      </c>
      <c r="G25" s="24" t="s">
        <v>358</v>
      </c>
      <c r="H25" s="24" t="s">
        <v>386</v>
      </c>
      <c r="I25" s="1"/>
      <c r="J25" s="50" t="s">
        <v>330</v>
      </c>
      <c r="K25" s="51" t="s">
        <v>331</v>
      </c>
      <c r="L25" s="51" t="s">
        <v>331</v>
      </c>
      <c r="M25" s="52" t="s">
        <v>331</v>
      </c>
      <c r="N25" s="1"/>
      <c r="O25" s="2" t="s">
        <v>325</v>
      </c>
      <c r="P25" s="2" t="s">
        <v>326</v>
      </c>
      <c r="Q25" s="2" t="s">
        <v>327</v>
      </c>
      <c r="R25" s="73"/>
      <c r="S25" s="1"/>
      <c r="T25" s="1"/>
      <c r="U25" s="1"/>
      <c r="V25" s="1"/>
    </row>
    <row r="26" spans="1:22" ht="15" thickBot="1">
      <c r="A26" s="32"/>
      <c r="B26" s="2" t="s">
        <v>328</v>
      </c>
      <c r="C26" s="2" t="s">
        <v>387</v>
      </c>
      <c r="D26" s="2" t="s">
        <v>388</v>
      </c>
      <c r="E26" s="2" t="s">
        <v>389</v>
      </c>
      <c r="F26" s="2" t="s">
        <v>390</v>
      </c>
      <c r="G26" s="2" t="s">
        <v>391</v>
      </c>
      <c r="H26" s="2" t="s">
        <v>392</v>
      </c>
      <c r="I26" s="1"/>
      <c r="J26" s="53" t="s">
        <v>335</v>
      </c>
      <c r="K26" s="54" t="s">
        <v>336</v>
      </c>
      <c r="L26" s="54" t="s">
        <v>337</v>
      </c>
      <c r="M26" s="55" t="s">
        <v>338</v>
      </c>
      <c r="N26" s="1"/>
      <c r="O26" s="2" t="s">
        <v>328</v>
      </c>
      <c r="P26" s="2" t="s">
        <v>387</v>
      </c>
      <c r="Q26" s="2" t="s">
        <v>329</v>
      </c>
      <c r="R26" s="73"/>
      <c r="S26" s="63"/>
      <c r="T26" s="1"/>
      <c r="U26" s="1"/>
      <c r="V26" s="1"/>
    </row>
    <row r="27" spans="1:22">
      <c r="A27" s="32"/>
      <c r="B27" s="2" t="s">
        <v>332</v>
      </c>
      <c r="C27" s="2" t="s">
        <v>393</v>
      </c>
      <c r="D27" s="2" t="s">
        <v>394</v>
      </c>
      <c r="E27" s="2" t="s">
        <v>395</v>
      </c>
      <c r="F27" s="2" t="s">
        <v>396</v>
      </c>
      <c r="G27" s="2" t="s">
        <v>397</v>
      </c>
      <c r="H27" s="1"/>
      <c r="I27" s="1"/>
      <c r="J27" s="64" t="s">
        <v>341</v>
      </c>
      <c r="K27" s="65" t="s">
        <v>398</v>
      </c>
      <c r="L27" s="64" t="s">
        <v>380</v>
      </c>
      <c r="M27" s="64" t="s">
        <v>352</v>
      </c>
      <c r="N27" s="1"/>
      <c r="O27" s="2" t="s">
        <v>332</v>
      </c>
      <c r="P27" s="2" t="s">
        <v>393</v>
      </c>
      <c r="Q27" s="2" t="s">
        <v>329</v>
      </c>
      <c r="R27" s="73"/>
      <c r="S27" s="1"/>
      <c r="T27" s="1"/>
      <c r="U27" s="1"/>
      <c r="V27" s="1"/>
    </row>
    <row r="28" spans="1:22">
      <c r="A28" s="32"/>
      <c r="B28" s="2" t="s">
        <v>339</v>
      </c>
      <c r="C28" s="2" t="s">
        <v>399</v>
      </c>
      <c r="D28" s="2" t="s">
        <v>400</v>
      </c>
      <c r="E28" s="2" t="s">
        <v>401</v>
      </c>
      <c r="F28" s="2" t="s">
        <v>402</v>
      </c>
      <c r="G28" s="2" t="s">
        <v>403</v>
      </c>
      <c r="H28" s="1"/>
      <c r="I28" s="1"/>
      <c r="J28" s="29" t="s">
        <v>349</v>
      </c>
      <c r="K28" s="59" t="s">
        <v>404</v>
      </c>
      <c r="L28" s="29" t="s">
        <v>405</v>
      </c>
      <c r="M28" s="29" t="s">
        <v>352</v>
      </c>
      <c r="N28" s="1"/>
      <c r="O28" s="2" t="s">
        <v>339</v>
      </c>
      <c r="P28" s="2" t="s">
        <v>399</v>
      </c>
      <c r="Q28" s="2" t="s">
        <v>329</v>
      </c>
      <c r="R28" s="73"/>
      <c r="S28" s="1"/>
      <c r="T28" s="1"/>
      <c r="U28" s="1"/>
      <c r="V28" s="1"/>
    </row>
    <row r="29" spans="1:22">
      <c r="A29" s="32"/>
      <c r="B29" s="1"/>
      <c r="C29" s="1"/>
      <c r="D29" s="1"/>
      <c r="E29" s="1"/>
      <c r="F29" s="1"/>
      <c r="G29" s="1"/>
      <c r="H29" s="1"/>
      <c r="I29" s="1"/>
      <c r="J29" s="29" t="s">
        <v>366</v>
      </c>
      <c r="K29" s="59" t="s">
        <v>406</v>
      </c>
      <c r="L29" s="29" t="s">
        <v>407</v>
      </c>
      <c r="M29" s="29" t="s">
        <v>352</v>
      </c>
      <c r="N29" s="1"/>
      <c r="O29" s="1"/>
      <c r="P29" s="1"/>
      <c r="Q29" s="1"/>
      <c r="R29" s="73"/>
      <c r="S29" s="1"/>
      <c r="T29" s="1"/>
      <c r="U29" s="1"/>
      <c r="V29" s="1"/>
    </row>
    <row r="30" spans="1:22">
      <c r="A30" s="3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73"/>
      <c r="S30" s="1"/>
      <c r="T30" s="1"/>
      <c r="U30" s="1"/>
      <c r="V30" s="1"/>
    </row>
    <row r="31" spans="1:22">
      <c r="A31" s="3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73"/>
      <c r="S31" s="1"/>
      <c r="T31" s="1"/>
      <c r="U31" s="1"/>
      <c r="V31" s="1"/>
    </row>
    <row r="32" spans="1:22">
      <c r="A32" s="3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73"/>
      <c r="S32" s="1"/>
      <c r="T32" s="1"/>
      <c r="U32" s="1"/>
      <c r="V32" s="1"/>
    </row>
    <row r="33" spans="1:22" ht="15" thickBot="1">
      <c r="A33" s="32"/>
      <c r="B33" s="24" t="s">
        <v>325</v>
      </c>
      <c r="C33" s="24" t="s">
        <v>408</v>
      </c>
      <c r="D33" s="127" t="s">
        <v>348</v>
      </c>
      <c r="E33" s="127"/>
      <c r="F33" s="127"/>
      <c r="G33" s="127"/>
      <c r="H33" s="1"/>
      <c r="I33" s="1"/>
      <c r="J33" s="1"/>
      <c r="K33" s="1"/>
      <c r="L33" s="1"/>
      <c r="M33" s="1"/>
      <c r="N33" s="1"/>
      <c r="O33" s="1"/>
      <c r="P33" s="1"/>
      <c r="Q33" s="1"/>
      <c r="R33" s="73"/>
      <c r="S33" s="1"/>
      <c r="T33" s="1"/>
      <c r="U33" s="1"/>
      <c r="V33" s="1"/>
    </row>
    <row r="34" spans="1:22">
      <c r="A34" s="32"/>
      <c r="B34" s="24" t="s">
        <v>353</v>
      </c>
      <c r="C34" s="24" t="s">
        <v>354</v>
      </c>
      <c r="D34" s="24" t="s">
        <v>355</v>
      </c>
      <c r="E34" s="24" t="s">
        <v>356</v>
      </c>
      <c r="F34" s="24" t="s">
        <v>357</v>
      </c>
      <c r="G34" s="24" t="s">
        <v>358</v>
      </c>
      <c r="H34" s="1"/>
      <c r="I34" s="1"/>
      <c r="J34" s="50" t="s">
        <v>330</v>
      </c>
      <c r="K34" s="51" t="s">
        <v>331</v>
      </c>
      <c r="L34" s="51" t="s">
        <v>331</v>
      </c>
      <c r="M34" s="52" t="s">
        <v>331</v>
      </c>
      <c r="N34" s="1"/>
      <c r="O34" s="2" t="s">
        <v>325</v>
      </c>
      <c r="P34" s="2" t="s">
        <v>326</v>
      </c>
      <c r="Q34" s="2" t="s">
        <v>327</v>
      </c>
      <c r="R34" s="73"/>
      <c r="S34" s="1"/>
      <c r="T34" s="1"/>
      <c r="U34" s="1"/>
      <c r="V34" s="1"/>
    </row>
    <row r="35" spans="1:22" ht="15" thickBot="1">
      <c r="A35" s="32"/>
      <c r="B35" s="2" t="s">
        <v>328</v>
      </c>
      <c r="C35" s="2" t="s">
        <v>387</v>
      </c>
      <c r="D35" s="2" t="s">
        <v>409</v>
      </c>
      <c r="E35" s="2" t="s">
        <v>410</v>
      </c>
      <c r="F35" s="2" t="s">
        <v>411</v>
      </c>
      <c r="G35" s="2" t="s">
        <v>412</v>
      </c>
      <c r="H35" s="1"/>
      <c r="I35" s="1"/>
      <c r="J35" s="53" t="s">
        <v>335</v>
      </c>
      <c r="K35" s="54" t="s">
        <v>336</v>
      </c>
      <c r="L35" s="54" t="s">
        <v>337</v>
      </c>
      <c r="M35" s="55" t="s">
        <v>338</v>
      </c>
      <c r="N35" s="1"/>
      <c r="O35" s="2" t="s">
        <v>328</v>
      </c>
      <c r="P35" s="2" t="s">
        <v>387</v>
      </c>
      <c r="Q35" s="2" t="s">
        <v>413</v>
      </c>
      <c r="R35" s="73"/>
      <c r="S35" s="1"/>
      <c r="T35" s="1"/>
      <c r="U35" s="1"/>
      <c r="V35" s="1"/>
    </row>
    <row r="36" spans="1:22">
      <c r="A36" s="32"/>
      <c r="B36" s="2" t="s">
        <v>332</v>
      </c>
      <c r="C36" s="2" t="s">
        <v>393</v>
      </c>
      <c r="D36" s="2" t="s">
        <v>414</v>
      </c>
      <c r="E36" s="2" t="s">
        <v>415</v>
      </c>
      <c r="F36" s="2" t="s">
        <v>416</v>
      </c>
      <c r="G36" s="2" t="s">
        <v>417</v>
      </c>
      <c r="H36" s="1"/>
      <c r="I36" s="1"/>
      <c r="J36" s="64" t="s">
        <v>341</v>
      </c>
      <c r="K36" s="64" t="s">
        <v>418</v>
      </c>
      <c r="L36" s="65" t="s">
        <v>419</v>
      </c>
      <c r="M36" s="64" t="s">
        <v>352</v>
      </c>
      <c r="N36" s="1"/>
      <c r="O36" s="2" t="s">
        <v>332</v>
      </c>
      <c r="P36" s="2" t="s">
        <v>393</v>
      </c>
      <c r="Q36" s="2" t="s">
        <v>329</v>
      </c>
      <c r="R36" s="73"/>
      <c r="S36" s="1"/>
      <c r="T36" s="1"/>
      <c r="U36" s="1"/>
      <c r="V36" s="1"/>
    </row>
    <row r="37" spans="1:22">
      <c r="A37" s="32"/>
      <c r="B37" s="2" t="s">
        <v>339</v>
      </c>
      <c r="C37" s="2" t="s">
        <v>399</v>
      </c>
      <c r="D37" s="2" t="s">
        <v>420</v>
      </c>
      <c r="E37" s="2" t="s">
        <v>421</v>
      </c>
      <c r="F37" s="2" t="s">
        <v>422</v>
      </c>
      <c r="G37" s="2" t="s">
        <v>423</v>
      </c>
      <c r="H37" s="1"/>
      <c r="I37" s="1"/>
      <c r="J37" s="29" t="s">
        <v>349</v>
      </c>
      <c r="K37" s="59" t="s">
        <v>424</v>
      </c>
      <c r="L37" s="29" t="s">
        <v>425</v>
      </c>
      <c r="M37" s="29" t="s">
        <v>352</v>
      </c>
      <c r="N37" s="1"/>
      <c r="O37" s="2" t="s">
        <v>339</v>
      </c>
      <c r="P37" s="2" t="s">
        <v>399</v>
      </c>
      <c r="Q37" s="2" t="s">
        <v>334</v>
      </c>
      <c r="R37" s="73"/>
      <c r="S37" s="1"/>
      <c r="T37" s="1"/>
      <c r="U37" s="1"/>
      <c r="V37" s="1"/>
    </row>
    <row r="38" spans="1:22">
      <c r="A38" s="32"/>
      <c r="B38" s="1"/>
      <c r="C38" s="1"/>
      <c r="D38" s="1"/>
      <c r="E38" s="1"/>
      <c r="F38" s="1"/>
      <c r="G38" s="1"/>
      <c r="H38" s="1"/>
      <c r="I38" s="1"/>
      <c r="J38" s="66" t="s">
        <v>366</v>
      </c>
      <c r="K38" s="67" t="s">
        <v>426</v>
      </c>
      <c r="L38" s="67" t="s">
        <v>427</v>
      </c>
      <c r="M38" s="66" t="s">
        <v>428</v>
      </c>
      <c r="N38" s="1"/>
      <c r="O38" s="1"/>
      <c r="P38" s="1"/>
      <c r="Q38" s="1"/>
      <c r="R38" s="73"/>
      <c r="S38" s="1"/>
      <c r="T38" s="1"/>
      <c r="U38" s="1"/>
      <c r="V38" s="1"/>
    </row>
    <row r="39" spans="1:22">
      <c r="A39" s="32"/>
      <c r="B39" s="1"/>
      <c r="C39" s="1"/>
      <c r="D39" s="1"/>
      <c r="E39" s="1"/>
      <c r="F39" s="1"/>
      <c r="G39" s="1"/>
      <c r="H39" s="1"/>
      <c r="I39" s="1"/>
      <c r="J39" s="1"/>
      <c r="K39" s="1"/>
      <c r="L39" s="63"/>
      <c r="M39" s="1"/>
      <c r="N39" s="1"/>
      <c r="O39" s="1"/>
      <c r="P39" s="1"/>
      <c r="Q39" s="1"/>
      <c r="R39" s="73"/>
      <c r="S39" s="1"/>
      <c r="T39" s="1"/>
      <c r="U39" s="1"/>
      <c r="V39" s="1"/>
    </row>
    <row r="40" spans="1:22">
      <c r="A40" s="3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73"/>
      <c r="S40" s="1"/>
      <c r="T40" s="1"/>
      <c r="U40" s="1"/>
      <c r="V40" s="1"/>
    </row>
    <row r="41" spans="1:22">
      <c r="A41" s="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73"/>
      <c r="S41" s="1"/>
      <c r="T41" s="1"/>
      <c r="U41" s="1"/>
      <c r="V41" s="1"/>
    </row>
    <row r="42" spans="1:22" ht="15" thickBot="1">
      <c r="A42" s="32"/>
      <c r="B42" s="24" t="s">
        <v>325</v>
      </c>
      <c r="C42" s="24" t="s">
        <v>429</v>
      </c>
      <c r="D42" s="127" t="s">
        <v>348</v>
      </c>
      <c r="E42" s="127"/>
      <c r="F42" s="127"/>
      <c r="G42" s="127"/>
      <c r="H42" s="1"/>
      <c r="I42" s="1"/>
      <c r="J42" s="1"/>
      <c r="K42" s="1"/>
      <c r="L42" s="1"/>
      <c r="M42" s="1"/>
      <c r="N42" s="1"/>
      <c r="O42" s="1"/>
      <c r="P42" s="1"/>
      <c r="Q42" s="1"/>
      <c r="R42" s="73"/>
      <c r="S42" s="1"/>
      <c r="T42" s="1"/>
      <c r="U42" s="1"/>
      <c r="V42" s="1"/>
    </row>
    <row r="43" spans="1:22">
      <c r="A43" s="32"/>
      <c r="B43" s="24" t="s">
        <v>353</v>
      </c>
      <c r="C43" s="24" t="s">
        <v>354</v>
      </c>
      <c r="D43" s="24" t="s">
        <v>355</v>
      </c>
      <c r="E43" s="24" t="s">
        <v>356</v>
      </c>
      <c r="F43" s="24" t="s">
        <v>357</v>
      </c>
      <c r="G43" s="24" t="s">
        <v>358</v>
      </c>
      <c r="H43" s="1"/>
      <c r="I43" s="1"/>
      <c r="J43" s="50" t="s">
        <v>330</v>
      </c>
      <c r="K43" s="51" t="s">
        <v>331</v>
      </c>
      <c r="L43" s="51" t="s">
        <v>331</v>
      </c>
      <c r="M43" s="52" t="s">
        <v>331</v>
      </c>
      <c r="N43" s="1"/>
      <c r="O43" s="2" t="s">
        <v>325</v>
      </c>
      <c r="P43" s="2" t="s">
        <v>326</v>
      </c>
      <c r="Q43" s="2" t="s">
        <v>327</v>
      </c>
      <c r="R43" s="73"/>
      <c r="S43" s="1"/>
      <c r="T43" s="1"/>
      <c r="U43" s="1"/>
      <c r="V43" s="1"/>
    </row>
    <row r="44" spans="1:22" ht="15" thickBot="1">
      <c r="A44" s="32"/>
      <c r="B44" s="2" t="s">
        <v>328</v>
      </c>
      <c r="C44" s="2" t="s">
        <v>387</v>
      </c>
      <c r="D44" s="2" t="s">
        <v>430</v>
      </c>
      <c r="E44" s="2" t="s">
        <v>431</v>
      </c>
      <c r="F44" s="2" t="s">
        <v>432</v>
      </c>
      <c r="G44" s="2" t="s">
        <v>433</v>
      </c>
      <c r="H44" s="1"/>
      <c r="I44" s="1"/>
      <c r="J44" s="53" t="s">
        <v>335</v>
      </c>
      <c r="K44" s="54" t="s">
        <v>336</v>
      </c>
      <c r="L44" s="54" t="s">
        <v>337</v>
      </c>
      <c r="M44" s="55" t="s">
        <v>338</v>
      </c>
      <c r="N44" s="1"/>
      <c r="O44" s="2" t="s">
        <v>328</v>
      </c>
      <c r="P44" s="2" t="s">
        <v>387</v>
      </c>
      <c r="Q44" s="2" t="s">
        <v>329</v>
      </c>
      <c r="R44" s="73"/>
      <c r="S44" s="1"/>
      <c r="T44" s="1"/>
      <c r="U44" s="1"/>
      <c r="V44" s="1"/>
    </row>
    <row r="45" spans="1:22">
      <c r="A45" s="32"/>
      <c r="B45" s="2" t="s">
        <v>332</v>
      </c>
      <c r="C45" s="2" t="s">
        <v>393</v>
      </c>
      <c r="D45" s="2" t="s">
        <v>434</v>
      </c>
      <c r="E45" s="2" t="s">
        <v>435</v>
      </c>
      <c r="F45" s="2" t="s">
        <v>436</v>
      </c>
      <c r="G45" s="2" t="s">
        <v>437</v>
      </c>
      <c r="H45" s="1"/>
      <c r="I45" s="1"/>
      <c r="J45" s="64" t="s">
        <v>341</v>
      </c>
      <c r="K45" s="65" t="s">
        <v>438</v>
      </c>
      <c r="L45" s="68">
        <v>9.1311100000000006E-2</v>
      </c>
      <c r="M45" s="64" t="s">
        <v>352</v>
      </c>
      <c r="N45" s="1"/>
      <c r="O45" s="2" t="s">
        <v>332</v>
      </c>
      <c r="P45" s="2" t="s">
        <v>393</v>
      </c>
      <c r="Q45" s="2" t="s">
        <v>329</v>
      </c>
      <c r="R45" s="73"/>
      <c r="S45" s="1"/>
      <c r="T45" s="1"/>
      <c r="U45" s="1"/>
      <c r="V45" s="1"/>
    </row>
    <row r="46" spans="1:22">
      <c r="A46" s="32"/>
      <c r="B46" s="2" t="s">
        <v>339</v>
      </c>
      <c r="C46" s="2" t="s">
        <v>399</v>
      </c>
      <c r="D46" s="2" t="s">
        <v>439</v>
      </c>
      <c r="E46" s="2" t="s">
        <v>440</v>
      </c>
      <c r="F46" s="2" t="s">
        <v>441</v>
      </c>
      <c r="G46" s="2" t="s">
        <v>442</v>
      </c>
      <c r="H46" s="1"/>
      <c r="I46" s="1"/>
      <c r="J46" s="29" t="s">
        <v>349</v>
      </c>
      <c r="K46" s="29" t="s">
        <v>443</v>
      </c>
      <c r="L46" s="59" t="s">
        <v>380</v>
      </c>
      <c r="M46" s="29" t="s">
        <v>352</v>
      </c>
      <c r="N46" s="1"/>
      <c r="O46" s="2" t="s">
        <v>339</v>
      </c>
      <c r="P46" s="2" t="s">
        <v>399</v>
      </c>
      <c r="Q46" s="2" t="s">
        <v>329</v>
      </c>
      <c r="R46" s="73"/>
      <c r="S46" s="1"/>
      <c r="T46" s="1"/>
      <c r="U46" s="1"/>
      <c r="V46" s="1"/>
    </row>
    <row r="47" spans="1:22">
      <c r="A47" s="32"/>
      <c r="B47" s="1"/>
      <c r="C47" s="1"/>
      <c r="D47" s="1"/>
      <c r="E47" s="1"/>
      <c r="F47" s="1"/>
      <c r="G47" s="1"/>
      <c r="H47" s="1"/>
      <c r="I47" s="1"/>
      <c r="J47" s="29" t="s">
        <v>366</v>
      </c>
      <c r="K47" s="59" t="s">
        <v>444</v>
      </c>
      <c r="L47" s="59" t="s">
        <v>445</v>
      </c>
      <c r="M47" s="29" t="s">
        <v>352</v>
      </c>
      <c r="N47" s="1"/>
      <c r="O47" s="1"/>
      <c r="P47" s="1"/>
      <c r="Q47" s="1"/>
      <c r="R47" s="73"/>
      <c r="S47" s="1"/>
      <c r="T47" s="1"/>
      <c r="U47" s="1"/>
      <c r="V47" s="1"/>
    </row>
    <row r="48" spans="1:22">
      <c r="A48" s="3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73"/>
      <c r="S48" s="1"/>
      <c r="T48" s="1"/>
      <c r="U48" s="1"/>
      <c r="V48" s="1"/>
    </row>
    <row r="49" spans="1:22">
      <c r="A49" s="32"/>
      <c r="B49" s="1"/>
      <c r="C49" s="1"/>
      <c r="D49" s="1"/>
      <c r="E49" s="1"/>
      <c r="F49" s="1"/>
      <c r="G49" s="1"/>
      <c r="H49" s="1"/>
      <c r="I49" s="1"/>
      <c r="J49" s="1"/>
      <c r="K49" s="1"/>
      <c r="L49" s="63"/>
      <c r="M49" s="1"/>
      <c r="N49" s="1"/>
      <c r="O49" s="1"/>
      <c r="P49" s="1"/>
      <c r="Q49" s="1"/>
      <c r="R49" s="73"/>
      <c r="S49" s="1"/>
      <c r="T49" s="1"/>
      <c r="U49" s="1"/>
      <c r="V49" s="1"/>
    </row>
    <row r="50" spans="1:22">
      <c r="A50" s="3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73"/>
      <c r="S50" s="1"/>
      <c r="T50" s="1"/>
      <c r="U50" s="1"/>
      <c r="V50" s="1"/>
    </row>
    <row r="51" spans="1:22" ht="15" thickBot="1">
      <c r="A51" s="32"/>
      <c r="B51" s="24" t="s">
        <v>325</v>
      </c>
      <c r="C51" s="24" t="s">
        <v>446</v>
      </c>
      <c r="D51" s="127" t="s">
        <v>348</v>
      </c>
      <c r="E51" s="127"/>
      <c r="F51" s="127"/>
      <c r="G51" s="127"/>
      <c r="H51" s="1"/>
      <c r="I51" s="1"/>
      <c r="J51" s="1"/>
      <c r="K51" s="1"/>
      <c r="L51" s="1"/>
      <c r="M51" s="1"/>
      <c r="N51" s="1"/>
      <c r="O51" s="1"/>
      <c r="P51" s="1"/>
      <c r="Q51" s="1"/>
      <c r="R51" s="73"/>
      <c r="S51" s="1"/>
      <c r="T51" s="1"/>
      <c r="U51" s="1"/>
      <c r="V51" s="1"/>
    </row>
    <row r="52" spans="1:22">
      <c r="A52" s="32"/>
      <c r="B52" s="24" t="s">
        <v>353</v>
      </c>
      <c r="C52" s="24" t="s">
        <v>354</v>
      </c>
      <c r="D52" s="24" t="s">
        <v>355</v>
      </c>
      <c r="E52" s="24" t="s">
        <v>356</v>
      </c>
      <c r="F52" s="24" t="s">
        <v>357</v>
      </c>
      <c r="G52" s="24" t="s">
        <v>358</v>
      </c>
      <c r="H52" s="1"/>
      <c r="I52" s="1"/>
      <c r="J52" s="50" t="s">
        <v>330</v>
      </c>
      <c r="K52" s="51" t="s">
        <v>331</v>
      </c>
      <c r="L52" s="51" t="s">
        <v>331</v>
      </c>
      <c r="M52" s="52" t="s">
        <v>331</v>
      </c>
      <c r="N52" s="1"/>
      <c r="O52" s="2" t="s">
        <v>325</v>
      </c>
      <c r="P52" s="2" t="s">
        <v>326</v>
      </c>
      <c r="Q52" s="2" t="s">
        <v>327</v>
      </c>
      <c r="R52" s="73"/>
      <c r="S52" s="1"/>
      <c r="T52" s="1"/>
      <c r="U52" s="1"/>
      <c r="V52" s="1"/>
    </row>
    <row r="53" spans="1:22" ht="15" thickBot="1">
      <c r="A53" s="32"/>
      <c r="B53" s="2" t="s">
        <v>328</v>
      </c>
      <c r="C53" s="2" t="s">
        <v>387</v>
      </c>
      <c r="D53" s="2" t="s">
        <v>447</v>
      </c>
      <c r="E53" s="2" t="s">
        <v>448</v>
      </c>
      <c r="F53" s="2" t="s">
        <v>449</v>
      </c>
      <c r="G53" s="2" t="s">
        <v>450</v>
      </c>
      <c r="H53" s="1"/>
      <c r="I53" s="1"/>
      <c r="J53" s="53" t="s">
        <v>335</v>
      </c>
      <c r="K53" s="54" t="s">
        <v>336</v>
      </c>
      <c r="L53" s="69" t="s">
        <v>337</v>
      </c>
      <c r="M53" s="55" t="s">
        <v>338</v>
      </c>
      <c r="N53" s="1"/>
      <c r="O53" s="2" t="s">
        <v>328</v>
      </c>
      <c r="P53" s="2" t="s">
        <v>387</v>
      </c>
      <c r="Q53" s="2" t="s">
        <v>413</v>
      </c>
      <c r="R53" s="73"/>
      <c r="S53" s="1"/>
      <c r="T53" s="1"/>
      <c r="U53" s="1"/>
      <c r="V53" s="1"/>
    </row>
    <row r="54" spans="1:22">
      <c r="A54" s="32"/>
      <c r="B54" s="2" t="s">
        <v>332</v>
      </c>
      <c r="C54" s="2" t="s">
        <v>393</v>
      </c>
      <c r="D54" s="2" t="s">
        <v>451</v>
      </c>
      <c r="E54" s="2" t="s">
        <v>452</v>
      </c>
      <c r="F54" s="2" t="s">
        <v>453</v>
      </c>
      <c r="G54" s="2" t="s">
        <v>454</v>
      </c>
      <c r="H54" s="1"/>
      <c r="I54" s="1"/>
      <c r="J54" s="64" t="s">
        <v>341</v>
      </c>
      <c r="K54" s="64" t="s">
        <v>455</v>
      </c>
      <c r="L54" s="65" t="s">
        <v>456</v>
      </c>
      <c r="M54" s="64" t="s">
        <v>352</v>
      </c>
      <c r="N54" s="1"/>
      <c r="O54" s="2" t="s">
        <v>332</v>
      </c>
      <c r="P54" s="2" t="s">
        <v>393</v>
      </c>
      <c r="Q54" s="2" t="s">
        <v>329</v>
      </c>
      <c r="R54" s="73"/>
      <c r="S54" s="1"/>
      <c r="T54" s="1"/>
      <c r="U54" s="1"/>
      <c r="V54" s="1"/>
    </row>
    <row r="55" spans="1:22">
      <c r="A55" s="32"/>
      <c r="B55" s="2" t="s">
        <v>339</v>
      </c>
      <c r="C55" s="2" t="s">
        <v>399</v>
      </c>
      <c r="D55" s="2" t="s">
        <v>457</v>
      </c>
      <c r="E55" s="2" t="s">
        <v>458</v>
      </c>
      <c r="F55" s="2" t="s">
        <v>459</v>
      </c>
      <c r="G55" s="2" t="s">
        <v>460</v>
      </c>
      <c r="H55" s="1"/>
      <c r="I55" s="1"/>
      <c r="J55" s="29" t="s">
        <v>349</v>
      </c>
      <c r="K55" s="29" t="s">
        <v>461</v>
      </c>
      <c r="L55" s="59" t="s">
        <v>462</v>
      </c>
      <c r="M55" s="29" t="s">
        <v>352</v>
      </c>
      <c r="N55" s="1"/>
      <c r="O55" s="2" t="s">
        <v>339</v>
      </c>
      <c r="P55" s="2" t="s">
        <v>399</v>
      </c>
      <c r="Q55" s="2" t="s">
        <v>334</v>
      </c>
      <c r="R55" s="73"/>
      <c r="S55" s="1"/>
      <c r="T55" s="1"/>
      <c r="U55" s="1"/>
      <c r="V55" s="1"/>
    </row>
    <row r="56" spans="1:22">
      <c r="A56" s="32"/>
      <c r="B56" s="1"/>
      <c r="C56" s="1"/>
      <c r="D56" s="1"/>
      <c r="E56" s="1"/>
      <c r="F56" s="1"/>
      <c r="G56" s="1"/>
      <c r="H56" s="1"/>
      <c r="I56" s="1"/>
      <c r="J56" s="66" t="s">
        <v>366</v>
      </c>
      <c r="K56" s="67" t="s">
        <v>463</v>
      </c>
      <c r="L56" s="67" t="s">
        <v>464</v>
      </c>
      <c r="M56" s="66" t="s">
        <v>428</v>
      </c>
      <c r="N56" s="1"/>
      <c r="O56" s="1"/>
      <c r="P56" s="1"/>
      <c r="Q56" s="1"/>
      <c r="R56" s="73"/>
      <c r="S56" s="1"/>
      <c r="T56" s="1"/>
      <c r="U56" s="1"/>
      <c r="V56" s="1"/>
    </row>
    <row r="57" spans="1:22" ht="15" thickBot="1">
      <c r="A57" s="33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93"/>
      <c r="M57" s="75"/>
      <c r="N57" s="75"/>
      <c r="O57" s="75"/>
      <c r="P57" s="75"/>
      <c r="Q57" s="75"/>
      <c r="R57" s="76"/>
      <c r="S57" s="1"/>
      <c r="T57" s="1"/>
      <c r="U57" s="1"/>
      <c r="V57" s="1"/>
    </row>
    <row r="58" spans="1:2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 thickBot="1">
      <c r="B59" s="1"/>
      <c r="C59" s="1"/>
      <c r="D59" s="1"/>
      <c r="E59" s="1"/>
      <c r="F59" s="1"/>
      <c r="G59" s="1"/>
      <c r="H59" s="1"/>
      <c r="I59" s="1"/>
      <c r="J59" s="1"/>
      <c r="K59" s="1"/>
      <c r="L59" s="63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91"/>
      <c r="S60" s="1"/>
      <c r="T60" s="1"/>
      <c r="U60" s="1"/>
      <c r="V60" s="1"/>
    </row>
    <row r="61" spans="1:22">
      <c r="A61" s="77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9"/>
      <c r="S61" s="1"/>
      <c r="T61" s="1"/>
      <c r="U61" s="1"/>
      <c r="V61" s="1"/>
    </row>
    <row r="62" spans="1:22">
      <c r="A62" s="77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9"/>
      <c r="S62" s="1"/>
      <c r="T62" s="1"/>
      <c r="U62" s="1"/>
      <c r="V62" s="1"/>
    </row>
    <row r="63" spans="1:22" ht="15" thickBot="1">
      <c r="A63" s="77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9"/>
      <c r="S63" s="1"/>
      <c r="T63" s="1"/>
      <c r="U63" s="1"/>
      <c r="V63" s="1"/>
    </row>
    <row r="64" spans="1:22" ht="24" thickBot="1">
      <c r="A64" s="77"/>
      <c r="B64" s="86" t="s">
        <v>6</v>
      </c>
      <c r="C64" s="78"/>
      <c r="D64" s="78"/>
      <c r="E64" s="78"/>
      <c r="F64" s="78"/>
      <c r="G64" s="78"/>
      <c r="H64" s="78"/>
      <c r="I64" s="78"/>
      <c r="J64" s="50" t="s">
        <v>330</v>
      </c>
      <c r="K64" s="51" t="s">
        <v>331</v>
      </c>
      <c r="L64" s="51" t="s">
        <v>331</v>
      </c>
      <c r="M64" s="52" t="s">
        <v>331</v>
      </c>
      <c r="N64" s="78"/>
      <c r="O64" s="78"/>
      <c r="P64" s="78"/>
      <c r="Q64" s="78"/>
      <c r="R64" s="79"/>
      <c r="S64" s="1"/>
      <c r="T64" s="1"/>
      <c r="U64" s="1"/>
      <c r="V64" s="1"/>
    </row>
    <row r="65" spans="1:22" ht="15" thickBot="1">
      <c r="A65" s="77"/>
      <c r="B65" s="87" t="s">
        <v>325</v>
      </c>
      <c r="C65" s="84" t="s">
        <v>347</v>
      </c>
      <c r="D65" s="129" t="s">
        <v>348</v>
      </c>
      <c r="E65" s="129"/>
      <c r="F65" s="129"/>
      <c r="G65" s="129"/>
      <c r="H65" s="78"/>
      <c r="I65" s="78"/>
      <c r="J65" s="53" t="s">
        <v>335</v>
      </c>
      <c r="K65" s="54" t="s">
        <v>336</v>
      </c>
      <c r="L65" s="54" t="s">
        <v>337</v>
      </c>
      <c r="M65" s="55" t="s">
        <v>338</v>
      </c>
      <c r="N65" s="78"/>
      <c r="O65" s="83" t="s">
        <v>325</v>
      </c>
      <c r="P65" s="83" t="s">
        <v>326</v>
      </c>
      <c r="Q65" s="83" t="s">
        <v>327</v>
      </c>
      <c r="R65" s="79"/>
      <c r="S65" s="1"/>
      <c r="T65" s="1"/>
      <c r="U65" s="1"/>
      <c r="V65" s="1"/>
    </row>
    <row r="66" spans="1:22">
      <c r="A66" s="77"/>
      <c r="B66" s="84" t="s">
        <v>353</v>
      </c>
      <c r="C66" s="84" t="s">
        <v>354</v>
      </c>
      <c r="D66" s="84" t="s">
        <v>355</v>
      </c>
      <c r="E66" s="84" t="s">
        <v>356</v>
      </c>
      <c r="F66" s="84" t="s">
        <v>357</v>
      </c>
      <c r="G66" s="84" t="s">
        <v>358</v>
      </c>
      <c r="H66" s="78"/>
      <c r="I66" s="78"/>
      <c r="J66" s="70" t="s">
        <v>341</v>
      </c>
      <c r="K66" s="71" t="s">
        <v>465</v>
      </c>
      <c r="L66" s="70" t="s">
        <v>466</v>
      </c>
      <c r="M66" s="70" t="s">
        <v>428</v>
      </c>
      <c r="N66" s="78"/>
      <c r="O66" s="83" t="s">
        <v>328</v>
      </c>
      <c r="P66" s="83" t="s">
        <v>31</v>
      </c>
      <c r="Q66" s="83" t="s">
        <v>329</v>
      </c>
      <c r="R66" s="79"/>
      <c r="S66" s="1"/>
      <c r="T66" s="1"/>
      <c r="U66" s="1"/>
      <c r="V66" s="1"/>
    </row>
    <row r="67" spans="1:22">
      <c r="A67" s="77"/>
      <c r="B67" s="83" t="s">
        <v>328</v>
      </c>
      <c r="C67" s="83" t="s">
        <v>31</v>
      </c>
      <c r="D67" s="83" t="s">
        <v>467</v>
      </c>
      <c r="E67" s="83" t="s">
        <v>468</v>
      </c>
      <c r="F67" s="83" t="s">
        <v>469</v>
      </c>
      <c r="G67" s="83" t="s">
        <v>470</v>
      </c>
      <c r="H67" s="78"/>
      <c r="I67" s="78"/>
      <c r="J67" s="29" t="s">
        <v>349</v>
      </c>
      <c r="K67" s="29" t="s">
        <v>471</v>
      </c>
      <c r="L67" s="29" t="s">
        <v>472</v>
      </c>
      <c r="M67" s="29" t="s">
        <v>352</v>
      </c>
      <c r="N67" s="78"/>
      <c r="O67" s="83" t="s">
        <v>332</v>
      </c>
      <c r="P67" s="83" t="s">
        <v>333</v>
      </c>
      <c r="Q67" s="83" t="s">
        <v>334</v>
      </c>
      <c r="R67" s="79"/>
      <c r="S67" s="1"/>
      <c r="T67" s="1"/>
      <c r="U67" s="1"/>
      <c r="V67" s="1"/>
    </row>
    <row r="68" spans="1:22">
      <c r="A68" s="77"/>
      <c r="B68" s="83" t="s">
        <v>332</v>
      </c>
      <c r="C68" s="83" t="s">
        <v>333</v>
      </c>
      <c r="D68" s="83" t="s">
        <v>473</v>
      </c>
      <c r="E68" s="83" t="s">
        <v>474</v>
      </c>
      <c r="F68" s="83" t="s">
        <v>475</v>
      </c>
      <c r="G68" s="83" t="s">
        <v>476</v>
      </c>
      <c r="H68" s="78"/>
      <c r="I68" s="78"/>
      <c r="J68" s="29" t="s">
        <v>359</v>
      </c>
      <c r="K68" s="59" t="s">
        <v>477</v>
      </c>
      <c r="L68" s="29" t="s">
        <v>478</v>
      </c>
      <c r="M68" s="29" t="s">
        <v>352</v>
      </c>
      <c r="N68" s="78"/>
      <c r="O68" s="83" t="s">
        <v>339</v>
      </c>
      <c r="P68" s="83" t="s">
        <v>340</v>
      </c>
      <c r="Q68" s="83" t="s">
        <v>413</v>
      </c>
      <c r="R68" s="79"/>
      <c r="S68" s="1"/>
      <c r="T68" s="1"/>
      <c r="U68" s="1"/>
      <c r="V68" s="1"/>
    </row>
    <row r="69" spans="1:22">
      <c r="A69" s="77"/>
      <c r="B69" s="83" t="s">
        <v>339</v>
      </c>
      <c r="C69" s="83" t="s">
        <v>340</v>
      </c>
      <c r="D69" s="83" t="s">
        <v>479</v>
      </c>
      <c r="E69" s="83" t="s">
        <v>480</v>
      </c>
      <c r="F69" s="83" t="s">
        <v>481</v>
      </c>
      <c r="G69" s="83" t="s">
        <v>482</v>
      </c>
      <c r="H69" s="78"/>
      <c r="I69" s="78"/>
      <c r="J69" s="29" t="s">
        <v>366</v>
      </c>
      <c r="K69" s="59" t="s">
        <v>483</v>
      </c>
      <c r="L69" s="29" t="s">
        <v>484</v>
      </c>
      <c r="M69" s="29" t="s">
        <v>352</v>
      </c>
      <c r="N69" s="78"/>
      <c r="O69" s="83" t="s">
        <v>345</v>
      </c>
      <c r="P69" s="83" t="s">
        <v>346</v>
      </c>
      <c r="Q69" s="83" t="s">
        <v>413</v>
      </c>
      <c r="R69" s="79"/>
      <c r="S69" s="1"/>
      <c r="T69" s="1"/>
      <c r="U69" s="1"/>
      <c r="V69" s="1"/>
    </row>
    <row r="70" spans="1:22">
      <c r="A70" s="77"/>
      <c r="B70" s="83" t="s">
        <v>345</v>
      </c>
      <c r="C70" s="83" t="s">
        <v>346</v>
      </c>
      <c r="D70" s="83" t="s">
        <v>485</v>
      </c>
      <c r="E70" s="83" t="s">
        <v>486</v>
      </c>
      <c r="F70" s="83" t="s">
        <v>487</v>
      </c>
      <c r="G70" s="83" t="s">
        <v>488</v>
      </c>
      <c r="H70" s="78"/>
      <c r="I70" s="78"/>
      <c r="J70" s="29" t="s">
        <v>372</v>
      </c>
      <c r="K70" s="29" t="s">
        <v>489</v>
      </c>
      <c r="L70" s="29" t="s">
        <v>490</v>
      </c>
      <c r="M70" s="29" t="s">
        <v>352</v>
      </c>
      <c r="N70" s="78"/>
      <c r="O70" s="78"/>
      <c r="P70" s="78"/>
      <c r="Q70" s="78"/>
      <c r="R70" s="79"/>
      <c r="S70" s="1"/>
      <c r="T70" s="1"/>
      <c r="U70" s="1"/>
      <c r="V70" s="1"/>
    </row>
    <row r="71" spans="1:22">
      <c r="A71" s="77"/>
      <c r="B71" s="78"/>
      <c r="C71" s="78"/>
      <c r="D71" s="78"/>
      <c r="E71" s="78"/>
      <c r="F71" s="78"/>
      <c r="G71" s="78"/>
      <c r="H71" s="78"/>
      <c r="I71" s="78"/>
      <c r="J71" s="29" t="s">
        <v>378</v>
      </c>
      <c r="K71" s="29" t="s">
        <v>491</v>
      </c>
      <c r="L71" s="29" t="s">
        <v>380</v>
      </c>
      <c r="M71" s="29" t="s">
        <v>352</v>
      </c>
      <c r="N71" s="78"/>
      <c r="O71" s="78"/>
      <c r="P71" s="78"/>
      <c r="Q71" s="78"/>
      <c r="R71" s="79"/>
      <c r="S71" s="1"/>
      <c r="T71" s="1"/>
      <c r="U71" s="1"/>
      <c r="V71" s="1"/>
    </row>
    <row r="72" spans="1:22">
      <c r="A72" s="77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9"/>
      <c r="S72" s="1"/>
      <c r="T72" s="1"/>
      <c r="U72" s="1"/>
      <c r="V72" s="1"/>
    </row>
    <row r="73" spans="1:22">
      <c r="A73" s="77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9"/>
      <c r="S73" s="1"/>
      <c r="T73" s="1"/>
      <c r="U73" s="1"/>
      <c r="V73" s="1"/>
    </row>
    <row r="74" spans="1:22" ht="15" thickBot="1">
      <c r="A74" s="77"/>
      <c r="B74" s="84" t="s">
        <v>325</v>
      </c>
      <c r="C74" s="84" t="s">
        <v>385</v>
      </c>
      <c r="D74" s="129" t="s">
        <v>348</v>
      </c>
      <c r="E74" s="129"/>
      <c r="F74" s="129"/>
      <c r="G74" s="129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9"/>
      <c r="S74" s="1"/>
      <c r="T74" s="1"/>
      <c r="U74" s="1"/>
      <c r="V74" s="1"/>
    </row>
    <row r="75" spans="1:22">
      <c r="A75" s="77"/>
      <c r="B75" s="84" t="s">
        <v>353</v>
      </c>
      <c r="C75" s="84" t="s">
        <v>354</v>
      </c>
      <c r="D75" s="84" t="s">
        <v>355</v>
      </c>
      <c r="E75" s="84" t="s">
        <v>356</v>
      </c>
      <c r="F75" s="84" t="s">
        <v>357</v>
      </c>
      <c r="G75" s="84" t="s">
        <v>358</v>
      </c>
      <c r="H75" s="84" t="s">
        <v>386</v>
      </c>
      <c r="I75" s="78"/>
      <c r="J75" s="50" t="s">
        <v>330</v>
      </c>
      <c r="K75" s="51" t="s">
        <v>331</v>
      </c>
      <c r="L75" s="72" t="s">
        <v>331</v>
      </c>
      <c r="M75" s="52" t="s">
        <v>331</v>
      </c>
      <c r="N75" s="78"/>
      <c r="O75" s="78"/>
      <c r="P75" s="78"/>
      <c r="Q75" s="78"/>
      <c r="R75" s="79"/>
      <c r="S75" s="1"/>
      <c r="T75" s="1"/>
      <c r="U75" s="1"/>
      <c r="V75" s="1"/>
    </row>
    <row r="76" spans="1:22" ht="15" thickBot="1">
      <c r="A76" s="77"/>
      <c r="B76" s="83" t="s">
        <v>328</v>
      </c>
      <c r="C76" s="83" t="s">
        <v>387</v>
      </c>
      <c r="D76" s="83" t="s">
        <v>492</v>
      </c>
      <c r="E76" s="83" t="s">
        <v>493</v>
      </c>
      <c r="F76" s="83" t="s">
        <v>494</v>
      </c>
      <c r="G76" s="83" t="s">
        <v>495</v>
      </c>
      <c r="H76" s="83" t="s">
        <v>496</v>
      </c>
      <c r="I76" s="78"/>
      <c r="J76" s="53" t="s">
        <v>335</v>
      </c>
      <c r="K76" s="54" t="s">
        <v>336</v>
      </c>
      <c r="L76" s="54" t="s">
        <v>337</v>
      </c>
      <c r="M76" s="55" t="s">
        <v>338</v>
      </c>
      <c r="N76" s="78"/>
      <c r="O76" s="83" t="s">
        <v>325</v>
      </c>
      <c r="P76" s="83" t="s">
        <v>326</v>
      </c>
      <c r="Q76" s="83" t="s">
        <v>327</v>
      </c>
      <c r="R76" s="79"/>
      <c r="S76" s="1"/>
      <c r="T76" s="1"/>
      <c r="U76" s="1"/>
      <c r="V76" s="1"/>
    </row>
    <row r="77" spans="1:22">
      <c r="A77" s="77"/>
      <c r="B77" s="83" t="s">
        <v>332</v>
      </c>
      <c r="C77" s="83" t="s">
        <v>393</v>
      </c>
      <c r="D77" s="83" t="s">
        <v>497</v>
      </c>
      <c r="E77" s="83" t="s">
        <v>498</v>
      </c>
      <c r="F77" s="83" t="s">
        <v>499</v>
      </c>
      <c r="G77" s="83" t="s">
        <v>500</v>
      </c>
      <c r="H77" s="78"/>
      <c r="I77" s="78"/>
      <c r="J77" s="64" t="s">
        <v>341</v>
      </c>
      <c r="K77" s="65" t="s">
        <v>501</v>
      </c>
      <c r="L77" s="64" t="s">
        <v>502</v>
      </c>
      <c r="M77" s="64" t="s">
        <v>352</v>
      </c>
      <c r="N77" s="78"/>
      <c r="O77" s="83" t="s">
        <v>328</v>
      </c>
      <c r="P77" s="83" t="s">
        <v>387</v>
      </c>
      <c r="Q77" s="83" t="s">
        <v>329</v>
      </c>
      <c r="R77" s="79"/>
      <c r="S77" s="1"/>
      <c r="T77" s="1"/>
      <c r="U77" s="1"/>
      <c r="V77" s="1"/>
    </row>
    <row r="78" spans="1:22">
      <c r="A78" s="77"/>
      <c r="B78" s="83" t="s">
        <v>339</v>
      </c>
      <c r="C78" s="83" t="s">
        <v>399</v>
      </c>
      <c r="D78" s="83" t="s">
        <v>503</v>
      </c>
      <c r="E78" s="83" t="s">
        <v>504</v>
      </c>
      <c r="F78" s="83" t="s">
        <v>505</v>
      </c>
      <c r="G78" s="83" t="s">
        <v>506</v>
      </c>
      <c r="H78" s="78"/>
      <c r="I78" s="78"/>
      <c r="J78" s="29" t="s">
        <v>349</v>
      </c>
      <c r="K78" s="59" t="s">
        <v>507</v>
      </c>
      <c r="L78" s="59" t="s">
        <v>508</v>
      </c>
      <c r="M78" s="29" t="s">
        <v>352</v>
      </c>
      <c r="N78" s="78"/>
      <c r="O78" s="83" t="s">
        <v>332</v>
      </c>
      <c r="P78" s="83" t="s">
        <v>393</v>
      </c>
      <c r="Q78" s="83" t="s">
        <v>329</v>
      </c>
      <c r="R78" s="79"/>
      <c r="S78" s="1"/>
      <c r="T78" s="1"/>
      <c r="U78" s="1"/>
      <c r="V78" s="1"/>
    </row>
    <row r="79" spans="1:22">
      <c r="A79" s="77"/>
      <c r="B79" s="78"/>
      <c r="C79" s="78"/>
      <c r="D79" s="78"/>
      <c r="E79" s="78"/>
      <c r="F79" s="78"/>
      <c r="G79" s="78"/>
      <c r="H79" s="78"/>
      <c r="I79" s="78"/>
      <c r="J79" s="29" t="s">
        <v>366</v>
      </c>
      <c r="K79" s="59" t="s">
        <v>509</v>
      </c>
      <c r="L79" s="29" t="s">
        <v>510</v>
      </c>
      <c r="M79" s="29" t="s">
        <v>352</v>
      </c>
      <c r="N79" s="78"/>
      <c r="O79" s="83" t="s">
        <v>339</v>
      </c>
      <c r="P79" s="83" t="s">
        <v>399</v>
      </c>
      <c r="Q79" s="83" t="s">
        <v>329</v>
      </c>
      <c r="R79" s="79"/>
      <c r="S79" s="1"/>
      <c r="T79" s="1"/>
      <c r="U79" s="1"/>
      <c r="V79" s="1"/>
    </row>
    <row r="80" spans="1:22">
      <c r="A80" s="77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9"/>
      <c r="S80" s="1"/>
      <c r="T80" s="1"/>
      <c r="U80" s="1"/>
      <c r="V80" s="1"/>
    </row>
    <row r="81" spans="1:22">
      <c r="A81" s="77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9"/>
      <c r="S81" s="1"/>
      <c r="T81" s="1"/>
      <c r="U81" s="1"/>
      <c r="V81" s="1"/>
    </row>
    <row r="82" spans="1:22">
      <c r="A82" s="77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9"/>
      <c r="S82" s="1"/>
      <c r="T82" s="1"/>
      <c r="U82" s="1"/>
      <c r="V82" s="1"/>
    </row>
    <row r="83" spans="1:22">
      <c r="A83" s="77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9"/>
      <c r="S83" s="1"/>
      <c r="T83" s="1"/>
      <c r="U83" s="1"/>
      <c r="V83" s="1"/>
    </row>
    <row r="84" spans="1:22" ht="15" thickBot="1">
      <c r="A84" s="77"/>
      <c r="B84" s="84" t="s">
        <v>325</v>
      </c>
      <c r="C84" s="84" t="s">
        <v>408</v>
      </c>
      <c r="D84" s="129" t="s">
        <v>348</v>
      </c>
      <c r="E84" s="129"/>
      <c r="F84" s="129"/>
      <c r="G84" s="129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9"/>
      <c r="S84" s="1"/>
      <c r="T84" s="1"/>
      <c r="U84" s="1"/>
      <c r="V84" s="1"/>
    </row>
    <row r="85" spans="1:22">
      <c r="A85" s="77"/>
      <c r="B85" s="84" t="s">
        <v>353</v>
      </c>
      <c r="C85" s="84" t="s">
        <v>354</v>
      </c>
      <c r="D85" s="84" t="s">
        <v>355</v>
      </c>
      <c r="E85" s="84" t="s">
        <v>356</v>
      </c>
      <c r="F85" s="84" t="s">
        <v>357</v>
      </c>
      <c r="G85" s="84" t="s">
        <v>358</v>
      </c>
      <c r="H85" s="78"/>
      <c r="I85" s="78"/>
      <c r="J85" s="50" t="s">
        <v>330</v>
      </c>
      <c r="K85" s="51" t="s">
        <v>331</v>
      </c>
      <c r="L85" s="51" t="s">
        <v>331</v>
      </c>
      <c r="M85" s="52" t="s">
        <v>331</v>
      </c>
      <c r="N85" s="78"/>
      <c r="O85" s="83" t="s">
        <v>325</v>
      </c>
      <c r="P85" s="83" t="s">
        <v>326</v>
      </c>
      <c r="Q85" s="83" t="s">
        <v>327</v>
      </c>
      <c r="R85" s="79"/>
      <c r="S85" s="1"/>
      <c r="T85" s="1"/>
      <c r="U85" s="1"/>
      <c r="V85" s="1"/>
    </row>
    <row r="86" spans="1:22" ht="15" thickBot="1">
      <c r="A86" s="77"/>
      <c r="B86" s="83" t="s">
        <v>328</v>
      </c>
      <c r="C86" s="83" t="s">
        <v>387</v>
      </c>
      <c r="D86" s="83" t="s">
        <v>511</v>
      </c>
      <c r="E86" s="83" t="s">
        <v>512</v>
      </c>
      <c r="F86" s="83" t="s">
        <v>513</v>
      </c>
      <c r="G86" s="83" t="s">
        <v>514</v>
      </c>
      <c r="H86" s="78"/>
      <c r="I86" s="78"/>
      <c r="J86" s="53" t="s">
        <v>335</v>
      </c>
      <c r="K86" s="54" t="s">
        <v>336</v>
      </c>
      <c r="L86" s="54" t="s">
        <v>337</v>
      </c>
      <c r="M86" s="55" t="s">
        <v>338</v>
      </c>
      <c r="N86" s="78"/>
      <c r="O86" s="83" t="s">
        <v>328</v>
      </c>
      <c r="P86" s="83" t="s">
        <v>387</v>
      </c>
      <c r="Q86" s="83" t="s">
        <v>329</v>
      </c>
      <c r="R86" s="79"/>
      <c r="S86" s="1"/>
      <c r="T86" s="1"/>
      <c r="U86" s="1"/>
      <c r="V86" s="1"/>
    </row>
    <row r="87" spans="1:22">
      <c r="A87" s="77"/>
      <c r="B87" s="83" t="s">
        <v>332</v>
      </c>
      <c r="C87" s="83" t="s">
        <v>393</v>
      </c>
      <c r="D87" s="83" t="s">
        <v>515</v>
      </c>
      <c r="E87" s="83" t="s">
        <v>516</v>
      </c>
      <c r="F87" s="83" t="s">
        <v>517</v>
      </c>
      <c r="G87" s="83" t="s">
        <v>518</v>
      </c>
      <c r="H87" s="78"/>
      <c r="I87" s="78"/>
      <c r="J87" s="64" t="s">
        <v>341</v>
      </c>
      <c r="K87" s="65" t="s">
        <v>519</v>
      </c>
      <c r="L87" s="64" t="s">
        <v>520</v>
      </c>
      <c r="M87" s="64" t="s">
        <v>352</v>
      </c>
      <c r="N87" s="78"/>
      <c r="O87" s="83" t="s">
        <v>332</v>
      </c>
      <c r="P87" s="83" t="s">
        <v>393</v>
      </c>
      <c r="Q87" s="83" t="s">
        <v>329</v>
      </c>
      <c r="R87" s="79"/>
      <c r="S87" s="1"/>
      <c r="T87" s="1"/>
      <c r="U87" s="1"/>
      <c r="V87" s="1"/>
    </row>
    <row r="88" spans="1:22">
      <c r="A88" s="77"/>
      <c r="B88" s="83" t="s">
        <v>339</v>
      </c>
      <c r="C88" s="83" t="s">
        <v>399</v>
      </c>
      <c r="D88" s="83" t="s">
        <v>521</v>
      </c>
      <c r="E88" s="83" t="s">
        <v>522</v>
      </c>
      <c r="F88" s="83" t="s">
        <v>523</v>
      </c>
      <c r="G88" s="83" t="s">
        <v>524</v>
      </c>
      <c r="H88" s="78"/>
      <c r="I88" s="78"/>
      <c r="J88" s="29" t="s">
        <v>349</v>
      </c>
      <c r="K88" s="59" t="s">
        <v>525</v>
      </c>
      <c r="L88" s="29" t="s">
        <v>526</v>
      </c>
      <c r="M88" s="29" t="s">
        <v>352</v>
      </c>
      <c r="N88" s="78"/>
      <c r="O88" s="83" t="s">
        <v>339</v>
      </c>
      <c r="P88" s="83" t="s">
        <v>399</v>
      </c>
      <c r="Q88" s="83" t="s">
        <v>329</v>
      </c>
      <c r="R88" s="79"/>
      <c r="S88" s="1"/>
      <c r="T88" s="1"/>
      <c r="U88" s="1"/>
      <c r="V88" s="1"/>
    </row>
    <row r="89" spans="1:22">
      <c r="A89" s="77"/>
      <c r="B89" s="78"/>
      <c r="C89" s="78"/>
      <c r="D89" s="78"/>
      <c r="E89" s="78"/>
      <c r="F89" s="78"/>
      <c r="G89" s="78"/>
      <c r="H89" s="78"/>
      <c r="I89" s="78"/>
      <c r="J89" s="29" t="s">
        <v>366</v>
      </c>
      <c r="K89" s="59" t="s">
        <v>527</v>
      </c>
      <c r="L89" s="29" t="s">
        <v>528</v>
      </c>
      <c r="M89" s="29" t="s">
        <v>352</v>
      </c>
      <c r="N89" s="78"/>
      <c r="O89" s="78"/>
      <c r="P89" s="78"/>
      <c r="Q89" s="78"/>
      <c r="R89" s="79"/>
      <c r="S89" s="1"/>
      <c r="T89" s="1"/>
      <c r="U89" s="1"/>
      <c r="V89" s="1"/>
    </row>
    <row r="90" spans="1:22">
      <c r="A90" s="77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9"/>
      <c r="S90" s="1"/>
      <c r="T90" s="1"/>
      <c r="U90" s="1"/>
      <c r="V90" s="1"/>
    </row>
    <row r="91" spans="1:22">
      <c r="A91" s="77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9"/>
      <c r="S91" s="1"/>
      <c r="T91" s="1"/>
      <c r="U91" s="1"/>
      <c r="V91" s="1"/>
    </row>
    <row r="92" spans="1:22">
      <c r="A92" s="77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9"/>
      <c r="S92" s="1"/>
      <c r="T92" s="1"/>
      <c r="U92" s="1"/>
      <c r="V92" s="1"/>
    </row>
    <row r="93" spans="1:22">
      <c r="A93" s="77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9"/>
      <c r="S93" s="1"/>
      <c r="T93" s="1"/>
      <c r="U93" s="1"/>
      <c r="V93" s="1"/>
    </row>
    <row r="94" spans="1:22" ht="15" thickBot="1">
      <c r="A94" s="77"/>
      <c r="B94" s="84" t="s">
        <v>325</v>
      </c>
      <c r="C94" s="84" t="s">
        <v>429</v>
      </c>
      <c r="D94" s="129" t="s">
        <v>348</v>
      </c>
      <c r="E94" s="129"/>
      <c r="F94" s="129"/>
      <c r="G94" s="129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9"/>
      <c r="S94" s="1"/>
      <c r="T94" s="1"/>
      <c r="U94" s="1"/>
      <c r="V94" s="1"/>
    </row>
    <row r="95" spans="1:22">
      <c r="A95" s="77"/>
      <c r="B95" s="84" t="s">
        <v>353</v>
      </c>
      <c r="C95" s="84" t="s">
        <v>354</v>
      </c>
      <c r="D95" s="84" t="s">
        <v>355</v>
      </c>
      <c r="E95" s="84" t="s">
        <v>356</v>
      </c>
      <c r="F95" s="84" t="s">
        <v>357</v>
      </c>
      <c r="G95" s="84" t="s">
        <v>358</v>
      </c>
      <c r="H95" s="92"/>
      <c r="I95" s="78"/>
      <c r="J95" s="50" t="s">
        <v>330</v>
      </c>
      <c r="K95" s="51" t="s">
        <v>331</v>
      </c>
      <c r="L95" s="51" t="s">
        <v>331</v>
      </c>
      <c r="M95" s="52" t="s">
        <v>331</v>
      </c>
      <c r="N95" s="78"/>
      <c r="O95" s="83" t="s">
        <v>325</v>
      </c>
      <c r="P95" s="83" t="s">
        <v>326</v>
      </c>
      <c r="Q95" s="83" t="s">
        <v>327</v>
      </c>
      <c r="R95" s="79"/>
      <c r="S95" s="1"/>
      <c r="T95" s="1"/>
      <c r="U95" s="1"/>
      <c r="V95" s="1"/>
    </row>
    <row r="96" spans="1:22" ht="15" thickBot="1">
      <c r="A96" s="77"/>
      <c r="B96" s="83" t="s">
        <v>328</v>
      </c>
      <c r="C96" s="83" t="s">
        <v>387</v>
      </c>
      <c r="D96" s="83" t="s">
        <v>529</v>
      </c>
      <c r="E96" s="83" t="s">
        <v>530</v>
      </c>
      <c r="F96" s="83" t="s">
        <v>531</v>
      </c>
      <c r="G96" s="83" t="s">
        <v>532</v>
      </c>
      <c r="H96" s="78"/>
      <c r="I96" s="78"/>
      <c r="J96" s="53" t="s">
        <v>335</v>
      </c>
      <c r="K96" s="54" t="s">
        <v>336</v>
      </c>
      <c r="L96" s="54" t="s">
        <v>337</v>
      </c>
      <c r="M96" s="55" t="s">
        <v>338</v>
      </c>
      <c r="N96" s="78"/>
      <c r="O96" s="83" t="s">
        <v>328</v>
      </c>
      <c r="P96" s="83" t="s">
        <v>387</v>
      </c>
      <c r="Q96" s="83" t="s">
        <v>329</v>
      </c>
      <c r="R96" s="79"/>
      <c r="S96" s="1"/>
      <c r="T96" s="1"/>
      <c r="U96" s="1"/>
      <c r="V96" s="1"/>
    </row>
    <row r="97" spans="1:22">
      <c r="A97" s="77"/>
      <c r="B97" s="83" t="s">
        <v>332</v>
      </c>
      <c r="C97" s="83" t="s">
        <v>393</v>
      </c>
      <c r="D97" s="83" t="s">
        <v>533</v>
      </c>
      <c r="E97" s="83" t="s">
        <v>534</v>
      </c>
      <c r="F97" s="83" t="s">
        <v>535</v>
      </c>
      <c r="G97" s="83" t="s">
        <v>536</v>
      </c>
      <c r="H97" s="78"/>
      <c r="I97" s="78"/>
      <c r="J97" s="64" t="s">
        <v>341</v>
      </c>
      <c r="K97" s="65" t="s">
        <v>537</v>
      </c>
      <c r="L97" s="65" t="s">
        <v>538</v>
      </c>
      <c r="M97" s="64" t="s">
        <v>352</v>
      </c>
      <c r="N97" s="78"/>
      <c r="O97" s="83" t="s">
        <v>332</v>
      </c>
      <c r="P97" s="83" t="s">
        <v>393</v>
      </c>
      <c r="Q97" s="83" t="s">
        <v>329</v>
      </c>
      <c r="R97" s="79"/>
      <c r="S97" s="1"/>
      <c r="T97" s="1"/>
      <c r="U97" s="1"/>
      <c r="V97" s="1"/>
    </row>
    <row r="98" spans="1:22">
      <c r="A98" s="77"/>
      <c r="B98" s="83" t="s">
        <v>339</v>
      </c>
      <c r="C98" s="83" t="s">
        <v>399</v>
      </c>
      <c r="D98" s="83" t="s">
        <v>539</v>
      </c>
      <c r="E98" s="83" t="s">
        <v>540</v>
      </c>
      <c r="F98" s="83" t="s">
        <v>541</v>
      </c>
      <c r="G98" s="83" t="s">
        <v>542</v>
      </c>
      <c r="H98" s="78"/>
      <c r="I98" s="78"/>
      <c r="J98" s="29" t="s">
        <v>349</v>
      </c>
      <c r="K98" s="59" t="s">
        <v>543</v>
      </c>
      <c r="L98" s="59" t="s">
        <v>544</v>
      </c>
      <c r="M98" s="29" t="s">
        <v>352</v>
      </c>
      <c r="N98" s="78"/>
      <c r="O98" s="83" t="s">
        <v>339</v>
      </c>
      <c r="P98" s="83" t="s">
        <v>399</v>
      </c>
      <c r="Q98" s="83" t="s">
        <v>329</v>
      </c>
      <c r="R98" s="79"/>
      <c r="S98" s="1"/>
      <c r="T98" s="1"/>
      <c r="U98" s="1"/>
      <c r="V98" s="1"/>
    </row>
    <row r="99" spans="1:22">
      <c r="A99" s="77"/>
      <c r="B99" s="78"/>
      <c r="C99" s="78"/>
      <c r="D99" s="78"/>
      <c r="E99" s="78"/>
      <c r="F99" s="78"/>
      <c r="G99" s="78"/>
      <c r="H99" s="78"/>
      <c r="I99" s="78"/>
      <c r="J99" s="29" t="s">
        <v>366</v>
      </c>
      <c r="K99" s="29" t="s">
        <v>545</v>
      </c>
      <c r="L99" s="59" t="s">
        <v>380</v>
      </c>
      <c r="M99" s="29" t="s">
        <v>352</v>
      </c>
      <c r="N99" s="78"/>
      <c r="O99" s="78"/>
      <c r="P99" s="78"/>
      <c r="Q99" s="78"/>
      <c r="R99" s="79"/>
      <c r="S99" s="1"/>
      <c r="T99" s="1"/>
      <c r="U99" s="1"/>
      <c r="V99" s="1"/>
    </row>
    <row r="100" spans="1:22">
      <c r="A100" s="77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9"/>
      <c r="S100" s="1"/>
      <c r="T100" s="1"/>
      <c r="U100" s="1"/>
      <c r="V100" s="1"/>
    </row>
    <row r="101" spans="1:22">
      <c r="A101" s="77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9"/>
      <c r="S101" s="1"/>
      <c r="T101" s="1"/>
      <c r="U101" s="1"/>
      <c r="V101" s="1"/>
    </row>
    <row r="102" spans="1:22">
      <c r="A102" s="77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9"/>
      <c r="S102" s="1"/>
      <c r="T102" s="1"/>
      <c r="U102" s="1"/>
      <c r="V102" s="1"/>
    </row>
    <row r="103" spans="1:22">
      <c r="A103" s="77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9"/>
      <c r="S103" s="1"/>
      <c r="T103" s="1"/>
      <c r="U103" s="1"/>
      <c r="V103" s="1"/>
    </row>
    <row r="104" spans="1:22" ht="15" thickBot="1">
      <c r="A104" s="77"/>
      <c r="B104" s="84" t="s">
        <v>325</v>
      </c>
      <c r="C104" s="84" t="s">
        <v>446</v>
      </c>
      <c r="D104" s="129" t="s">
        <v>348</v>
      </c>
      <c r="E104" s="129"/>
      <c r="F104" s="129"/>
      <c r="G104" s="129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9"/>
      <c r="S104" s="1"/>
      <c r="T104" s="1"/>
      <c r="U104" s="1"/>
      <c r="V104" s="1"/>
    </row>
    <row r="105" spans="1:22">
      <c r="A105" s="77"/>
      <c r="B105" s="84" t="s">
        <v>353</v>
      </c>
      <c r="C105" s="84" t="s">
        <v>354</v>
      </c>
      <c r="D105" s="84" t="s">
        <v>355</v>
      </c>
      <c r="E105" s="84" t="s">
        <v>356</v>
      </c>
      <c r="F105" s="84" t="s">
        <v>357</v>
      </c>
      <c r="G105" s="84" t="s">
        <v>358</v>
      </c>
      <c r="H105" s="78"/>
      <c r="I105" s="78"/>
      <c r="J105" s="50" t="s">
        <v>330</v>
      </c>
      <c r="K105" s="51" t="s">
        <v>331</v>
      </c>
      <c r="L105" s="51" t="s">
        <v>331</v>
      </c>
      <c r="M105" s="52" t="s">
        <v>331</v>
      </c>
      <c r="N105" s="78"/>
      <c r="O105" s="83" t="s">
        <v>325</v>
      </c>
      <c r="P105" s="83" t="s">
        <v>326</v>
      </c>
      <c r="Q105" s="83" t="s">
        <v>327</v>
      </c>
      <c r="R105" s="79"/>
      <c r="S105" s="1"/>
      <c r="T105" s="1"/>
      <c r="U105" s="1"/>
      <c r="V105" s="1"/>
    </row>
    <row r="106" spans="1:22" ht="15" thickBot="1">
      <c r="A106" s="77"/>
      <c r="B106" s="83" t="s">
        <v>328</v>
      </c>
      <c r="C106" s="83" t="s">
        <v>387</v>
      </c>
      <c r="D106" s="83" t="s">
        <v>546</v>
      </c>
      <c r="E106" s="83" t="s">
        <v>547</v>
      </c>
      <c r="F106" s="83" t="s">
        <v>548</v>
      </c>
      <c r="G106" s="83" t="s">
        <v>549</v>
      </c>
      <c r="H106" s="78"/>
      <c r="I106" s="78"/>
      <c r="J106" s="53" t="s">
        <v>335</v>
      </c>
      <c r="K106" s="54" t="s">
        <v>336</v>
      </c>
      <c r="L106" s="69" t="s">
        <v>337</v>
      </c>
      <c r="M106" s="55" t="s">
        <v>338</v>
      </c>
      <c r="N106" s="78"/>
      <c r="O106" s="83" t="s">
        <v>328</v>
      </c>
      <c r="P106" s="83" t="s">
        <v>387</v>
      </c>
      <c r="Q106" s="83" t="s">
        <v>329</v>
      </c>
      <c r="R106" s="79"/>
      <c r="S106" s="1"/>
      <c r="T106" s="1"/>
      <c r="U106" s="1"/>
      <c r="V106" s="1"/>
    </row>
    <row r="107" spans="1:22">
      <c r="A107" s="77"/>
      <c r="B107" s="83" t="s">
        <v>332</v>
      </c>
      <c r="C107" s="83" t="s">
        <v>393</v>
      </c>
      <c r="D107" s="83" t="s">
        <v>550</v>
      </c>
      <c r="E107" s="83" t="s">
        <v>551</v>
      </c>
      <c r="F107" s="83" t="s">
        <v>552</v>
      </c>
      <c r="G107" s="83" t="s">
        <v>553</v>
      </c>
      <c r="H107" s="78"/>
      <c r="I107" s="78"/>
      <c r="J107" s="64" t="s">
        <v>341</v>
      </c>
      <c r="K107" s="65" t="s">
        <v>554</v>
      </c>
      <c r="L107" s="65" t="s">
        <v>555</v>
      </c>
      <c r="M107" s="64" t="s">
        <v>352</v>
      </c>
      <c r="N107" s="78"/>
      <c r="O107" s="83" t="s">
        <v>332</v>
      </c>
      <c r="P107" s="83" t="s">
        <v>393</v>
      </c>
      <c r="Q107" s="83" t="s">
        <v>329</v>
      </c>
      <c r="R107" s="79"/>
      <c r="S107" s="1"/>
      <c r="T107" s="1"/>
      <c r="U107" s="1"/>
      <c r="V107" s="1"/>
    </row>
    <row r="108" spans="1:22">
      <c r="A108" s="77"/>
      <c r="B108" s="83" t="s">
        <v>339</v>
      </c>
      <c r="C108" s="83" t="s">
        <v>399</v>
      </c>
      <c r="D108" s="83" t="s">
        <v>556</v>
      </c>
      <c r="E108" s="83" t="s">
        <v>557</v>
      </c>
      <c r="F108" s="83" t="s">
        <v>558</v>
      </c>
      <c r="G108" s="83" t="s">
        <v>559</v>
      </c>
      <c r="H108" s="78"/>
      <c r="I108" s="78"/>
      <c r="J108" s="29" t="s">
        <v>349</v>
      </c>
      <c r="K108" s="29" t="s">
        <v>560</v>
      </c>
      <c r="L108" s="29" t="s">
        <v>561</v>
      </c>
      <c r="M108" s="29" t="s">
        <v>352</v>
      </c>
      <c r="N108" s="78"/>
      <c r="O108" s="83" t="s">
        <v>339</v>
      </c>
      <c r="P108" s="83" t="s">
        <v>399</v>
      </c>
      <c r="Q108" s="83" t="s">
        <v>329</v>
      </c>
      <c r="R108" s="79"/>
      <c r="S108" s="1"/>
      <c r="T108" s="1"/>
      <c r="U108" s="1"/>
      <c r="V108" s="1"/>
    </row>
    <row r="109" spans="1:22">
      <c r="A109" s="77"/>
      <c r="B109" s="78"/>
      <c r="C109" s="78"/>
      <c r="D109" s="78"/>
      <c r="E109" s="78"/>
      <c r="F109" s="78"/>
      <c r="G109" s="78"/>
      <c r="H109" s="78"/>
      <c r="I109" s="78"/>
      <c r="J109" s="29" t="s">
        <v>366</v>
      </c>
      <c r="K109" s="59" t="s">
        <v>562</v>
      </c>
      <c r="L109" s="29" t="s">
        <v>563</v>
      </c>
      <c r="M109" s="29" t="s">
        <v>352</v>
      </c>
      <c r="N109" s="78"/>
      <c r="O109" s="78"/>
      <c r="P109" s="78"/>
      <c r="Q109" s="78"/>
      <c r="R109" s="79"/>
      <c r="S109" s="1"/>
      <c r="T109" s="1"/>
      <c r="U109" s="1"/>
      <c r="V109" s="1"/>
    </row>
    <row r="110" spans="1:22" ht="15" thickBot="1">
      <c r="A110" s="80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2"/>
      <c r="S110" s="1"/>
      <c r="T110" s="1"/>
      <c r="U110" s="1"/>
      <c r="V110" s="1"/>
    </row>
    <row r="111" spans="1:22" ht="15" thickBo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>
      <c r="A112" s="16"/>
      <c r="B112" s="35"/>
      <c r="C112" s="35"/>
      <c r="D112" s="35"/>
      <c r="E112" s="35"/>
      <c r="F112" s="35"/>
      <c r="G112" s="35"/>
      <c r="H112" s="35"/>
      <c r="I112" s="35"/>
      <c r="J112" s="50" t="s">
        <v>330</v>
      </c>
      <c r="K112" s="51" t="s">
        <v>331</v>
      </c>
      <c r="L112" s="51" t="s">
        <v>331</v>
      </c>
      <c r="M112" s="52" t="s">
        <v>331</v>
      </c>
      <c r="N112" s="35"/>
      <c r="O112" s="35"/>
      <c r="P112" s="35"/>
      <c r="Q112" s="35"/>
      <c r="R112" s="74"/>
      <c r="S112" s="1"/>
      <c r="T112" s="1"/>
      <c r="U112" s="1"/>
      <c r="V112" s="1"/>
    </row>
    <row r="113" spans="1:22" ht="15" thickBot="1">
      <c r="A113" s="32"/>
      <c r="B113" s="1"/>
      <c r="C113" s="1"/>
      <c r="D113" s="1"/>
      <c r="E113" s="1"/>
      <c r="F113" s="1"/>
      <c r="G113" s="1"/>
      <c r="H113" s="1"/>
      <c r="I113" s="1"/>
      <c r="J113" s="53" t="s">
        <v>335</v>
      </c>
      <c r="K113" s="54" t="s">
        <v>336</v>
      </c>
      <c r="L113" s="54" t="s">
        <v>337</v>
      </c>
      <c r="M113" s="55" t="s">
        <v>338</v>
      </c>
      <c r="N113" s="1"/>
      <c r="O113" s="2" t="s">
        <v>325</v>
      </c>
      <c r="P113" s="2" t="s">
        <v>326</v>
      </c>
      <c r="Q113" s="2" t="s">
        <v>327</v>
      </c>
      <c r="R113" s="73"/>
      <c r="S113" s="1"/>
      <c r="T113" s="1"/>
      <c r="U113" s="1"/>
      <c r="V113" s="1"/>
    </row>
    <row r="114" spans="1:22" ht="24" thickBot="1">
      <c r="A114" s="32"/>
      <c r="B114" s="56" t="s">
        <v>37</v>
      </c>
      <c r="C114" s="1"/>
      <c r="D114" s="1"/>
      <c r="E114" s="1"/>
      <c r="F114" s="1"/>
      <c r="G114" s="1"/>
      <c r="H114" s="1"/>
      <c r="I114" s="1"/>
      <c r="J114" s="64" t="s">
        <v>341</v>
      </c>
      <c r="K114" s="65" t="s">
        <v>564</v>
      </c>
      <c r="L114" s="64" t="s">
        <v>565</v>
      </c>
      <c r="M114" s="64" t="s">
        <v>352</v>
      </c>
      <c r="N114" s="1"/>
      <c r="O114" s="2" t="s">
        <v>328</v>
      </c>
      <c r="P114" s="2" t="s">
        <v>31</v>
      </c>
      <c r="Q114" s="2" t="s">
        <v>329</v>
      </c>
      <c r="R114" s="73"/>
      <c r="S114" s="1"/>
      <c r="T114" s="1"/>
      <c r="U114" s="1"/>
      <c r="V114" s="1"/>
    </row>
    <row r="115" spans="1:22">
      <c r="A115" s="32"/>
      <c r="B115" s="41" t="s">
        <v>325</v>
      </c>
      <c r="C115" s="24" t="s">
        <v>347</v>
      </c>
      <c r="D115" s="127" t="s">
        <v>348</v>
      </c>
      <c r="E115" s="127"/>
      <c r="F115" s="127"/>
      <c r="G115" s="127"/>
      <c r="H115" s="1"/>
      <c r="I115" s="1"/>
      <c r="J115" s="29" t="s">
        <v>349</v>
      </c>
      <c r="K115" s="29" t="s">
        <v>566</v>
      </c>
      <c r="L115" s="29" t="s">
        <v>380</v>
      </c>
      <c r="M115" s="29" t="s">
        <v>352</v>
      </c>
      <c r="N115" s="1"/>
      <c r="O115" s="2" t="s">
        <v>332</v>
      </c>
      <c r="P115" s="2" t="s">
        <v>333</v>
      </c>
      <c r="Q115" s="2" t="s">
        <v>329</v>
      </c>
      <c r="R115" s="73"/>
      <c r="S115" s="1"/>
      <c r="T115" s="1"/>
      <c r="U115" s="1"/>
      <c r="V115" s="1"/>
    </row>
    <row r="116" spans="1:22">
      <c r="A116" s="32"/>
      <c r="B116" s="24" t="s">
        <v>353</v>
      </c>
      <c r="C116" s="24" t="s">
        <v>354</v>
      </c>
      <c r="D116" s="24" t="s">
        <v>355</v>
      </c>
      <c r="E116" s="24" t="s">
        <v>356</v>
      </c>
      <c r="F116" s="24" t="s">
        <v>357</v>
      </c>
      <c r="G116" s="24" t="s">
        <v>358</v>
      </c>
      <c r="H116" s="1"/>
      <c r="I116" s="1"/>
      <c r="J116" s="29" t="s">
        <v>359</v>
      </c>
      <c r="K116" s="29" t="s">
        <v>567</v>
      </c>
      <c r="L116" s="29" t="s">
        <v>380</v>
      </c>
      <c r="M116" s="29" t="s">
        <v>352</v>
      </c>
      <c r="N116" s="1"/>
      <c r="O116" s="2" t="s">
        <v>339</v>
      </c>
      <c r="P116" s="2" t="s">
        <v>340</v>
      </c>
      <c r="Q116" s="2" t="s">
        <v>329</v>
      </c>
      <c r="R116" s="73"/>
      <c r="S116" s="1"/>
      <c r="T116" s="1"/>
      <c r="U116" s="1"/>
      <c r="V116" s="1"/>
    </row>
    <row r="117" spans="1:22">
      <c r="A117" s="32"/>
      <c r="B117" s="2" t="s">
        <v>328</v>
      </c>
      <c r="C117" s="2" t="s">
        <v>31</v>
      </c>
      <c r="D117" s="2" t="s">
        <v>568</v>
      </c>
      <c r="E117" s="2" t="s">
        <v>569</v>
      </c>
      <c r="F117" s="2" t="s">
        <v>570</v>
      </c>
      <c r="G117" s="2" t="s">
        <v>571</v>
      </c>
      <c r="H117" s="1"/>
      <c r="I117" s="1"/>
      <c r="J117" s="29" t="s">
        <v>366</v>
      </c>
      <c r="K117" s="59" t="s">
        <v>572</v>
      </c>
      <c r="L117" s="29" t="s">
        <v>573</v>
      </c>
      <c r="M117" s="29" t="s">
        <v>352</v>
      </c>
      <c r="N117" s="1"/>
      <c r="O117" s="2" t="s">
        <v>345</v>
      </c>
      <c r="P117" s="2" t="s">
        <v>346</v>
      </c>
      <c r="Q117" s="2" t="s">
        <v>329</v>
      </c>
      <c r="R117" s="73"/>
      <c r="S117" s="1"/>
      <c r="T117" s="1"/>
      <c r="U117" s="1"/>
      <c r="V117" s="1"/>
    </row>
    <row r="118" spans="1:22">
      <c r="A118" s="32"/>
      <c r="B118" s="2" t="s">
        <v>332</v>
      </c>
      <c r="C118" s="2" t="s">
        <v>333</v>
      </c>
      <c r="D118" s="2" t="s">
        <v>574</v>
      </c>
      <c r="E118" s="2"/>
      <c r="F118" s="2" t="s">
        <v>575</v>
      </c>
      <c r="G118" s="2" t="s">
        <v>576</v>
      </c>
      <c r="H118" s="1"/>
      <c r="I118" s="1"/>
      <c r="J118" s="29" t="s">
        <v>372</v>
      </c>
      <c r="K118" s="59" t="s">
        <v>577</v>
      </c>
      <c r="L118" s="29" t="s">
        <v>578</v>
      </c>
      <c r="M118" s="29" t="s">
        <v>352</v>
      </c>
      <c r="N118" s="1"/>
      <c r="O118" s="1"/>
      <c r="P118" s="1"/>
      <c r="Q118" s="1"/>
      <c r="R118" s="73"/>
      <c r="S118" s="1"/>
      <c r="T118" s="1"/>
      <c r="U118" s="1"/>
      <c r="V118" s="1"/>
    </row>
    <row r="119" spans="1:22">
      <c r="A119" s="32"/>
      <c r="B119" s="2" t="s">
        <v>339</v>
      </c>
      <c r="C119" s="2" t="s">
        <v>340</v>
      </c>
      <c r="D119" s="2" t="s">
        <v>579</v>
      </c>
      <c r="E119" s="2" t="s">
        <v>580</v>
      </c>
      <c r="F119" s="2" t="s">
        <v>581</v>
      </c>
      <c r="G119" s="2" t="s">
        <v>582</v>
      </c>
      <c r="H119" s="1"/>
      <c r="I119" s="1"/>
      <c r="J119" s="29" t="s">
        <v>378</v>
      </c>
      <c r="K119" s="29" t="s">
        <v>583</v>
      </c>
      <c r="L119" s="29" t="s">
        <v>380</v>
      </c>
      <c r="M119" s="29" t="s">
        <v>352</v>
      </c>
      <c r="N119" s="1"/>
      <c r="O119" s="1"/>
      <c r="P119" s="1"/>
      <c r="Q119" s="1"/>
      <c r="R119" s="73"/>
      <c r="S119" s="1"/>
      <c r="T119" s="1"/>
      <c r="U119" s="1"/>
      <c r="V119" s="1"/>
    </row>
    <row r="120" spans="1:22">
      <c r="A120" s="32"/>
      <c r="B120" s="2" t="s">
        <v>345</v>
      </c>
      <c r="C120" s="2" t="s">
        <v>346</v>
      </c>
      <c r="D120" s="2" t="s">
        <v>584</v>
      </c>
      <c r="E120" s="2" t="s">
        <v>585</v>
      </c>
      <c r="F120" s="2" t="s">
        <v>586</v>
      </c>
      <c r="G120" s="2" t="s">
        <v>587</v>
      </c>
      <c r="H120" s="1"/>
      <c r="I120" s="1"/>
      <c r="J120" s="1"/>
      <c r="K120" s="1"/>
      <c r="L120" s="63"/>
      <c r="M120" s="1"/>
      <c r="N120" s="1"/>
      <c r="O120" s="1"/>
      <c r="P120" s="1"/>
      <c r="Q120" s="1"/>
      <c r="R120" s="73"/>
      <c r="S120" s="1"/>
      <c r="T120" s="1"/>
      <c r="U120" s="1"/>
      <c r="V120" s="1"/>
    </row>
    <row r="121" spans="1:22">
      <c r="A121" s="3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73"/>
      <c r="S121" s="1"/>
      <c r="T121" s="1"/>
      <c r="U121" s="1"/>
      <c r="V121" s="1"/>
    </row>
    <row r="122" spans="1:22" ht="15" thickBot="1">
      <c r="A122" s="3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63"/>
      <c r="M122" s="1"/>
      <c r="N122" s="1"/>
      <c r="O122" s="1"/>
      <c r="P122" s="1"/>
      <c r="Q122" s="1"/>
      <c r="R122" s="73"/>
      <c r="S122" s="1"/>
      <c r="T122" s="1"/>
      <c r="U122" s="1"/>
      <c r="V122" s="1"/>
    </row>
    <row r="123" spans="1:22">
      <c r="A123" s="32"/>
      <c r="B123" s="24" t="s">
        <v>325</v>
      </c>
      <c r="C123" s="24" t="s">
        <v>385</v>
      </c>
      <c r="D123" s="127" t="s">
        <v>348</v>
      </c>
      <c r="E123" s="127"/>
      <c r="F123" s="127"/>
      <c r="G123" s="127"/>
      <c r="H123" s="1"/>
      <c r="I123" s="1"/>
      <c r="J123" s="50" t="s">
        <v>330</v>
      </c>
      <c r="K123" s="51" t="s">
        <v>331</v>
      </c>
      <c r="L123" s="51" t="s">
        <v>331</v>
      </c>
      <c r="M123" s="52" t="s">
        <v>331</v>
      </c>
      <c r="N123" s="1"/>
      <c r="O123" s="1"/>
      <c r="P123" s="1"/>
      <c r="Q123" s="1"/>
      <c r="R123" s="73"/>
      <c r="S123" s="1"/>
      <c r="T123" s="1"/>
      <c r="U123" s="1"/>
      <c r="V123" s="1"/>
    </row>
    <row r="124" spans="1:22" ht="15" thickBot="1">
      <c r="A124" s="32"/>
      <c r="B124" s="24" t="s">
        <v>353</v>
      </c>
      <c r="C124" s="24" t="s">
        <v>354</v>
      </c>
      <c r="D124" s="24" t="s">
        <v>355</v>
      </c>
      <c r="E124" s="24" t="s">
        <v>356</v>
      </c>
      <c r="F124" s="24" t="s">
        <v>357</v>
      </c>
      <c r="G124" s="24" t="s">
        <v>358</v>
      </c>
      <c r="H124" s="24" t="s">
        <v>386</v>
      </c>
      <c r="I124" s="1"/>
      <c r="J124" s="53" t="s">
        <v>335</v>
      </c>
      <c r="K124" s="54" t="s">
        <v>336</v>
      </c>
      <c r="L124" s="54" t="s">
        <v>337</v>
      </c>
      <c r="M124" s="55" t="s">
        <v>338</v>
      </c>
      <c r="N124" s="1"/>
      <c r="O124" s="2" t="s">
        <v>325</v>
      </c>
      <c r="P124" s="2" t="s">
        <v>326</v>
      </c>
      <c r="Q124" s="2" t="s">
        <v>327</v>
      </c>
      <c r="R124" s="73"/>
      <c r="S124" s="1"/>
      <c r="T124" s="1"/>
      <c r="U124" s="1"/>
      <c r="V124" s="1"/>
    </row>
    <row r="125" spans="1:22">
      <c r="A125" s="32"/>
      <c r="B125" s="2" t="s">
        <v>328</v>
      </c>
      <c r="C125" s="2" t="s">
        <v>387</v>
      </c>
      <c r="D125" s="2" t="s">
        <v>588</v>
      </c>
      <c r="E125" s="2" t="s">
        <v>589</v>
      </c>
      <c r="F125" s="2" t="s">
        <v>590</v>
      </c>
      <c r="G125" s="2" t="s">
        <v>591</v>
      </c>
      <c r="H125" s="2" t="s">
        <v>592</v>
      </c>
      <c r="I125" s="1"/>
      <c r="J125" s="64" t="s">
        <v>341</v>
      </c>
      <c r="K125" s="64" t="s">
        <v>593</v>
      </c>
      <c r="L125" s="64" t="s">
        <v>594</v>
      </c>
      <c r="M125" s="64" t="s">
        <v>352</v>
      </c>
      <c r="N125" s="1"/>
      <c r="O125" s="2" t="s">
        <v>328</v>
      </c>
      <c r="P125" s="2" t="s">
        <v>387</v>
      </c>
      <c r="Q125" s="2" t="s">
        <v>329</v>
      </c>
      <c r="R125" s="73"/>
      <c r="S125" s="1"/>
      <c r="T125" s="1"/>
      <c r="U125" s="1"/>
      <c r="V125" s="1"/>
    </row>
    <row r="126" spans="1:22">
      <c r="A126" s="32"/>
      <c r="B126" s="2" t="s">
        <v>332</v>
      </c>
      <c r="C126" s="2" t="s">
        <v>393</v>
      </c>
      <c r="D126" s="2" t="s">
        <v>595</v>
      </c>
      <c r="E126" s="2" t="s">
        <v>596</v>
      </c>
      <c r="F126" s="2" t="s">
        <v>597</v>
      </c>
      <c r="G126" s="2" t="s">
        <v>598</v>
      </c>
      <c r="H126" s="1"/>
      <c r="I126" s="1"/>
      <c r="J126" s="66" t="s">
        <v>349</v>
      </c>
      <c r="K126" s="67" t="s">
        <v>599</v>
      </c>
      <c r="L126" s="66" t="s">
        <v>600</v>
      </c>
      <c r="M126" s="66" t="s">
        <v>428</v>
      </c>
      <c r="N126" s="1"/>
      <c r="O126" s="2" t="s">
        <v>332</v>
      </c>
      <c r="P126" s="2" t="s">
        <v>393</v>
      </c>
      <c r="Q126" s="2" t="s">
        <v>413</v>
      </c>
      <c r="R126" s="73"/>
      <c r="S126" s="1"/>
      <c r="T126" s="1"/>
      <c r="U126" s="1"/>
      <c r="V126" s="1"/>
    </row>
    <row r="127" spans="1:22">
      <c r="A127" s="32"/>
      <c r="B127" s="2" t="s">
        <v>339</v>
      </c>
      <c r="C127" s="2" t="s">
        <v>399</v>
      </c>
      <c r="D127" s="2" t="s">
        <v>601</v>
      </c>
      <c r="E127" s="2" t="s">
        <v>602</v>
      </c>
      <c r="F127" s="2" t="s">
        <v>603</v>
      </c>
      <c r="G127" s="2" t="s">
        <v>604</v>
      </c>
      <c r="H127" s="1"/>
      <c r="I127" s="1"/>
      <c r="J127" s="29" t="s">
        <v>366</v>
      </c>
      <c r="K127" s="29" t="s">
        <v>605</v>
      </c>
      <c r="L127" s="59" t="s">
        <v>606</v>
      </c>
      <c r="M127" s="29" t="s">
        <v>352</v>
      </c>
      <c r="N127" s="1"/>
      <c r="O127" s="2" t="s">
        <v>339</v>
      </c>
      <c r="P127" s="2" t="s">
        <v>399</v>
      </c>
      <c r="Q127" s="2" t="s">
        <v>334</v>
      </c>
      <c r="R127" s="73"/>
      <c r="S127" s="1"/>
      <c r="T127" s="1"/>
      <c r="U127" s="1"/>
      <c r="V127" s="1"/>
    </row>
    <row r="128" spans="1:22">
      <c r="A128" s="3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63"/>
      <c r="M128" s="1"/>
      <c r="N128" s="1"/>
      <c r="O128" s="1"/>
      <c r="P128" s="1"/>
      <c r="Q128" s="1"/>
      <c r="R128" s="73"/>
      <c r="S128" s="1"/>
      <c r="T128" s="1"/>
      <c r="U128" s="1"/>
      <c r="V128" s="1"/>
    </row>
    <row r="129" spans="1:22">
      <c r="A129" s="3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63"/>
      <c r="M129" s="1"/>
      <c r="N129" s="1"/>
      <c r="O129" s="1"/>
      <c r="P129" s="1"/>
      <c r="Q129" s="1"/>
      <c r="R129" s="73"/>
      <c r="S129" s="1"/>
      <c r="T129" s="1"/>
      <c r="U129" s="1"/>
      <c r="V129" s="1"/>
    </row>
    <row r="130" spans="1:22">
      <c r="A130" s="3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73"/>
      <c r="S130" s="1"/>
      <c r="T130" s="1"/>
      <c r="U130" s="1"/>
      <c r="V130" s="1"/>
    </row>
    <row r="131" spans="1:22" ht="15" thickBot="1">
      <c r="A131" s="32"/>
      <c r="B131" s="24" t="s">
        <v>325</v>
      </c>
      <c r="C131" s="24" t="s">
        <v>408</v>
      </c>
      <c r="D131" s="127" t="s">
        <v>348</v>
      </c>
      <c r="E131" s="127"/>
      <c r="F131" s="127"/>
      <c r="G131" s="12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73"/>
      <c r="S131" s="1"/>
      <c r="T131" s="1"/>
      <c r="U131" s="1"/>
      <c r="V131" s="1"/>
    </row>
    <row r="132" spans="1:22">
      <c r="A132" s="32"/>
      <c r="B132" s="24" t="s">
        <v>353</v>
      </c>
      <c r="C132" s="24" t="s">
        <v>354</v>
      </c>
      <c r="D132" s="24" t="s">
        <v>607</v>
      </c>
      <c r="E132" s="24" t="s">
        <v>608</v>
      </c>
      <c r="F132" s="24" t="s">
        <v>609</v>
      </c>
      <c r="G132" s="24" t="s">
        <v>610</v>
      </c>
      <c r="H132" s="1"/>
      <c r="I132" s="1"/>
      <c r="J132" s="50" t="s">
        <v>330</v>
      </c>
      <c r="K132" s="51" t="s">
        <v>331</v>
      </c>
      <c r="L132" s="51" t="s">
        <v>331</v>
      </c>
      <c r="M132" s="52" t="s">
        <v>331</v>
      </c>
      <c r="N132" s="1"/>
      <c r="O132" s="2" t="s">
        <v>325</v>
      </c>
      <c r="P132" s="2" t="s">
        <v>326</v>
      </c>
      <c r="Q132" s="2" t="s">
        <v>327</v>
      </c>
      <c r="R132" s="73"/>
      <c r="S132" s="1"/>
      <c r="T132" s="1"/>
      <c r="U132" s="1"/>
      <c r="V132" s="1"/>
    </row>
    <row r="133" spans="1:22" ht="15" thickBot="1">
      <c r="A133" s="32"/>
      <c r="B133" s="2" t="s">
        <v>328</v>
      </c>
      <c r="C133" s="2" t="s">
        <v>387</v>
      </c>
      <c r="D133" s="2" t="s">
        <v>611</v>
      </c>
      <c r="E133" s="2" t="s">
        <v>612</v>
      </c>
      <c r="F133" s="2" t="s">
        <v>613</v>
      </c>
      <c r="G133" s="2" t="s">
        <v>614</v>
      </c>
      <c r="H133" s="1"/>
      <c r="I133" s="1"/>
      <c r="J133" s="53" t="s">
        <v>335</v>
      </c>
      <c r="K133" s="54" t="s">
        <v>336</v>
      </c>
      <c r="L133" s="54" t="s">
        <v>337</v>
      </c>
      <c r="M133" s="55" t="s">
        <v>338</v>
      </c>
      <c r="N133" s="1"/>
      <c r="O133" s="2" t="s">
        <v>328</v>
      </c>
      <c r="P133" s="2" t="s">
        <v>387</v>
      </c>
      <c r="Q133" s="2" t="s">
        <v>329</v>
      </c>
      <c r="R133" s="73"/>
      <c r="S133" s="1"/>
      <c r="T133" s="1"/>
      <c r="U133" s="1"/>
      <c r="V133" s="1"/>
    </row>
    <row r="134" spans="1:22">
      <c r="A134" s="32"/>
      <c r="B134" s="2" t="s">
        <v>332</v>
      </c>
      <c r="C134" s="2" t="s">
        <v>393</v>
      </c>
      <c r="D134" s="2" t="s">
        <v>615</v>
      </c>
      <c r="E134" s="2" t="s">
        <v>616</v>
      </c>
      <c r="F134" s="2" t="s">
        <v>617</v>
      </c>
      <c r="G134" s="2" t="s">
        <v>618</v>
      </c>
      <c r="H134" s="1"/>
      <c r="I134" s="1"/>
      <c r="J134" s="57" t="s">
        <v>341</v>
      </c>
      <c r="K134" s="57" t="s">
        <v>619</v>
      </c>
      <c r="L134" s="57" t="s">
        <v>620</v>
      </c>
      <c r="M134" s="57" t="s">
        <v>344</v>
      </c>
      <c r="N134" s="1"/>
      <c r="O134" s="2" t="s">
        <v>332</v>
      </c>
      <c r="P134" s="2" t="s">
        <v>393</v>
      </c>
      <c r="Q134" s="2" t="s">
        <v>334</v>
      </c>
      <c r="R134" s="73"/>
      <c r="S134" s="1"/>
      <c r="T134" s="1"/>
      <c r="U134" s="1"/>
      <c r="V134" s="1"/>
    </row>
    <row r="135" spans="1:22">
      <c r="A135" s="32"/>
      <c r="B135" s="2" t="s">
        <v>339</v>
      </c>
      <c r="C135" s="2" t="s">
        <v>399</v>
      </c>
      <c r="D135" s="2" t="s">
        <v>621</v>
      </c>
      <c r="E135" s="2" t="s">
        <v>622</v>
      </c>
      <c r="F135" s="2" t="s">
        <v>623</v>
      </c>
      <c r="G135" s="2" t="s">
        <v>624</v>
      </c>
      <c r="H135" s="1"/>
      <c r="I135" s="1"/>
      <c r="J135" s="29" t="s">
        <v>349</v>
      </c>
      <c r="K135" s="29" t="s">
        <v>625</v>
      </c>
      <c r="L135" s="29" t="s">
        <v>626</v>
      </c>
      <c r="M135" s="29" t="s">
        <v>352</v>
      </c>
      <c r="N135" s="1"/>
      <c r="O135" s="2" t="s">
        <v>339</v>
      </c>
      <c r="P135" s="2" t="s">
        <v>399</v>
      </c>
      <c r="Q135" s="2" t="s">
        <v>329</v>
      </c>
      <c r="R135" s="73"/>
      <c r="S135" s="1"/>
      <c r="T135" s="1"/>
      <c r="U135" s="1"/>
      <c r="V135" s="1"/>
    </row>
    <row r="136" spans="1:22">
      <c r="A136" s="32"/>
      <c r="B136" s="1"/>
      <c r="C136" s="1"/>
      <c r="D136" s="1"/>
      <c r="E136" s="1"/>
      <c r="F136" s="1"/>
      <c r="G136" s="1"/>
      <c r="H136" s="1"/>
      <c r="I136" s="1"/>
      <c r="J136" s="60" t="s">
        <v>366</v>
      </c>
      <c r="K136" s="61" t="s">
        <v>627</v>
      </c>
      <c r="L136" s="60" t="s">
        <v>343</v>
      </c>
      <c r="M136" s="60" t="s">
        <v>344</v>
      </c>
      <c r="N136" s="1"/>
      <c r="O136" s="1"/>
      <c r="P136" s="1"/>
      <c r="Q136" s="1"/>
      <c r="R136" s="73"/>
      <c r="S136" s="1"/>
      <c r="T136" s="1"/>
      <c r="U136" s="1"/>
      <c r="V136" s="1"/>
    </row>
    <row r="137" spans="1:22">
      <c r="A137" s="3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63"/>
      <c r="M137" s="1"/>
      <c r="N137" s="1"/>
      <c r="O137" s="1"/>
      <c r="P137" s="1"/>
      <c r="Q137" s="1"/>
      <c r="R137" s="73"/>
      <c r="S137" s="1"/>
      <c r="T137" s="1"/>
      <c r="U137" s="1"/>
      <c r="V137" s="1"/>
    </row>
    <row r="138" spans="1:22">
      <c r="A138" s="3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63"/>
      <c r="M138" s="1"/>
      <c r="N138" s="1"/>
      <c r="O138" s="1"/>
      <c r="P138" s="1"/>
      <c r="Q138" s="1"/>
      <c r="R138" s="73"/>
      <c r="S138" s="1"/>
      <c r="T138" s="1"/>
      <c r="U138" s="1"/>
      <c r="V138" s="1"/>
    </row>
    <row r="139" spans="1:22">
      <c r="A139" s="3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73"/>
      <c r="S139" s="1"/>
      <c r="T139" s="1"/>
      <c r="U139" s="1"/>
      <c r="V139" s="1"/>
    </row>
    <row r="140" spans="1:22">
      <c r="A140" s="3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73"/>
      <c r="S140" s="1"/>
      <c r="T140" s="1"/>
      <c r="U140" s="1"/>
      <c r="V140" s="1"/>
    </row>
    <row r="141" spans="1:22" ht="15" thickBot="1">
      <c r="A141" s="32"/>
      <c r="B141" s="24" t="s">
        <v>325</v>
      </c>
      <c r="C141" s="24" t="s">
        <v>429</v>
      </c>
      <c r="D141" s="127" t="s">
        <v>348</v>
      </c>
      <c r="E141" s="127"/>
      <c r="F141" s="127"/>
      <c r="G141" s="12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73"/>
      <c r="S141" s="1"/>
      <c r="T141" s="1"/>
      <c r="U141" s="1"/>
      <c r="V141" s="1"/>
    </row>
    <row r="142" spans="1:22">
      <c r="A142" s="32"/>
      <c r="B142" s="24" t="s">
        <v>353</v>
      </c>
      <c r="C142" s="24" t="s">
        <v>354</v>
      </c>
      <c r="D142" s="24" t="s">
        <v>355</v>
      </c>
      <c r="E142" s="24" t="s">
        <v>356</v>
      </c>
      <c r="F142" s="24" t="s">
        <v>357</v>
      </c>
      <c r="G142" s="24" t="s">
        <v>358</v>
      </c>
      <c r="H142" s="1"/>
      <c r="I142" s="1"/>
      <c r="J142" s="50" t="s">
        <v>330</v>
      </c>
      <c r="K142" s="51" t="s">
        <v>331</v>
      </c>
      <c r="L142" s="51" t="s">
        <v>331</v>
      </c>
      <c r="M142" s="52" t="s">
        <v>331</v>
      </c>
      <c r="N142" s="1"/>
      <c r="O142" s="2" t="s">
        <v>325</v>
      </c>
      <c r="P142" s="2" t="s">
        <v>326</v>
      </c>
      <c r="Q142" s="2" t="s">
        <v>327</v>
      </c>
      <c r="R142" s="73"/>
      <c r="S142" s="1"/>
      <c r="T142" s="1"/>
      <c r="U142" s="1"/>
      <c r="V142" s="1"/>
    </row>
    <row r="143" spans="1:22" ht="15" thickBot="1">
      <c r="A143" s="32"/>
      <c r="B143" s="2" t="s">
        <v>328</v>
      </c>
      <c r="C143" s="2" t="s">
        <v>387</v>
      </c>
      <c r="D143" s="2" t="s">
        <v>628</v>
      </c>
      <c r="E143" s="2" t="s">
        <v>629</v>
      </c>
      <c r="F143" s="2" t="s">
        <v>630</v>
      </c>
      <c r="G143" s="2" t="s">
        <v>631</v>
      </c>
      <c r="H143" s="1"/>
      <c r="I143" s="1"/>
      <c r="J143" s="53" t="s">
        <v>335</v>
      </c>
      <c r="K143" s="54" t="s">
        <v>336</v>
      </c>
      <c r="L143" s="54" t="s">
        <v>337</v>
      </c>
      <c r="M143" s="55" t="s">
        <v>338</v>
      </c>
      <c r="N143" s="1"/>
      <c r="O143" s="2" t="s">
        <v>328</v>
      </c>
      <c r="P143" s="2" t="s">
        <v>387</v>
      </c>
      <c r="Q143" s="2" t="s">
        <v>329</v>
      </c>
      <c r="R143" s="73"/>
      <c r="S143" s="1"/>
      <c r="T143" s="1"/>
      <c r="U143" s="1"/>
      <c r="V143" s="1"/>
    </row>
    <row r="144" spans="1:22">
      <c r="A144" s="32"/>
      <c r="B144" s="2" t="s">
        <v>332</v>
      </c>
      <c r="C144" s="2" t="s">
        <v>393</v>
      </c>
      <c r="D144" s="2" t="s">
        <v>632</v>
      </c>
      <c r="E144" s="2" t="s">
        <v>633</v>
      </c>
      <c r="F144" s="2" t="s">
        <v>634</v>
      </c>
      <c r="G144" s="2" t="s">
        <v>635</v>
      </c>
      <c r="H144" s="1"/>
      <c r="I144" s="1"/>
      <c r="J144" s="70" t="s">
        <v>341</v>
      </c>
      <c r="K144" s="71" t="s">
        <v>636</v>
      </c>
      <c r="L144" s="70" t="s">
        <v>637</v>
      </c>
      <c r="M144" s="70" t="s">
        <v>428</v>
      </c>
      <c r="N144" s="1"/>
      <c r="O144" s="2" t="s">
        <v>332</v>
      </c>
      <c r="P144" s="2" t="s">
        <v>393</v>
      </c>
      <c r="Q144" s="2" t="s">
        <v>334</v>
      </c>
      <c r="R144" s="73"/>
      <c r="S144" s="1"/>
      <c r="T144" s="1"/>
      <c r="U144" s="1"/>
      <c r="V144" s="1"/>
    </row>
    <row r="145" spans="1:22">
      <c r="A145" s="32"/>
      <c r="B145" s="2" t="s">
        <v>339</v>
      </c>
      <c r="C145" s="2" t="s">
        <v>399</v>
      </c>
      <c r="D145" s="2" t="s">
        <v>638</v>
      </c>
      <c r="E145" s="2" t="s">
        <v>639</v>
      </c>
      <c r="F145" s="2" t="s">
        <v>640</v>
      </c>
      <c r="G145" s="2" t="s">
        <v>641</v>
      </c>
      <c r="H145" s="1"/>
      <c r="I145" s="1"/>
      <c r="J145" s="29" t="s">
        <v>349</v>
      </c>
      <c r="K145" s="59" t="s">
        <v>642</v>
      </c>
      <c r="L145" s="29" t="s">
        <v>643</v>
      </c>
      <c r="M145" s="29" t="s">
        <v>352</v>
      </c>
      <c r="N145" s="1"/>
      <c r="O145" s="2" t="s">
        <v>339</v>
      </c>
      <c r="P145" s="2" t="s">
        <v>399</v>
      </c>
      <c r="Q145" s="2" t="s">
        <v>413</v>
      </c>
      <c r="R145" s="73"/>
      <c r="S145" s="1"/>
      <c r="T145" s="1"/>
      <c r="U145" s="1"/>
      <c r="V145" s="1"/>
    </row>
    <row r="146" spans="1:22">
      <c r="A146" s="32"/>
      <c r="B146" s="1"/>
      <c r="C146" s="1"/>
      <c r="D146" s="1"/>
      <c r="E146" s="1"/>
      <c r="F146" s="1"/>
      <c r="G146" s="1"/>
      <c r="H146" s="1"/>
      <c r="I146" s="1"/>
      <c r="J146" s="29" t="s">
        <v>366</v>
      </c>
      <c r="K146" s="29" t="s">
        <v>644</v>
      </c>
      <c r="L146" s="59" t="s">
        <v>645</v>
      </c>
      <c r="M146" s="29" t="s">
        <v>352</v>
      </c>
      <c r="N146" s="1"/>
      <c r="O146" s="1"/>
      <c r="P146" s="1"/>
      <c r="Q146" s="1"/>
      <c r="R146" s="73"/>
      <c r="S146" s="1"/>
      <c r="T146" s="1"/>
      <c r="U146" s="1"/>
      <c r="V146" s="1"/>
    </row>
    <row r="147" spans="1:22">
      <c r="A147" s="3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63"/>
      <c r="M147" s="1"/>
      <c r="N147" s="1"/>
      <c r="O147" s="1"/>
      <c r="P147" s="1"/>
      <c r="Q147" s="1"/>
      <c r="R147" s="73"/>
      <c r="S147" s="1"/>
      <c r="T147" s="1"/>
      <c r="U147" s="1"/>
      <c r="V147" s="1"/>
    </row>
    <row r="148" spans="1:22">
      <c r="A148" s="3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63"/>
      <c r="M148" s="1"/>
      <c r="N148" s="1"/>
      <c r="O148" s="1"/>
      <c r="P148" s="1"/>
      <c r="Q148" s="1"/>
      <c r="R148" s="73"/>
      <c r="S148" s="1"/>
      <c r="T148" s="1"/>
      <c r="U148" s="1"/>
      <c r="V148" s="1"/>
    </row>
    <row r="149" spans="1:22">
      <c r="A149" s="3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73"/>
      <c r="S149" s="1"/>
      <c r="T149" s="1"/>
      <c r="U149" s="1"/>
      <c r="V149" s="1"/>
    </row>
    <row r="150" spans="1:22">
      <c r="A150" s="3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73"/>
      <c r="S150" s="1"/>
      <c r="T150" s="1"/>
      <c r="U150" s="1"/>
      <c r="V150" s="1"/>
    </row>
    <row r="151" spans="1:22" ht="15" thickBot="1">
      <c r="A151" s="32"/>
      <c r="B151" s="24" t="s">
        <v>325</v>
      </c>
      <c r="C151" s="24" t="s">
        <v>446</v>
      </c>
      <c r="D151" s="127" t="s">
        <v>348</v>
      </c>
      <c r="E151" s="127"/>
      <c r="F151" s="127"/>
      <c r="G151" s="12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73"/>
      <c r="S151" s="1"/>
      <c r="T151" s="1"/>
      <c r="U151" s="1"/>
      <c r="V151" s="1"/>
    </row>
    <row r="152" spans="1:22">
      <c r="A152" s="32"/>
      <c r="B152" s="24" t="s">
        <v>353</v>
      </c>
      <c r="C152" s="24" t="s">
        <v>354</v>
      </c>
      <c r="D152" s="24" t="s">
        <v>355</v>
      </c>
      <c r="E152" s="24" t="s">
        <v>356</v>
      </c>
      <c r="F152" s="24" t="s">
        <v>357</v>
      </c>
      <c r="G152" s="24" t="s">
        <v>358</v>
      </c>
      <c r="H152" s="1"/>
      <c r="I152" s="1"/>
      <c r="J152" s="50" t="s">
        <v>330</v>
      </c>
      <c r="K152" s="51" t="s">
        <v>331</v>
      </c>
      <c r="L152" s="51" t="s">
        <v>331</v>
      </c>
      <c r="M152" s="52" t="s">
        <v>331</v>
      </c>
      <c r="N152" s="1"/>
      <c r="O152" s="2" t="s">
        <v>325</v>
      </c>
      <c r="P152" s="2" t="s">
        <v>326</v>
      </c>
      <c r="Q152" s="2" t="s">
        <v>327</v>
      </c>
      <c r="R152" s="73"/>
      <c r="S152" s="1"/>
      <c r="T152" s="1"/>
      <c r="U152" s="1"/>
      <c r="V152" s="1"/>
    </row>
    <row r="153" spans="1:22" ht="15" thickBot="1">
      <c r="A153" s="32"/>
      <c r="B153" s="2" t="s">
        <v>328</v>
      </c>
      <c r="C153" s="2" t="s">
        <v>387</v>
      </c>
      <c r="D153" s="2" t="s">
        <v>646</v>
      </c>
      <c r="E153" s="2" t="s">
        <v>647</v>
      </c>
      <c r="F153" s="2" t="s">
        <v>648</v>
      </c>
      <c r="G153" s="2" t="s">
        <v>649</v>
      </c>
      <c r="H153" s="1"/>
      <c r="I153" s="1"/>
      <c r="J153" s="53" t="s">
        <v>335</v>
      </c>
      <c r="K153" s="54" t="s">
        <v>336</v>
      </c>
      <c r="L153" s="54" t="s">
        <v>337</v>
      </c>
      <c r="M153" s="55" t="s">
        <v>338</v>
      </c>
      <c r="N153" s="1"/>
      <c r="O153" s="2" t="s">
        <v>328</v>
      </c>
      <c r="P153" s="2" t="s">
        <v>387</v>
      </c>
      <c r="Q153" s="2" t="s">
        <v>329</v>
      </c>
      <c r="R153" s="73"/>
      <c r="S153" s="1"/>
      <c r="T153" s="1"/>
      <c r="U153" s="1"/>
      <c r="V153" s="1"/>
    </row>
    <row r="154" spans="1:22">
      <c r="A154" s="32"/>
      <c r="B154" s="2" t="s">
        <v>332</v>
      </c>
      <c r="C154" s="2" t="s">
        <v>393</v>
      </c>
      <c r="D154" s="2" t="s">
        <v>650</v>
      </c>
      <c r="E154" s="2" t="s">
        <v>651</v>
      </c>
      <c r="F154" s="2" t="s">
        <v>652</v>
      </c>
      <c r="G154" s="2" t="s">
        <v>653</v>
      </c>
      <c r="H154" s="1"/>
      <c r="I154" s="1"/>
      <c r="J154" s="64" t="s">
        <v>341</v>
      </c>
      <c r="K154" s="64" t="s">
        <v>654</v>
      </c>
      <c r="L154" s="64" t="s">
        <v>380</v>
      </c>
      <c r="M154" s="64" t="s">
        <v>352</v>
      </c>
      <c r="N154" s="1"/>
      <c r="O154" s="2" t="s">
        <v>332</v>
      </c>
      <c r="P154" s="2" t="s">
        <v>393</v>
      </c>
      <c r="Q154" s="2" t="s">
        <v>329</v>
      </c>
      <c r="R154" s="73"/>
      <c r="S154" s="1"/>
      <c r="T154" s="1"/>
      <c r="U154" s="1"/>
      <c r="V154" s="1"/>
    </row>
    <row r="155" spans="1:22">
      <c r="A155" s="32"/>
      <c r="B155" s="2" t="s">
        <v>339</v>
      </c>
      <c r="C155" s="2" t="s">
        <v>399</v>
      </c>
      <c r="D155" s="2" t="s">
        <v>601</v>
      </c>
      <c r="E155" s="2" t="s">
        <v>602</v>
      </c>
      <c r="F155" s="2" t="s">
        <v>603</v>
      </c>
      <c r="G155" s="2" t="s">
        <v>604</v>
      </c>
      <c r="H155" s="1"/>
      <c r="I155" s="1"/>
      <c r="J155" s="29" t="s">
        <v>349</v>
      </c>
      <c r="K155" s="59" t="s">
        <v>655</v>
      </c>
      <c r="L155" s="29" t="s">
        <v>656</v>
      </c>
      <c r="M155" s="29" t="s">
        <v>352</v>
      </c>
      <c r="N155" s="1"/>
      <c r="O155" s="2" t="s">
        <v>339</v>
      </c>
      <c r="P155" s="2" t="s">
        <v>399</v>
      </c>
      <c r="Q155" s="2" t="s">
        <v>329</v>
      </c>
      <c r="R155" s="73"/>
      <c r="S155" s="1"/>
      <c r="T155" s="1"/>
      <c r="U155" s="1"/>
      <c r="V155" s="1"/>
    </row>
    <row r="156" spans="1:22" ht="15" thickBot="1">
      <c r="A156" s="33"/>
      <c r="B156" s="75"/>
      <c r="C156" s="75"/>
      <c r="D156" s="75"/>
      <c r="E156" s="75"/>
      <c r="F156" s="75"/>
      <c r="G156" s="75"/>
      <c r="H156" s="75"/>
      <c r="I156" s="75"/>
      <c r="J156" s="94" t="s">
        <v>366</v>
      </c>
      <c r="K156" s="95" t="s">
        <v>657</v>
      </c>
      <c r="L156" s="94" t="s">
        <v>658</v>
      </c>
      <c r="M156" s="94" t="s">
        <v>352</v>
      </c>
      <c r="N156" s="75"/>
      <c r="O156" s="75"/>
      <c r="P156" s="75"/>
      <c r="Q156" s="75"/>
      <c r="R156" s="76"/>
      <c r="S156" s="1"/>
      <c r="T156" s="1"/>
      <c r="U156" s="1"/>
      <c r="V156" s="1"/>
    </row>
    <row r="157" spans="1:22" ht="15" thickBo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>
      <c r="A158" s="88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90"/>
      <c r="M158" s="89"/>
      <c r="N158" s="89"/>
      <c r="O158" s="89"/>
      <c r="P158" s="89"/>
      <c r="Q158" s="89"/>
      <c r="R158" s="91"/>
      <c r="S158" s="1"/>
      <c r="T158" s="1"/>
      <c r="U158" s="1"/>
      <c r="V158" s="1"/>
    </row>
    <row r="159" spans="1:22">
      <c r="A159" s="77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85"/>
      <c r="M159" s="78"/>
      <c r="N159" s="78"/>
      <c r="O159" s="78"/>
      <c r="P159" s="78"/>
      <c r="Q159" s="78"/>
      <c r="R159" s="79"/>
      <c r="S159" s="1"/>
      <c r="T159" s="1"/>
      <c r="U159" s="1"/>
      <c r="V159" s="1"/>
    </row>
    <row r="160" spans="1:22" ht="15" thickBot="1">
      <c r="A160" s="77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9"/>
      <c r="S160" s="1"/>
      <c r="T160" s="1"/>
      <c r="U160" s="1"/>
      <c r="V160" s="1"/>
    </row>
    <row r="161" spans="1:22" ht="15" thickBot="1">
      <c r="A161" s="77"/>
      <c r="B161" s="78"/>
      <c r="C161" s="78"/>
      <c r="D161" s="78"/>
      <c r="E161" s="78"/>
      <c r="F161" s="78"/>
      <c r="G161" s="78"/>
      <c r="H161" s="78"/>
      <c r="I161" s="78"/>
      <c r="J161" s="50" t="s">
        <v>330</v>
      </c>
      <c r="K161" s="51" t="s">
        <v>331</v>
      </c>
      <c r="L161" s="51" t="s">
        <v>331</v>
      </c>
      <c r="M161" s="52" t="s">
        <v>331</v>
      </c>
      <c r="N161" s="78"/>
      <c r="O161" s="78"/>
      <c r="P161" s="78"/>
      <c r="Q161" s="78"/>
      <c r="R161" s="79"/>
      <c r="S161" s="1"/>
      <c r="T161" s="1"/>
      <c r="U161" s="1"/>
      <c r="V161" s="1"/>
    </row>
    <row r="162" spans="1:22" ht="24" thickBot="1">
      <c r="A162" s="77"/>
      <c r="B162" s="86" t="s">
        <v>35</v>
      </c>
      <c r="C162" s="78"/>
      <c r="D162" s="78"/>
      <c r="E162" s="78"/>
      <c r="F162" s="78"/>
      <c r="G162" s="78"/>
      <c r="H162" s="78"/>
      <c r="I162" s="78"/>
      <c r="J162" s="53" t="s">
        <v>335</v>
      </c>
      <c r="K162" s="54" t="s">
        <v>336</v>
      </c>
      <c r="L162" s="54" t="s">
        <v>337</v>
      </c>
      <c r="M162" s="55" t="s">
        <v>338</v>
      </c>
      <c r="N162" s="78"/>
      <c r="O162" s="83" t="s">
        <v>325</v>
      </c>
      <c r="P162" s="83" t="s">
        <v>326</v>
      </c>
      <c r="Q162" s="83" t="s">
        <v>327</v>
      </c>
      <c r="R162" s="79"/>
      <c r="S162" s="1"/>
      <c r="T162" s="1"/>
      <c r="U162" s="1"/>
      <c r="V162" s="1"/>
    </row>
    <row r="163" spans="1:22">
      <c r="A163" s="77"/>
      <c r="B163" s="87" t="s">
        <v>325</v>
      </c>
      <c r="C163" s="84" t="s">
        <v>347</v>
      </c>
      <c r="D163" s="129" t="s">
        <v>348</v>
      </c>
      <c r="E163" s="129"/>
      <c r="F163" s="129"/>
      <c r="G163" s="129"/>
      <c r="H163" s="78"/>
      <c r="I163" s="78"/>
      <c r="J163" s="64" t="s">
        <v>341</v>
      </c>
      <c r="K163" s="65" t="s">
        <v>659</v>
      </c>
      <c r="L163" s="64" t="s">
        <v>660</v>
      </c>
      <c r="M163" s="64" t="s">
        <v>352</v>
      </c>
      <c r="N163" s="78"/>
      <c r="O163" s="83" t="s">
        <v>328</v>
      </c>
      <c r="P163" s="83" t="s">
        <v>31</v>
      </c>
      <c r="Q163" s="83" t="s">
        <v>329</v>
      </c>
      <c r="R163" s="79"/>
      <c r="S163" s="1"/>
      <c r="T163" s="1"/>
      <c r="U163" s="1"/>
      <c r="V163" s="1"/>
    </row>
    <row r="164" spans="1:22">
      <c r="A164" s="77"/>
      <c r="B164" s="84" t="s">
        <v>353</v>
      </c>
      <c r="C164" s="84" t="s">
        <v>354</v>
      </c>
      <c r="D164" s="84" t="s">
        <v>355</v>
      </c>
      <c r="E164" s="84" t="s">
        <v>356</v>
      </c>
      <c r="F164" s="84" t="s">
        <v>357</v>
      </c>
      <c r="G164" s="84" t="s">
        <v>358</v>
      </c>
      <c r="H164" s="78"/>
      <c r="I164" s="78"/>
      <c r="J164" s="29" t="s">
        <v>349</v>
      </c>
      <c r="K164" s="59" t="s">
        <v>661</v>
      </c>
      <c r="L164" s="29" t="s">
        <v>662</v>
      </c>
      <c r="M164" s="29" t="s">
        <v>352</v>
      </c>
      <c r="N164" s="78"/>
      <c r="O164" s="83" t="s">
        <v>332</v>
      </c>
      <c r="P164" s="83" t="s">
        <v>333</v>
      </c>
      <c r="Q164" s="83" t="s">
        <v>329</v>
      </c>
      <c r="R164" s="79"/>
      <c r="S164" s="1"/>
      <c r="T164" s="1"/>
      <c r="U164" s="1"/>
      <c r="V164" s="1"/>
    </row>
    <row r="165" spans="1:22">
      <c r="A165" s="77"/>
      <c r="B165" s="83" t="s">
        <v>328</v>
      </c>
      <c r="C165" s="83" t="s">
        <v>31</v>
      </c>
      <c r="D165" s="83" t="s">
        <v>663</v>
      </c>
      <c r="E165" s="83" t="s">
        <v>664</v>
      </c>
      <c r="F165" s="83" t="s">
        <v>665</v>
      </c>
      <c r="G165" s="83" t="s">
        <v>666</v>
      </c>
      <c r="H165" s="78"/>
      <c r="I165" s="78"/>
      <c r="J165" s="29" t="s">
        <v>359</v>
      </c>
      <c r="K165" s="59" t="s">
        <v>667</v>
      </c>
      <c r="L165" s="29" t="s">
        <v>668</v>
      </c>
      <c r="M165" s="29" t="s">
        <v>352</v>
      </c>
      <c r="N165" s="78"/>
      <c r="O165" s="83" t="s">
        <v>339</v>
      </c>
      <c r="P165" s="83" t="s">
        <v>340</v>
      </c>
      <c r="Q165" s="83" t="s">
        <v>329</v>
      </c>
      <c r="R165" s="79"/>
      <c r="S165" s="1"/>
      <c r="T165" s="1"/>
      <c r="U165" s="1"/>
      <c r="V165" s="1"/>
    </row>
    <row r="166" spans="1:22">
      <c r="A166" s="77"/>
      <c r="B166" s="83" t="s">
        <v>332</v>
      </c>
      <c r="C166" s="83" t="s">
        <v>333</v>
      </c>
      <c r="D166" s="83" t="s">
        <v>669</v>
      </c>
      <c r="E166" s="83" t="s">
        <v>670</v>
      </c>
      <c r="F166" s="83" t="s">
        <v>671</v>
      </c>
      <c r="G166" s="83" t="s">
        <v>672</v>
      </c>
      <c r="H166" s="78"/>
      <c r="I166" s="78"/>
      <c r="J166" s="29" t="s">
        <v>366</v>
      </c>
      <c r="K166" s="29" t="s">
        <v>673</v>
      </c>
      <c r="L166" s="29" t="s">
        <v>380</v>
      </c>
      <c r="M166" s="29" t="s">
        <v>352</v>
      </c>
      <c r="N166" s="78"/>
      <c r="O166" s="83" t="s">
        <v>345</v>
      </c>
      <c r="P166" s="83" t="s">
        <v>346</v>
      </c>
      <c r="Q166" s="83" t="s">
        <v>329</v>
      </c>
      <c r="R166" s="79"/>
      <c r="S166" s="1"/>
      <c r="T166" s="1"/>
      <c r="U166" s="1"/>
      <c r="V166" s="1"/>
    </row>
    <row r="167" spans="1:22">
      <c r="A167" s="77"/>
      <c r="B167" s="83" t="s">
        <v>339</v>
      </c>
      <c r="C167" s="83" t="s">
        <v>340</v>
      </c>
      <c r="D167" s="83" t="s">
        <v>674</v>
      </c>
      <c r="E167" s="83" t="s">
        <v>675</v>
      </c>
      <c r="F167" s="83" t="s">
        <v>676</v>
      </c>
      <c r="G167" s="83" t="s">
        <v>677</v>
      </c>
      <c r="H167" s="78"/>
      <c r="I167" s="78"/>
      <c r="J167" s="29" t="s">
        <v>372</v>
      </c>
      <c r="K167" s="29" t="s">
        <v>678</v>
      </c>
      <c r="L167" s="29" t="s">
        <v>380</v>
      </c>
      <c r="M167" s="29" t="s">
        <v>352</v>
      </c>
      <c r="N167" s="78"/>
      <c r="O167" s="78"/>
      <c r="P167" s="78"/>
      <c r="Q167" s="78"/>
      <c r="R167" s="79"/>
      <c r="S167" s="1"/>
      <c r="T167" s="1"/>
      <c r="U167" s="1"/>
      <c r="V167" s="1"/>
    </row>
    <row r="168" spans="1:22">
      <c r="A168" s="77"/>
      <c r="B168" s="83" t="s">
        <v>345</v>
      </c>
      <c r="C168" s="83" t="s">
        <v>346</v>
      </c>
      <c r="D168" s="83" t="s">
        <v>679</v>
      </c>
      <c r="E168" s="83" t="s">
        <v>680</v>
      </c>
      <c r="F168" s="83" t="s">
        <v>681</v>
      </c>
      <c r="G168" s="83" t="s">
        <v>682</v>
      </c>
      <c r="H168" s="78"/>
      <c r="I168" s="78"/>
      <c r="J168" s="29" t="s">
        <v>378</v>
      </c>
      <c r="K168" s="29" t="s">
        <v>683</v>
      </c>
      <c r="L168" s="59" t="s">
        <v>380</v>
      </c>
      <c r="M168" s="29" t="s">
        <v>352</v>
      </c>
      <c r="N168" s="78"/>
      <c r="O168" s="78"/>
      <c r="P168" s="78"/>
      <c r="Q168" s="78"/>
      <c r="R168" s="79"/>
      <c r="S168" s="1"/>
      <c r="T168" s="1"/>
      <c r="U168" s="1"/>
      <c r="V168" s="1"/>
    </row>
    <row r="169" spans="1:22">
      <c r="A169" s="77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85"/>
      <c r="M169" s="78"/>
      <c r="N169" s="78"/>
      <c r="O169" s="78"/>
      <c r="P169" s="78"/>
      <c r="Q169" s="78"/>
      <c r="R169" s="79"/>
      <c r="S169" s="1"/>
      <c r="T169" s="1"/>
      <c r="U169" s="1"/>
      <c r="V169" s="1"/>
    </row>
    <row r="170" spans="1:22" ht="15" thickBot="1">
      <c r="A170" s="77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85"/>
      <c r="M170" s="78"/>
      <c r="N170" s="78"/>
      <c r="O170" s="78"/>
      <c r="P170" s="78"/>
      <c r="Q170" s="78"/>
      <c r="R170" s="79"/>
      <c r="S170" s="1"/>
      <c r="T170" s="1"/>
      <c r="U170" s="1"/>
      <c r="V170" s="1"/>
    </row>
    <row r="171" spans="1:22">
      <c r="A171" s="77"/>
      <c r="B171" s="84" t="s">
        <v>325</v>
      </c>
      <c r="C171" s="84" t="s">
        <v>385</v>
      </c>
      <c r="D171" s="129" t="s">
        <v>348</v>
      </c>
      <c r="E171" s="129"/>
      <c r="F171" s="129"/>
      <c r="G171" s="129"/>
      <c r="H171" s="78"/>
      <c r="I171" s="78"/>
      <c r="J171" s="50" t="s">
        <v>330</v>
      </c>
      <c r="K171" s="51" t="s">
        <v>331</v>
      </c>
      <c r="L171" s="72" t="s">
        <v>331</v>
      </c>
      <c r="M171" s="52" t="s">
        <v>331</v>
      </c>
      <c r="N171" s="78"/>
      <c r="O171" s="78"/>
      <c r="P171" s="78"/>
      <c r="Q171" s="78"/>
      <c r="R171" s="79"/>
      <c r="S171" s="1"/>
      <c r="T171" s="1"/>
      <c r="U171" s="1"/>
      <c r="V171" s="1"/>
    </row>
    <row r="172" spans="1:22" ht="15" thickBot="1">
      <c r="A172" s="77"/>
      <c r="B172" s="84" t="s">
        <v>353</v>
      </c>
      <c r="C172" s="84" t="s">
        <v>354</v>
      </c>
      <c r="D172" s="84" t="s">
        <v>355</v>
      </c>
      <c r="E172" s="84" t="s">
        <v>356</v>
      </c>
      <c r="F172" s="84" t="s">
        <v>357</v>
      </c>
      <c r="G172" s="84" t="s">
        <v>358</v>
      </c>
      <c r="H172" s="84" t="s">
        <v>386</v>
      </c>
      <c r="I172" s="78"/>
      <c r="J172" s="53" t="s">
        <v>335</v>
      </c>
      <c r="K172" s="54" t="s">
        <v>336</v>
      </c>
      <c r="L172" s="69" t="s">
        <v>337</v>
      </c>
      <c r="M172" s="55" t="s">
        <v>338</v>
      </c>
      <c r="N172" s="78"/>
      <c r="O172" s="83" t="s">
        <v>325</v>
      </c>
      <c r="P172" s="83" t="s">
        <v>326</v>
      </c>
      <c r="Q172" s="83" t="s">
        <v>327</v>
      </c>
      <c r="R172" s="79"/>
      <c r="S172" s="1"/>
      <c r="T172" s="1"/>
      <c r="U172" s="1"/>
      <c r="V172" s="1"/>
    </row>
    <row r="173" spans="1:22">
      <c r="A173" s="77"/>
      <c r="B173" s="83" t="s">
        <v>328</v>
      </c>
      <c r="C173" s="83" t="s">
        <v>387</v>
      </c>
      <c r="D173" s="83" t="s">
        <v>684</v>
      </c>
      <c r="E173" s="83" t="s">
        <v>685</v>
      </c>
      <c r="F173" s="83" t="s">
        <v>686</v>
      </c>
      <c r="G173" s="83" t="s">
        <v>687</v>
      </c>
      <c r="H173" s="83" t="s">
        <v>688</v>
      </c>
      <c r="I173" s="78"/>
      <c r="J173" s="70" t="s">
        <v>341</v>
      </c>
      <c r="K173" s="71" t="s">
        <v>689</v>
      </c>
      <c r="L173" s="70" t="s">
        <v>690</v>
      </c>
      <c r="M173" s="70" t="s">
        <v>428</v>
      </c>
      <c r="N173" s="78"/>
      <c r="O173" s="83" t="s">
        <v>328</v>
      </c>
      <c r="P173" s="83" t="s">
        <v>387</v>
      </c>
      <c r="Q173" s="83" t="s">
        <v>329</v>
      </c>
      <c r="R173" s="79"/>
      <c r="S173" s="1"/>
      <c r="T173" s="1"/>
      <c r="U173" s="1"/>
      <c r="V173" s="1"/>
    </row>
    <row r="174" spans="1:22">
      <c r="A174" s="77"/>
      <c r="B174" s="83" t="s">
        <v>332</v>
      </c>
      <c r="C174" s="83" t="s">
        <v>393</v>
      </c>
      <c r="D174" s="83" t="s">
        <v>691</v>
      </c>
      <c r="E174" s="83" t="s">
        <v>692</v>
      </c>
      <c r="F174" s="83" t="s">
        <v>693</v>
      </c>
      <c r="G174" s="83" t="s">
        <v>694</v>
      </c>
      <c r="H174" s="78"/>
      <c r="I174" s="78"/>
      <c r="J174" s="66" t="s">
        <v>349</v>
      </c>
      <c r="K174" s="67" t="s">
        <v>695</v>
      </c>
      <c r="L174" s="66" t="s">
        <v>696</v>
      </c>
      <c r="M174" s="66" t="s">
        <v>428</v>
      </c>
      <c r="N174" s="78"/>
      <c r="O174" s="83" t="s">
        <v>332</v>
      </c>
      <c r="P174" s="83" t="s">
        <v>393</v>
      </c>
      <c r="Q174" s="83" t="s">
        <v>334</v>
      </c>
      <c r="R174" s="79"/>
      <c r="S174" s="1"/>
      <c r="T174" s="1"/>
      <c r="U174" s="1"/>
      <c r="V174" s="1"/>
    </row>
    <row r="175" spans="1:22">
      <c r="A175" s="77"/>
      <c r="B175" s="83" t="s">
        <v>339</v>
      </c>
      <c r="C175" s="83" t="s">
        <v>399</v>
      </c>
      <c r="D175" s="83" t="s">
        <v>697</v>
      </c>
      <c r="E175" s="83" t="s">
        <v>698</v>
      </c>
      <c r="F175" s="83" t="s">
        <v>699</v>
      </c>
      <c r="G175" s="83" t="s">
        <v>700</v>
      </c>
      <c r="H175" s="78"/>
      <c r="I175" s="78"/>
      <c r="J175" s="29" t="s">
        <v>366</v>
      </c>
      <c r="K175" s="29" t="s">
        <v>701</v>
      </c>
      <c r="L175" s="29" t="s">
        <v>380</v>
      </c>
      <c r="M175" s="29" t="s">
        <v>352</v>
      </c>
      <c r="N175" s="78"/>
      <c r="O175" s="83" t="s">
        <v>339</v>
      </c>
      <c r="P175" s="83" t="s">
        <v>399</v>
      </c>
      <c r="Q175" s="83" t="s">
        <v>334</v>
      </c>
      <c r="R175" s="79"/>
      <c r="S175" s="1"/>
      <c r="T175" s="1"/>
      <c r="U175" s="1"/>
      <c r="V175" s="1"/>
    </row>
    <row r="176" spans="1:22">
      <c r="A176" s="77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9"/>
      <c r="S176" s="1"/>
      <c r="T176" s="1"/>
      <c r="U176" s="1"/>
      <c r="V176" s="1"/>
    </row>
    <row r="177" spans="1:22">
      <c r="A177" s="77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85"/>
      <c r="M177" s="78"/>
      <c r="N177" s="78"/>
      <c r="O177" s="78"/>
      <c r="P177" s="78"/>
      <c r="Q177" s="78"/>
      <c r="R177" s="79"/>
      <c r="S177" s="1"/>
      <c r="T177" s="1"/>
      <c r="U177" s="1"/>
      <c r="V177" s="1"/>
    </row>
    <row r="178" spans="1:22">
      <c r="A178" s="77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85"/>
      <c r="M178" s="78"/>
      <c r="N178" s="78"/>
      <c r="O178" s="78"/>
      <c r="P178" s="78"/>
      <c r="Q178" s="78"/>
      <c r="R178" s="79"/>
      <c r="S178" s="1"/>
      <c r="T178" s="1"/>
      <c r="U178" s="1"/>
      <c r="V178" s="1"/>
    </row>
    <row r="179" spans="1:22" ht="15" thickBot="1">
      <c r="A179" s="77"/>
      <c r="B179" s="84" t="s">
        <v>325</v>
      </c>
      <c r="C179" s="84" t="s">
        <v>408</v>
      </c>
      <c r="D179" s="129" t="s">
        <v>348</v>
      </c>
      <c r="E179" s="129"/>
      <c r="F179" s="129"/>
      <c r="G179" s="129"/>
      <c r="H179" s="78"/>
      <c r="I179" s="78"/>
      <c r="J179" s="78"/>
      <c r="K179" s="78"/>
      <c r="L179" s="85"/>
      <c r="M179" s="78"/>
      <c r="N179" s="78"/>
      <c r="O179" s="78"/>
      <c r="P179" s="78"/>
      <c r="Q179" s="78"/>
      <c r="R179" s="79"/>
      <c r="S179" s="1"/>
      <c r="T179" s="1"/>
      <c r="U179" s="1"/>
      <c r="V179" s="1"/>
    </row>
    <row r="180" spans="1:22">
      <c r="A180" s="77"/>
      <c r="B180" s="84" t="s">
        <v>353</v>
      </c>
      <c r="C180" s="84" t="s">
        <v>354</v>
      </c>
      <c r="D180" s="84" t="s">
        <v>355</v>
      </c>
      <c r="E180" s="84" t="s">
        <v>356</v>
      </c>
      <c r="F180" s="84" t="s">
        <v>357</v>
      </c>
      <c r="G180" s="84" t="s">
        <v>358</v>
      </c>
      <c r="H180" s="78"/>
      <c r="I180" s="78"/>
      <c r="J180" s="50" t="s">
        <v>330</v>
      </c>
      <c r="K180" s="51" t="s">
        <v>331</v>
      </c>
      <c r="L180" s="72" t="s">
        <v>331</v>
      </c>
      <c r="M180" s="52" t="s">
        <v>331</v>
      </c>
      <c r="N180" s="78"/>
      <c r="O180" s="83" t="s">
        <v>325</v>
      </c>
      <c r="P180" s="83" t="s">
        <v>326</v>
      </c>
      <c r="Q180" s="83" t="s">
        <v>327</v>
      </c>
      <c r="R180" s="79"/>
      <c r="S180" s="1"/>
      <c r="T180" s="1"/>
      <c r="U180" s="1"/>
      <c r="V180" s="1"/>
    </row>
    <row r="181" spans="1:22" ht="15" thickBot="1">
      <c r="A181" s="77"/>
      <c r="B181" s="83" t="s">
        <v>328</v>
      </c>
      <c r="C181" s="83" t="s">
        <v>387</v>
      </c>
      <c r="D181" s="83" t="s">
        <v>702</v>
      </c>
      <c r="E181" s="83" t="s">
        <v>703</v>
      </c>
      <c r="F181" s="83" t="s">
        <v>704</v>
      </c>
      <c r="G181" s="83" t="s">
        <v>705</v>
      </c>
      <c r="H181" s="78"/>
      <c r="I181" s="78"/>
      <c r="J181" s="53" t="s">
        <v>335</v>
      </c>
      <c r="K181" s="54" t="s">
        <v>336</v>
      </c>
      <c r="L181" s="69" t="s">
        <v>337</v>
      </c>
      <c r="M181" s="55" t="s">
        <v>338</v>
      </c>
      <c r="N181" s="78"/>
      <c r="O181" s="83" t="s">
        <v>328</v>
      </c>
      <c r="P181" s="83" t="s">
        <v>387</v>
      </c>
      <c r="Q181" s="83" t="s">
        <v>329</v>
      </c>
      <c r="R181" s="79"/>
      <c r="S181" s="1"/>
      <c r="T181" s="1"/>
      <c r="U181" s="1"/>
      <c r="V181" s="1"/>
    </row>
    <row r="182" spans="1:22">
      <c r="A182" s="77"/>
      <c r="B182" s="83" t="s">
        <v>332</v>
      </c>
      <c r="C182" s="83" t="s">
        <v>393</v>
      </c>
      <c r="D182" s="83" t="s">
        <v>706</v>
      </c>
      <c r="E182" s="83" t="s">
        <v>707</v>
      </c>
      <c r="F182" s="83" t="s">
        <v>708</v>
      </c>
      <c r="G182" s="83" t="s">
        <v>709</v>
      </c>
      <c r="H182" s="78"/>
      <c r="I182" s="78"/>
      <c r="J182" s="64" t="s">
        <v>341</v>
      </c>
      <c r="K182" s="64" t="s">
        <v>710</v>
      </c>
      <c r="L182" s="64" t="s">
        <v>711</v>
      </c>
      <c r="M182" s="64" t="s">
        <v>352</v>
      </c>
      <c r="N182" s="78"/>
      <c r="O182" s="83" t="s">
        <v>332</v>
      </c>
      <c r="P182" s="83" t="s">
        <v>393</v>
      </c>
      <c r="Q182" s="83" t="s">
        <v>329</v>
      </c>
      <c r="R182" s="79"/>
      <c r="S182" s="1"/>
      <c r="T182" s="1"/>
      <c r="U182" s="1"/>
      <c r="V182" s="1"/>
    </row>
    <row r="183" spans="1:22">
      <c r="A183" s="77"/>
      <c r="B183" s="83" t="s">
        <v>339</v>
      </c>
      <c r="C183" s="83" t="s">
        <v>399</v>
      </c>
      <c r="D183" s="83" t="s">
        <v>712</v>
      </c>
      <c r="E183" s="83" t="s">
        <v>713</v>
      </c>
      <c r="F183" s="83" t="s">
        <v>714</v>
      </c>
      <c r="G183" s="83" t="s">
        <v>715</v>
      </c>
      <c r="H183" s="78"/>
      <c r="I183" s="78"/>
      <c r="J183" s="60" t="s">
        <v>349</v>
      </c>
      <c r="K183" s="61" t="s">
        <v>716</v>
      </c>
      <c r="L183" s="60" t="s">
        <v>717</v>
      </c>
      <c r="M183" s="60" t="s">
        <v>344</v>
      </c>
      <c r="N183" s="78"/>
      <c r="O183" s="83" t="s">
        <v>339</v>
      </c>
      <c r="P183" s="83" t="s">
        <v>399</v>
      </c>
      <c r="Q183" s="83" t="s">
        <v>334</v>
      </c>
      <c r="R183" s="79"/>
      <c r="S183" s="1"/>
      <c r="T183" s="1"/>
      <c r="U183" s="1"/>
      <c r="V183" s="1"/>
    </row>
    <row r="184" spans="1:22">
      <c r="A184" s="77"/>
      <c r="B184" s="78"/>
      <c r="C184" s="78"/>
      <c r="D184" s="78"/>
      <c r="E184" s="78"/>
      <c r="F184" s="78"/>
      <c r="G184" s="78"/>
      <c r="H184" s="78"/>
      <c r="I184" s="78"/>
      <c r="J184" s="60" t="s">
        <v>366</v>
      </c>
      <c r="K184" s="61" t="s">
        <v>718</v>
      </c>
      <c r="L184" s="60" t="s">
        <v>719</v>
      </c>
      <c r="M184" s="60" t="s">
        <v>344</v>
      </c>
      <c r="N184" s="78"/>
      <c r="O184" s="78"/>
      <c r="P184" s="78"/>
      <c r="Q184" s="78"/>
      <c r="R184" s="79"/>
      <c r="S184" s="1"/>
      <c r="T184" s="1"/>
      <c r="U184" s="1"/>
      <c r="V184" s="1"/>
    </row>
    <row r="185" spans="1:22">
      <c r="A185" s="77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9"/>
      <c r="S185" s="1"/>
      <c r="T185" s="1"/>
      <c r="U185" s="1"/>
      <c r="V185" s="1"/>
    </row>
    <row r="186" spans="1:22">
      <c r="A186" s="77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85"/>
      <c r="M186" s="78"/>
      <c r="N186" s="78"/>
      <c r="O186" s="78"/>
      <c r="P186" s="78"/>
      <c r="Q186" s="78"/>
      <c r="R186" s="79"/>
      <c r="S186" s="1"/>
      <c r="T186" s="1"/>
      <c r="U186" s="1"/>
      <c r="V186" s="1"/>
    </row>
    <row r="187" spans="1:22">
      <c r="A187" s="77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85"/>
      <c r="M187" s="78"/>
      <c r="N187" s="78"/>
      <c r="O187" s="78"/>
      <c r="P187" s="78"/>
      <c r="Q187" s="78"/>
      <c r="R187" s="79"/>
      <c r="S187" s="1"/>
      <c r="T187" s="1"/>
      <c r="U187" s="1"/>
      <c r="V187" s="1"/>
    </row>
    <row r="188" spans="1:22" ht="15" thickBot="1">
      <c r="A188" s="77"/>
      <c r="B188" s="84" t="s">
        <v>325</v>
      </c>
      <c r="C188" s="84" t="s">
        <v>429</v>
      </c>
      <c r="D188" s="129" t="s">
        <v>348</v>
      </c>
      <c r="E188" s="129"/>
      <c r="F188" s="129"/>
      <c r="G188" s="129"/>
      <c r="H188" s="78"/>
      <c r="I188" s="78"/>
      <c r="J188" s="78"/>
      <c r="K188" s="78"/>
      <c r="L188" s="85"/>
      <c r="M188" s="78"/>
      <c r="N188" s="78"/>
      <c r="O188" s="78"/>
      <c r="P188" s="78"/>
      <c r="Q188" s="78"/>
      <c r="R188" s="79"/>
      <c r="S188" s="1"/>
      <c r="T188" s="1"/>
      <c r="U188" s="1"/>
      <c r="V188" s="1"/>
    </row>
    <row r="189" spans="1:22">
      <c r="A189" s="77"/>
      <c r="B189" s="84" t="s">
        <v>353</v>
      </c>
      <c r="C189" s="84" t="s">
        <v>354</v>
      </c>
      <c r="D189" s="84" t="s">
        <v>355</v>
      </c>
      <c r="E189" s="84" t="s">
        <v>356</v>
      </c>
      <c r="F189" s="84" t="s">
        <v>357</v>
      </c>
      <c r="G189" s="84" t="s">
        <v>358</v>
      </c>
      <c r="H189" s="78"/>
      <c r="I189" s="78"/>
      <c r="J189" s="50" t="s">
        <v>330</v>
      </c>
      <c r="K189" s="51" t="s">
        <v>331</v>
      </c>
      <c r="L189" s="72" t="s">
        <v>331</v>
      </c>
      <c r="M189" s="52" t="s">
        <v>331</v>
      </c>
      <c r="N189" s="78"/>
      <c r="O189" s="83" t="s">
        <v>325</v>
      </c>
      <c r="P189" s="83" t="s">
        <v>326</v>
      </c>
      <c r="Q189" s="83" t="s">
        <v>327</v>
      </c>
      <c r="R189" s="79"/>
      <c r="S189" s="1"/>
      <c r="T189" s="1"/>
      <c r="U189" s="1"/>
      <c r="V189" s="1"/>
    </row>
    <row r="190" spans="1:22" ht="15" thickBot="1">
      <c r="A190" s="77"/>
      <c r="B190" s="83" t="s">
        <v>328</v>
      </c>
      <c r="C190" s="83" t="s">
        <v>387</v>
      </c>
      <c r="D190" s="83" t="s">
        <v>720</v>
      </c>
      <c r="E190" s="83" t="s">
        <v>721</v>
      </c>
      <c r="F190" s="83" t="s">
        <v>722</v>
      </c>
      <c r="G190" s="83" t="s">
        <v>723</v>
      </c>
      <c r="H190" s="78"/>
      <c r="I190" s="78"/>
      <c r="J190" s="53" t="s">
        <v>335</v>
      </c>
      <c r="K190" s="54" t="s">
        <v>336</v>
      </c>
      <c r="L190" s="54" t="s">
        <v>337</v>
      </c>
      <c r="M190" s="55" t="s">
        <v>338</v>
      </c>
      <c r="N190" s="78"/>
      <c r="O190" s="83" t="s">
        <v>328</v>
      </c>
      <c r="P190" s="83" t="s">
        <v>387</v>
      </c>
      <c r="Q190" s="83" t="s">
        <v>329</v>
      </c>
      <c r="R190" s="79"/>
      <c r="S190" s="1"/>
      <c r="T190" s="1"/>
      <c r="U190" s="1"/>
      <c r="V190" s="1"/>
    </row>
    <row r="191" spans="1:22">
      <c r="A191" s="77"/>
      <c r="B191" s="83" t="s">
        <v>332</v>
      </c>
      <c r="C191" s="83" t="s">
        <v>393</v>
      </c>
      <c r="D191" s="83" t="s">
        <v>724</v>
      </c>
      <c r="E191" s="83" t="s">
        <v>725</v>
      </c>
      <c r="F191" s="83" t="s">
        <v>726</v>
      </c>
      <c r="G191" s="83" t="s">
        <v>727</v>
      </c>
      <c r="H191" s="78"/>
      <c r="I191" s="78"/>
      <c r="J191" s="64" t="s">
        <v>341</v>
      </c>
      <c r="K191" s="65" t="s">
        <v>728</v>
      </c>
      <c r="L191" s="64" t="s">
        <v>729</v>
      </c>
      <c r="M191" s="64" t="s">
        <v>352</v>
      </c>
      <c r="N191" s="78"/>
      <c r="O191" s="83" t="s">
        <v>332</v>
      </c>
      <c r="P191" s="83" t="s">
        <v>393</v>
      </c>
      <c r="Q191" s="83" t="s">
        <v>329</v>
      </c>
      <c r="R191" s="79"/>
      <c r="S191" s="1"/>
      <c r="T191" s="1"/>
      <c r="U191" s="1"/>
      <c r="V191" s="1"/>
    </row>
    <row r="192" spans="1:22">
      <c r="A192" s="77"/>
      <c r="B192" s="83" t="s">
        <v>339</v>
      </c>
      <c r="C192" s="83" t="s">
        <v>399</v>
      </c>
      <c r="D192" s="83" t="s">
        <v>730</v>
      </c>
      <c r="E192" s="83" t="s">
        <v>731</v>
      </c>
      <c r="F192" s="83" t="s">
        <v>732</v>
      </c>
      <c r="G192" s="83" t="s">
        <v>733</v>
      </c>
      <c r="H192" s="78"/>
      <c r="I192" s="78"/>
      <c r="J192" s="29" t="s">
        <v>349</v>
      </c>
      <c r="K192" s="29" t="s">
        <v>734</v>
      </c>
      <c r="L192" s="29" t="s">
        <v>735</v>
      </c>
      <c r="M192" s="29" t="s">
        <v>352</v>
      </c>
      <c r="N192" s="78"/>
      <c r="O192" s="83" t="s">
        <v>339</v>
      </c>
      <c r="P192" s="83" t="s">
        <v>399</v>
      </c>
      <c r="Q192" s="83" t="s">
        <v>329</v>
      </c>
      <c r="R192" s="79"/>
      <c r="S192" s="1"/>
      <c r="T192" s="1"/>
      <c r="U192" s="1"/>
      <c r="V192" s="1"/>
    </row>
    <row r="193" spans="1:22">
      <c r="A193" s="77"/>
      <c r="B193" s="78"/>
      <c r="C193" s="78"/>
      <c r="D193" s="78"/>
      <c r="E193" s="78"/>
      <c r="F193" s="78"/>
      <c r="G193" s="78"/>
      <c r="H193" s="78"/>
      <c r="I193" s="78"/>
      <c r="J193" s="29" t="s">
        <v>366</v>
      </c>
      <c r="K193" s="29" t="s">
        <v>736</v>
      </c>
      <c r="L193" s="29" t="s">
        <v>380</v>
      </c>
      <c r="M193" s="29" t="s">
        <v>352</v>
      </c>
      <c r="N193" s="78"/>
      <c r="O193" s="78"/>
      <c r="P193" s="78"/>
      <c r="Q193" s="78"/>
      <c r="R193" s="79"/>
      <c r="S193" s="1"/>
      <c r="T193" s="1"/>
      <c r="U193" s="1"/>
      <c r="V193" s="1"/>
    </row>
    <row r="194" spans="1:22">
      <c r="A194" s="77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9"/>
      <c r="S194" s="1"/>
      <c r="T194" s="1"/>
      <c r="U194" s="1"/>
      <c r="V194" s="1"/>
    </row>
    <row r="195" spans="1:22">
      <c r="A195" s="77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9"/>
      <c r="S195" s="1"/>
      <c r="T195" s="1"/>
      <c r="U195" s="1"/>
      <c r="V195" s="1"/>
    </row>
    <row r="196" spans="1:22">
      <c r="A196" s="77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9"/>
      <c r="S196" s="1"/>
      <c r="T196" s="1"/>
      <c r="U196" s="1"/>
      <c r="V196" s="1"/>
    </row>
    <row r="197" spans="1:22" ht="15" thickBot="1">
      <c r="A197" s="77"/>
      <c r="B197" s="84" t="s">
        <v>325</v>
      </c>
      <c r="C197" s="84" t="s">
        <v>446</v>
      </c>
      <c r="D197" s="129" t="s">
        <v>348</v>
      </c>
      <c r="E197" s="129"/>
      <c r="F197" s="129"/>
      <c r="G197" s="129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9"/>
      <c r="S197" s="1"/>
      <c r="T197" s="1"/>
      <c r="U197" s="1"/>
      <c r="V197" s="1"/>
    </row>
    <row r="198" spans="1:22">
      <c r="A198" s="77"/>
      <c r="B198" s="84" t="s">
        <v>353</v>
      </c>
      <c r="C198" s="84" t="s">
        <v>354</v>
      </c>
      <c r="D198" s="84" t="s">
        <v>355</v>
      </c>
      <c r="E198" s="84" t="s">
        <v>356</v>
      </c>
      <c r="F198" s="84" t="s">
        <v>357</v>
      </c>
      <c r="G198" s="84" t="s">
        <v>358</v>
      </c>
      <c r="H198" s="78"/>
      <c r="I198" s="78"/>
      <c r="J198" s="50" t="s">
        <v>330</v>
      </c>
      <c r="K198" s="51" t="s">
        <v>331</v>
      </c>
      <c r="L198" s="51" t="s">
        <v>331</v>
      </c>
      <c r="M198" s="52" t="s">
        <v>331</v>
      </c>
      <c r="N198" s="78"/>
      <c r="O198" s="83" t="s">
        <v>325</v>
      </c>
      <c r="P198" s="83" t="s">
        <v>326</v>
      </c>
      <c r="Q198" s="83" t="s">
        <v>327</v>
      </c>
      <c r="R198" s="79"/>
      <c r="S198" s="1"/>
      <c r="T198" s="1"/>
      <c r="U198" s="1"/>
      <c r="V198" s="1"/>
    </row>
    <row r="199" spans="1:22" ht="15" thickBot="1">
      <c r="A199" s="77"/>
      <c r="B199" s="83" t="s">
        <v>328</v>
      </c>
      <c r="C199" s="83" t="s">
        <v>387</v>
      </c>
      <c r="D199" s="83" t="s">
        <v>737</v>
      </c>
      <c r="E199" s="83" t="s">
        <v>738</v>
      </c>
      <c r="F199" s="83" t="s">
        <v>739</v>
      </c>
      <c r="G199" s="83" t="s">
        <v>740</v>
      </c>
      <c r="H199" s="78"/>
      <c r="I199" s="78"/>
      <c r="J199" s="53" t="s">
        <v>335</v>
      </c>
      <c r="K199" s="54" t="s">
        <v>336</v>
      </c>
      <c r="L199" s="54" t="s">
        <v>337</v>
      </c>
      <c r="M199" s="55" t="s">
        <v>338</v>
      </c>
      <c r="N199" s="78"/>
      <c r="O199" s="83" t="s">
        <v>328</v>
      </c>
      <c r="P199" s="83" t="s">
        <v>387</v>
      </c>
      <c r="Q199" s="83" t="s">
        <v>413</v>
      </c>
      <c r="R199" s="79"/>
      <c r="S199" s="1"/>
      <c r="T199" s="1"/>
      <c r="U199" s="1"/>
      <c r="V199" s="1"/>
    </row>
    <row r="200" spans="1:22">
      <c r="A200" s="77"/>
      <c r="B200" s="83" t="s">
        <v>332</v>
      </c>
      <c r="C200" s="83" t="s">
        <v>393</v>
      </c>
      <c r="D200" s="83" t="s">
        <v>741</v>
      </c>
      <c r="E200" s="83" t="s">
        <v>742</v>
      </c>
      <c r="F200" s="83" t="s">
        <v>743</v>
      </c>
      <c r="G200" s="83" t="s">
        <v>744</v>
      </c>
      <c r="H200" s="78"/>
      <c r="I200" s="78"/>
      <c r="J200" s="64" t="s">
        <v>341</v>
      </c>
      <c r="K200" s="65" t="s">
        <v>745</v>
      </c>
      <c r="L200" s="64" t="s">
        <v>746</v>
      </c>
      <c r="M200" s="64" t="s">
        <v>352</v>
      </c>
      <c r="N200" s="78"/>
      <c r="O200" s="83" t="s">
        <v>332</v>
      </c>
      <c r="P200" s="83" t="s">
        <v>393</v>
      </c>
      <c r="Q200" s="83" t="s">
        <v>329</v>
      </c>
      <c r="R200" s="79"/>
      <c r="S200" s="1"/>
      <c r="T200" s="1"/>
      <c r="U200" s="1"/>
      <c r="V200" s="1"/>
    </row>
    <row r="201" spans="1:22">
      <c r="A201" s="77"/>
      <c r="B201" s="83" t="s">
        <v>339</v>
      </c>
      <c r="C201" s="83" t="s">
        <v>399</v>
      </c>
      <c r="D201" s="83" t="s">
        <v>747</v>
      </c>
      <c r="E201" s="83" t="s">
        <v>748</v>
      </c>
      <c r="F201" s="83" t="s">
        <v>749</v>
      </c>
      <c r="G201" s="83" t="s">
        <v>750</v>
      </c>
      <c r="H201" s="78"/>
      <c r="I201" s="78"/>
      <c r="J201" s="29" t="s">
        <v>349</v>
      </c>
      <c r="K201" s="59" t="s">
        <v>751</v>
      </c>
      <c r="L201" s="29" t="s">
        <v>752</v>
      </c>
      <c r="M201" s="29" t="s">
        <v>352</v>
      </c>
      <c r="N201" s="78"/>
      <c r="O201" s="83" t="s">
        <v>339</v>
      </c>
      <c r="P201" s="83" t="s">
        <v>399</v>
      </c>
      <c r="Q201" s="83" t="s">
        <v>334</v>
      </c>
      <c r="R201" s="79"/>
      <c r="S201" s="1"/>
      <c r="T201" s="1"/>
      <c r="U201" s="1"/>
      <c r="V201" s="1"/>
    </row>
    <row r="202" spans="1:22">
      <c r="A202" s="77"/>
      <c r="B202" s="78"/>
      <c r="C202" s="78"/>
      <c r="D202" s="78"/>
      <c r="E202" s="78"/>
      <c r="F202" s="78"/>
      <c r="G202" s="78"/>
      <c r="H202" s="78"/>
      <c r="I202" s="78"/>
      <c r="J202" s="66" t="s">
        <v>366</v>
      </c>
      <c r="K202" s="67" t="s">
        <v>753</v>
      </c>
      <c r="L202" s="66" t="s">
        <v>754</v>
      </c>
      <c r="M202" s="66" t="s">
        <v>428</v>
      </c>
      <c r="N202" s="78"/>
      <c r="O202" s="78"/>
      <c r="P202" s="78"/>
      <c r="Q202" s="78"/>
      <c r="R202" s="79"/>
      <c r="S202" s="1"/>
      <c r="T202" s="1"/>
      <c r="U202" s="1"/>
      <c r="V202" s="1"/>
    </row>
    <row r="203" spans="1:22">
      <c r="A203" s="77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9"/>
      <c r="S203" s="1"/>
      <c r="T203" s="1"/>
      <c r="U203" s="1"/>
      <c r="V203" s="1"/>
    </row>
    <row r="204" spans="1:22" ht="15" thickBot="1">
      <c r="A204" s="80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2"/>
      <c r="S204" s="1"/>
      <c r="T204" s="1"/>
      <c r="U204" s="1"/>
      <c r="V204" s="1"/>
    </row>
    <row r="205" spans="1:22" ht="15" thickBot="1">
      <c r="B205" s="1"/>
      <c r="C205" s="1"/>
      <c r="D205" s="1"/>
      <c r="E205" s="1"/>
      <c r="F205" s="1"/>
      <c r="G205" s="1"/>
      <c r="H205" s="1"/>
      <c r="I205" s="1"/>
      <c r="J205" s="1"/>
      <c r="K205" s="10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>
      <c r="A206" s="16"/>
      <c r="B206" s="35"/>
      <c r="C206" s="35"/>
      <c r="D206" s="35"/>
      <c r="E206" s="35"/>
      <c r="F206" s="35"/>
      <c r="G206" s="35"/>
      <c r="H206" s="35"/>
      <c r="I206" s="35"/>
      <c r="J206" s="50" t="s">
        <v>330</v>
      </c>
      <c r="K206" s="101" t="s">
        <v>331</v>
      </c>
      <c r="L206" s="51" t="s">
        <v>331</v>
      </c>
      <c r="M206" s="52" t="s">
        <v>331</v>
      </c>
      <c r="N206" s="35"/>
      <c r="O206" s="35"/>
      <c r="P206" s="35"/>
      <c r="Q206" s="35"/>
      <c r="R206" s="74"/>
      <c r="S206" s="1"/>
      <c r="T206" s="1"/>
      <c r="U206" s="1"/>
      <c r="V206" s="1"/>
    </row>
    <row r="207" spans="1:22" ht="15" thickBot="1">
      <c r="A207" s="32"/>
      <c r="B207" s="1"/>
      <c r="C207" s="1"/>
      <c r="D207" s="1"/>
      <c r="E207" s="1"/>
      <c r="F207" s="1"/>
      <c r="G207" s="1"/>
      <c r="H207" s="1"/>
      <c r="I207" s="1"/>
      <c r="J207" s="53" t="s">
        <v>335</v>
      </c>
      <c r="K207" s="102" t="s">
        <v>336</v>
      </c>
      <c r="L207" s="54" t="s">
        <v>337</v>
      </c>
      <c r="M207" s="55" t="s">
        <v>338</v>
      </c>
      <c r="N207" s="1"/>
      <c r="O207" s="2" t="s">
        <v>325</v>
      </c>
      <c r="P207" s="2" t="s">
        <v>326</v>
      </c>
      <c r="Q207" s="2" t="s">
        <v>327</v>
      </c>
      <c r="R207" s="73"/>
      <c r="S207" s="1"/>
      <c r="T207" s="1"/>
      <c r="U207" s="1"/>
      <c r="V207" s="1"/>
    </row>
    <row r="208" spans="1:22" ht="24" thickBot="1">
      <c r="A208" s="32"/>
      <c r="B208" s="56" t="s">
        <v>36</v>
      </c>
      <c r="C208" s="1"/>
      <c r="D208" s="1"/>
      <c r="E208" s="1"/>
      <c r="F208" s="1"/>
      <c r="G208" s="1"/>
      <c r="H208" s="1"/>
      <c r="I208" s="1"/>
      <c r="J208" s="57" t="s">
        <v>341</v>
      </c>
      <c r="K208" s="103">
        <v>7.4330999999999996</v>
      </c>
      <c r="L208" s="57">
        <v>1.0053E-3</v>
      </c>
      <c r="M208" s="57" t="s">
        <v>344</v>
      </c>
      <c r="N208" s="1"/>
      <c r="O208" s="2" t="s">
        <v>328</v>
      </c>
      <c r="P208" s="2" t="s">
        <v>31</v>
      </c>
      <c r="Q208" s="2" t="s">
        <v>329</v>
      </c>
      <c r="R208" s="73"/>
      <c r="S208" s="1"/>
      <c r="T208" s="1"/>
      <c r="U208" s="1"/>
      <c r="V208" s="1"/>
    </row>
    <row r="209" spans="1:22">
      <c r="A209" s="32"/>
      <c r="B209" s="41" t="s">
        <v>325</v>
      </c>
      <c r="C209" s="24" t="s">
        <v>347</v>
      </c>
      <c r="D209" s="127" t="s">
        <v>348</v>
      </c>
      <c r="E209" s="127"/>
      <c r="F209" s="127"/>
      <c r="G209" s="127"/>
      <c r="H209" s="1"/>
      <c r="I209" s="1"/>
      <c r="J209" s="66" t="s">
        <v>349</v>
      </c>
      <c r="K209" s="104">
        <v>5.2835999999999999</v>
      </c>
      <c r="L209" s="66">
        <v>1.3092599999999999E-2</v>
      </c>
      <c r="M209" s="66" t="s">
        <v>428</v>
      </c>
      <c r="N209" s="1"/>
      <c r="O209" s="2" t="s">
        <v>332</v>
      </c>
      <c r="P209" s="2" t="s">
        <v>333</v>
      </c>
      <c r="Q209" s="2" t="s">
        <v>334</v>
      </c>
      <c r="R209" s="73"/>
      <c r="S209" s="1"/>
      <c r="T209" s="1"/>
      <c r="U209" s="1"/>
      <c r="V209" s="1"/>
    </row>
    <row r="210" spans="1:22">
      <c r="A210" s="32"/>
      <c r="B210" s="24" t="s">
        <v>353</v>
      </c>
      <c r="C210" s="24" t="s">
        <v>354</v>
      </c>
      <c r="D210" s="24" t="s">
        <v>355</v>
      </c>
      <c r="E210" s="24" t="s">
        <v>356</v>
      </c>
      <c r="F210" s="24" t="s">
        <v>357</v>
      </c>
      <c r="G210" s="24" t="s">
        <v>358</v>
      </c>
      <c r="H210" s="1"/>
      <c r="I210" s="1"/>
      <c r="J210" s="29" t="s">
        <v>359</v>
      </c>
      <c r="K210" s="105">
        <v>3.3065000000000002</v>
      </c>
      <c r="L210" s="29">
        <v>0.14358270000000001</v>
      </c>
      <c r="M210" s="29" t="s">
        <v>352</v>
      </c>
      <c r="N210" s="1"/>
      <c r="O210" s="2" t="s">
        <v>339</v>
      </c>
      <c r="P210" s="2" t="s">
        <v>340</v>
      </c>
      <c r="Q210" s="2" t="s">
        <v>334</v>
      </c>
      <c r="R210" s="73"/>
    </row>
    <row r="211" spans="1:22">
      <c r="A211" s="32"/>
      <c r="B211" s="2" t="s">
        <v>328</v>
      </c>
      <c r="C211" s="2" t="s">
        <v>31</v>
      </c>
      <c r="D211">
        <v>7.0570693676649983E-4</v>
      </c>
      <c r="E211">
        <v>7.5441773634891756E-4</v>
      </c>
      <c r="F211" s="1">
        <v>5.6834974742074444E-4</v>
      </c>
      <c r="G211">
        <v>6.8955963780501189E-4</v>
      </c>
      <c r="H211" s="1"/>
      <c r="I211" s="1"/>
      <c r="J211" s="29" t="s">
        <v>366</v>
      </c>
      <c r="K211" s="105">
        <v>2.1494</v>
      </c>
      <c r="L211" s="29">
        <v>0.4576518</v>
      </c>
      <c r="M211" s="29" t="s">
        <v>352</v>
      </c>
      <c r="N211" s="1"/>
      <c r="O211" s="2" t="s">
        <v>345</v>
      </c>
      <c r="P211" s="2" t="s">
        <v>346</v>
      </c>
      <c r="Q211" s="2" t="s">
        <v>413</v>
      </c>
      <c r="R211" s="73"/>
    </row>
    <row r="212" spans="1:22">
      <c r="A212" s="32"/>
      <c r="B212" s="2" t="s">
        <v>332</v>
      </c>
      <c r="C212" s="2" t="s">
        <v>333</v>
      </c>
      <c r="D212">
        <v>2.6225675044978573E-2</v>
      </c>
      <c r="E212">
        <v>2.8480295801005813E-2</v>
      </c>
      <c r="F212" s="1">
        <v>6.6316872932262627E-2</v>
      </c>
      <c r="G212">
        <v>4.3744305353512147E-2</v>
      </c>
      <c r="H212" s="1"/>
      <c r="I212" s="1"/>
      <c r="J212" s="29" t="s">
        <v>372</v>
      </c>
      <c r="K212" s="105">
        <v>4.1265999999999998</v>
      </c>
      <c r="L212" s="29">
        <v>5.4633899999999999E-2</v>
      </c>
      <c r="M212" s="29" t="s">
        <v>352</v>
      </c>
      <c r="N212" s="1"/>
      <c r="O212" s="1"/>
      <c r="P212" s="1"/>
      <c r="Q212" s="1"/>
      <c r="R212" s="73"/>
    </row>
    <row r="213" spans="1:22">
      <c r="A213" s="32"/>
      <c r="B213" s="2" t="s">
        <v>339</v>
      </c>
      <c r="C213" s="2" t="s">
        <v>340</v>
      </c>
      <c r="D213">
        <v>3.5454995441861495E-2</v>
      </c>
      <c r="E213">
        <v>3.2152160488706165E-2</v>
      </c>
      <c r="F213" s="1">
        <v>2.6124661739295875E-2</v>
      </c>
      <c r="G213">
        <v>2.4175222937672131E-2</v>
      </c>
      <c r="H213" s="1"/>
      <c r="I213" s="1"/>
      <c r="J213" s="29" t="s">
        <v>378</v>
      </c>
      <c r="K213" s="105">
        <v>1.9771000000000001</v>
      </c>
      <c r="L213" s="29">
        <v>0.52250700000000005</v>
      </c>
      <c r="M213" s="29" t="s">
        <v>352</v>
      </c>
      <c r="N213" s="1"/>
      <c r="O213" s="1"/>
      <c r="P213" s="1"/>
      <c r="Q213" s="1"/>
      <c r="R213" s="73"/>
    </row>
    <row r="214" spans="1:22">
      <c r="A214" s="32"/>
      <c r="B214" s="2" t="s">
        <v>345</v>
      </c>
      <c r="C214" s="2" t="s">
        <v>346</v>
      </c>
      <c r="D214">
        <v>1.8449982522857344E-2</v>
      </c>
      <c r="E214">
        <v>1.6913922544094843E-2</v>
      </c>
      <c r="F214" s="1">
        <v>3.2268117045663111E-2</v>
      </c>
      <c r="G214">
        <v>7.1714192667359919E-3</v>
      </c>
      <c r="H214" s="1"/>
      <c r="I214" s="1"/>
      <c r="J214" s="1"/>
      <c r="K214" s="100"/>
      <c r="L214" s="63"/>
      <c r="M214" s="1"/>
      <c r="N214" s="1"/>
      <c r="O214" s="1"/>
      <c r="P214" s="1"/>
      <c r="Q214" s="1"/>
      <c r="R214" s="73"/>
    </row>
    <row r="215" spans="1:22">
      <c r="A215" s="32"/>
      <c r="B215" s="1"/>
      <c r="C215" s="1"/>
      <c r="D215" s="1"/>
      <c r="E215" s="1"/>
      <c r="F215" s="1"/>
      <c r="G215" s="1"/>
      <c r="H215" s="1"/>
      <c r="I215" s="1"/>
      <c r="J215" s="1"/>
      <c r="K215" s="100"/>
      <c r="L215" s="1"/>
      <c r="M215" s="1"/>
      <c r="N215" s="1"/>
      <c r="O215" s="1"/>
      <c r="P215" s="1"/>
      <c r="Q215" s="1"/>
      <c r="R215" s="73"/>
    </row>
    <row r="216" spans="1:22" ht="15" thickBot="1">
      <c r="A216" s="32"/>
      <c r="B216" s="1"/>
      <c r="C216" s="1"/>
      <c r="D216" s="1"/>
      <c r="E216" s="1"/>
      <c r="F216" s="1"/>
      <c r="G216" s="1"/>
      <c r="H216" s="1"/>
      <c r="I216" s="1"/>
      <c r="J216" s="1"/>
      <c r="K216" s="100"/>
      <c r="L216" s="63"/>
      <c r="M216" s="1"/>
      <c r="N216" s="1"/>
      <c r="O216" s="1"/>
      <c r="P216" s="1"/>
      <c r="Q216" s="1"/>
      <c r="R216" s="73"/>
    </row>
    <row r="217" spans="1:22">
      <c r="A217" s="32"/>
      <c r="B217" s="24" t="s">
        <v>325</v>
      </c>
      <c r="C217" s="24" t="s">
        <v>385</v>
      </c>
      <c r="D217" s="127" t="s">
        <v>348</v>
      </c>
      <c r="E217" s="127"/>
      <c r="F217" s="127"/>
      <c r="G217" s="128"/>
      <c r="H217" s="1"/>
      <c r="I217" s="1"/>
      <c r="J217" s="50" t="s">
        <v>330</v>
      </c>
      <c r="K217" s="101" t="s">
        <v>331</v>
      </c>
      <c r="L217" s="51" t="s">
        <v>331</v>
      </c>
      <c r="M217" s="52" t="s">
        <v>331</v>
      </c>
      <c r="N217" s="1"/>
      <c r="O217" s="1"/>
      <c r="P217" s="1"/>
      <c r="Q217" s="1"/>
      <c r="R217" s="73"/>
    </row>
    <row r="218" spans="1:22" ht="15" thickBot="1">
      <c r="A218" s="32"/>
      <c r="B218" s="24" t="s">
        <v>353</v>
      </c>
      <c r="C218" s="24" t="s">
        <v>354</v>
      </c>
      <c r="D218" s="24" t="s">
        <v>355</v>
      </c>
      <c r="E218" s="24" t="s">
        <v>356</v>
      </c>
      <c r="F218" s="24" t="s">
        <v>357</v>
      </c>
      <c r="G218" s="106" t="s">
        <v>358</v>
      </c>
      <c r="H218" s="18"/>
      <c r="I218" s="1"/>
      <c r="J218" s="53" t="s">
        <v>335</v>
      </c>
      <c r="K218" s="102" t="s">
        <v>336</v>
      </c>
      <c r="L218" s="54" t="s">
        <v>337</v>
      </c>
      <c r="M218" s="55" t="s">
        <v>338</v>
      </c>
      <c r="N218" s="1"/>
      <c r="O218" s="2" t="s">
        <v>325</v>
      </c>
      <c r="P218" s="2" t="s">
        <v>326</v>
      </c>
      <c r="Q218" s="2" t="s">
        <v>327</v>
      </c>
      <c r="R218" s="73"/>
    </row>
    <row r="219" spans="1:22">
      <c r="A219" s="32"/>
      <c r="B219" s="2" t="s">
        <v>328</v>
      </c>
      <c r="C219" s="2" t="s">
        <v>387</v>
      </c>
      <c r="D219">
        <v>8.5489498208149231E-3</v>
      </c>
      <c r="E219">
        <v>1.3489200082640429E-2</v>
      </c>
      <c r="F219" s="1">
        <v>2.8190645464498204E-2</v>
      </c>
      <c r="G219">
        <v>6.10554045790151E-2</v>
      </c>
      <c r="H219" s="1"/>
      <c r="I219" s="1"/>
      <c r="J219" s="64" t="s">
        <v>341</v>
      </c>
      <c r="K219" s="107">
        <v>0.8</v>
      </c>
      <c r="L219" s="64">
        <v>0.83117830000000004</v>
      </c>
      <c r="M219" s="64" t="s">
        <v>352</v>
      </c>
      <c r="N219" s="1"/>
      <c r="O219" s="2" t="s">
        <v>328</v>
      </c>
      <c r="P219" s="2" t="s">
        <v>387</v>
      </c>
      <c r="Q219" s="2" t="s">
        <v>329</v>
      </c>
      <c r="R219" s="73"/>
    </row>
    <row r="220" spans="1:22">
      <c r="A220" s="32"/>
      <c r="B220" s="2" t="s">
        <v>332</v>
      </c>
      <c r="C220" s="2" t="s">
        <v>393</v>
      </c>
      <c r="D220">
        <v>6.1351557689204245E-3</v>
      </c>
      <c r="E220">
        <v>1.7228690709445736E-2</v>
      </c>
      <c r="F220" s="1">
        <v>2.6911144043212962E-2</v>
      </c>
      <c r="G220">
        <v>9.6529734934577682E-3</v>
      </c>
      <c r="H220" s="1"/>
      <c r="I220" s="1"/>
      <c r="J220" s="60" t="s">
        <v>349</v>
      </c>
      <c r="K220" s="108">
        <v>5.6532999999999998</v>
      </c>
      <c r="L220" s="60">
        <v>7.8543999999999992E-3</v>
      </c>
      <c r="M220" s="60" t="s">
        <v>344</v>
      </c>
      <c r="N220" s="1"/>
      <c r="O220" s="2" t="s">
        <v>332</v>
      </c>
      <c r="P220" s="2" t="s">
        <v>393</v>
      </c>
      <c r="Q220" s="2" t="s">
        <v>329</v>
      </c>
      <c r="R220" s="73"/>
    </row>
    <row r="221" spans="1:22">
      <c r="A221" s="32"/>
      <c r="B221" s="2" t="s">
        <v>339</v>
      </c>
      <c r="C221" s="2" t="s">
        <v>399</v>
      </c>
      <c r="D221">
        <v>0.11279344572421275</v>
      </c>
      <c r="E221">
        <v>8.4455083793076952E-2</v>
      </c>
      <c r="F221" s="1">
        <v>8.6764430128731182E-2</v>
      </c>
      <c r="G221">
        <v>0.1901768358198829</v>
      </c>
      <c r="H221" s="1"/>
      <c r="I221" s="1"/>
      <c r="J221" s="60" t="s">
        <v>366</v>
      </c>
      <c r="K221" s="108">
        <v>6.4532999999999996</v>
      </c>
      <c r="L221" s="61">
        <v>3.4688000000000002E-3</v>
      </c>
      <c r="M221" s="60" t="s">
        <v>344</v>
      </c>
      <c r="N221" s="1"/>
      <c r="O221" s="2" t="s">
        <v>339</v>
      </c>
      <c r="P221" s="2" t="s">
        <v>399</v>
      </c>
      <c r="Q221" s="2" t="s">
        <v>334</v>
      </c>
      <c r="R221" s="73"/>
    </row>
    <row r="222" spans="1:22">
      <c r="A222" s="32"/>
      <c r="B222" s="1"/>
      <c r="C222" s="1"/>
      <c r="D222" s="1"/>
      <c r="E222" s="1"/>
      <c r="F222" s="1"/>
      <c r="G222" s="1"/>
      <c r="H222" s="1"/>
      <c r="I222" s="1"/>
      <c r="J222" s="1"/>
      <c r="K222" s="100"/>
      <c r="L222" s="63"/>
      <c r="M222" s="1"/>
      <c r="N222" s="1"/>
      <c r="O222" s="1"/>
      <c r="P222" s="1"/>
      <c r="Q222" s="1"/>
      <c r="R222" s="73"/>
    </row>
    <row r="223" spans="1:22">
      <c r="A223" s="32"/>
      <c r="B223" s="1"/>
      <c r="C223" s="1"/>
      <c r="D223" s="1"/>
      <c r="E223" s="1"/>
      <c r="F223" s="1"/>
      <c r="G223" s="1"/>
      <c r="H223" s="1"/>
      <c r="I223" s="1"/>
      <c r="J223" s="1"/>
      <c r="K223" s="100"/>
      <c r="L223" s="63"/>
      <c r="M223" s="1"/>
      <c r="N223" s="1"/>
      <c r="O223" s="1"/>
      <c r="P223" s="1"/>
      <c r="Q223" s="1"/>
      <c r="R223" s="73"/>
    </row>
    <row r="224" spans="1:22">
      <c r="A224" s="32"/>
      <c r="B224" s="1"/>
      <c r="C224" s="1"/>
      <c r="D224" s="1"/>
      <c r="E224" s="1"/>
      <c r="F224" s="1"/>
      <c r="G224" s="1"/>
      <c r="H224" s="1"/>
      <c r="I224" s="1"/>
      <c r="J224" s="1"/>
      <c r="K224" s="100"/>
      <c r="L224" s="1"/>
      <c r="M224" s="1"/>
      <c r="N224" s="1"/>
      <c r="O224" s="1"/>
      <c r="P224" s="1"/>
      <c r="Q224" s="1"/>
      <c r="R224" s="73"/>
    </row>
    <row r="225" spans="1:18" ht="15" thickBot="1">
      <c r="A225" s="32"/>
      <c r="B225" s="24" t="s">
        <v>325</v>
      </c>
      <c r="C225" s="24" t="s">
        <v>408</v>
      </c>
      <c r="D225" s="127" t="s">
        <v>348</v>
      </c>
      <c r="E225" s="127"/>
      <c r="F225" s="127"/>
      <c r="G225" s="127"/>
      <c r="H225" s="1"/>
      <c r="I225" s="1"/>
      <c r="J225" s="1"/>
      <c r="K225" s="100"/>
      <c r="L225" s="1"/>
      <c r="M225" s="1"/>
      <c r="N225" s="1"/>
      <c r="O225" s="1"/>
      <c r="P225" s="1"/>
      <c r="Q225" s="1"/>
      <c r="R225" s="73"/>
    </row>
    <row r="226" spans="1:18">
      <c r="A226" s="32"/>
      <c r="B226" s="24" t="s">
        <v>353</v>
      </c>
      <c r="C226" s="24" t="s">
        <v>354</v>
      </c>
      <c r="D226" s="24" t="s">
        <v>607</v>
      </c>
      <c r="E226" s="24" t="s">
        <v>608</v>
      </c>
      <c r="F226" s="24" t="s">
        <v>609</v>
      </c>
      <c r="G226" s="24" t="s">
        <v>610</v>
      </c>
      <c r="H226" s="1"/>
      <c r="I226" s="1"/>
      <c r="J226" s="50" t="s">
        <v>330</v>
      </c>
      <c r="K226" s="101" t="s">
        <v>331</v>
      </c>
      <c r="L226" s="51" t="s">
        <v>331</v>
      </c>
      <c r="M226" s="52" t="s">
        <v>331</v>
      </c>
      <c r="N226" s="1"/>
      <c r="O226" s="2" t="s">
        <v>325</v>
      </c>
      <c r="P226" s="2" t="s">
        <v>326</v>
      </c>
      <c r="Q226" s="2" t="s">
        <v>327</v>
      </c>
      <c r="R226" s="73"/>
    </row>
    <row r="227" spans="1:18" ht="15" thickBot="1">
      <c r="A227" s="32"/>
      <c r="B227" s="2" t="s">
        <v>328</v>
      </c>
      <c r="C227" s="2" t="s">
        <v>387</v>
      </c>
      <c r="D227">
        <v>8.6581208509763138E-3</v>
      </c>
      <c r="E227">
        <v>3.3324294071509435E-2</v>
      </c>
      <c r="F227" s="1">
        <v>2.1582664120526996E-2</v>
      </c>
      <c r="G227">
        <v>1.1577141288438062E-2</v>
      </c>
      <c r="H227" s="1"/>
      <c r="I227" s="1"/>
      <c r="J227" s="53" t="s">
        <v>335</v>
      </c>
      <c r="K227" s="102" t="s">
        <v>336</v>
      </c>
      <c r="L227" s="54" t="s">
        <v>337</v>
      </c>
      <c r="M227" s="55" t="s">
        <v>338</v>
      </c>
      <c r="N227" s="1"/>
      <c r="O227" s="2" t="s">
        <v>328</v>
      </c>
      <c r="P227" s="2" t="s">
        <v>387</v>
      </c>
      <c r="Q227" s="2" t="s">
        <v>329</v>
      </c>
      <c r="R227" s="73"/>
    </row>
    <row r="228" spans="1:18">
      <c r="A228" s="32"/>
      <c r="B228" s="2" t="s">
        <v>332</v>
      </c>
      <c r="C228" s="2" t="s">
        <v>393</v>
      </c>
      <c r="D228">
        <v>5.5159082631659412E-3</v>
      </c>
      <c r="E228">
        <v>5.4353951857789807E-3</v>
      </c>
      <c r="F228" s="1">
        <v>5.3117861492280377E-3</v>
      </c>
      <c r="G228">
        <v>4.7838914190589119E-3</v>
      </c>
      <c r="H228" s="1"/>
      <c r="I228" s="1"/>
      <c r="J228" s="64" t="s">
        <v>341</v>
      </c>
      <c r="K228" s="107">
        <v>3.8573</v>
      </c>
      <c r="L228" s="64">
        <v>5.5094299999999999E-2</v>
      </c>
      <c r="M228" s="64" t="s">
        <v>352</v>
      </c>
      <c r="N228" s="1"/>
      <c r="O228" s="2" t="s">
        <v>332</v>
      </c>
      <c r="P228" s="2" t="s">
        <v>393</v>
      </c>
      <c r="Q228" s="2" t="s">
        <v>329</v>
      </c>
      <c r="R228" s="73"/>
    </row>
    <row r="229" spans="1:18">
      <c r="A229" s="32"/>
      <c r="B229" s="2" t="s">
        <v>339</v>
      </c>
      <c r="C229" s="2" t="s">
        <v>399</v>
      </c>
      <c r="D229">
        <v>4.693416996124164E-2</v>
      </c>
      <c r="E229">
        <v>3.8964034976959917E-2</v>
      </c>
      <c r="F229" s="1">
        <v>3.8131636612335311E-2</v>
      </c>
      <c r="G229">
        <v>4.6665642278988756E-2</v>
      </c>
      <c r="H229" s="1"/>
      <c r="I229" s="1"/>
      <c r="J229" s="60" t="s">
        <v>349</v>
      </c>
      <c r="K229" s="108">
        <v>6.8133999999999997</v>
      </c>
      <c r="L229" s="60">
        <v>2.4350000000000001E-3</v>
      </c>
      <c r="M229" s="60" t="s">
        <v>344</v>
      </c>
      <c r="N229" s="1"/>
      <c r="O229" s="2" t="s">
        <v>339</v>
      </c>
      <c r="P229" s="2" t="s">
        <v>399</v>
      </c>
      <c r="Q229" s="2" t="s">
        <v>334</v>
      </c>
      <c r="R229" s="73"/>
    </row>
    <row r="230" spans="1:18">
      <c r="A230" s="32"/>
      <c r="B230" s="1"/>
      <c r="C230" s="1"/>
      <c r="D230" s="1"/>
      <c r="E230" s="1"/>
      <c r="F230" s="1"/>
      <c r="G230" s="1"/>
      <c r="H230" s="1"/>
      <c r="I230" s="1"/>
      <c r="J230" s="60" t="s">
        <v>366</v>
      </c>
      <c r="K230" s="108">
        <v>10.6707</v>
      </c>
      <c r="L230" s="60">
        <v>1.0053E-3</v>
      </c>
      <c r="M230" s="60" t="s">
        <v>344</v>
      </c>
      <c r="N230" s="1"/>
      <c r="O230" s="1"/>
      <c r="P230" s="1"/>
      <c r="Q230" s="1"/>
      <c r="R230" s="73"/>
    </row>
    <row r="231" spans="1:18">
      <c r="A231" s="32"/>
      <c r="B231" s="1"/>
      <c r="C231" s="1"/>
      <c r="D231" s="1"/>
      <c r="E231" s="1"/>
      <c r="F231" s="1"/>
      <c r="G231" s="1"/>
      <c r="H231" s="1"/>
      <c r="I231" s="1"/>
      <c r="J231" s="1"/>
      <c r="K231" s="100"/>
      <c r="L231" s="63"/>
      <c r="M231" s="1"/>
      <c r="N231" s="1"/>
      <c r="O231" s="1"/>
      <c r="P231" s="1"/>
      <c r="Q231" s="1"/>
      <c r="R231" s="73"/>
    </row>
    <row r="232" spans="1:18">
      <c r="A232" s="32"/>
      <c r="B232" s="1"/>
      <c r="C232" s="1"/>
      <c r="D232" s="1"/>
      <c r="E232" s="1"/>
      <c r="F232" s="1"/>
      <c r="G232" s="1"/>
      <c r="H232" s="1"/>
      <c r="I232" s="1"/>
      <c r="J232" s="1"/>
      <c r="K232" s="100"/>
      <c r="L232" s="63"/>
      <c r="M232" s="1"/>
      <c r="N232" s="1"/>
      <c r="O232" s="1"/>
      <c r="P232" s="1"/>
      <c r="Q232" s="1"/>
      <c r="R232" s="73"/>
    </row>
    <row r="233" spans="1:18">
      <c r="A233" s="32"/>
      <c r="B233" s="1"/>
      <c r="C233" s="1"/>
      <c r="D233" s="1"/>
      <c r="E233" s="1"/>
      <c r="F233" s="1"/>
      <c r="G233" s="1"/>
      <c r="H233" s="1"/>
      <c r="I233" s="1"/>
      <c r="J233" s="1"/>
      <c r="K233" s="100"/>
      <c r="L233" s="1"/>
      <c r="M233" s="1"/>
      <c r="N233" s="1"/>
      <c r="O233" s="1"/>
      <c r="P233" s="1"/>
      <c r="Q233" s="1"/>
      <c r="R233" s="73"/>
    </row>
    <row r="234" spans="1:18">
      <c r="A234" s="32"/>
      <c r="B234" s="1"/>
      <c r="C234" s="1"/>
      <c r="D234" s="1"/>
      <c r="E234" s="1"/>
      <c r="F234" s="1"/>
      <c r="G234" s="1"/>
      <c r="H234" s="1"/>
      <c r="I234" s="1"/>
      <c r="J234" s="1"/>
      <c r="K234" s="100"/>
      <c r="L234" s="1"/>
      <c r="M234" s="1"/>
      <c r="N234" s="1"/>
      <c r="O234" s="1"/>
      <c r="P234" s="1"/>
      <c r="Q234" s="1"/>
      <c r="R234" s="73"/>
    </row>
    <row r="235" spans="1:18" ht="15" thickBot="1">
      <c r="A235" s="32"/>
      <c r="B235" s="24" t="s">
        <v>325</v>
      </c>
      <c r="C235" s="24" t="s">
        <v>429</v>
      </c>
      <c r="D235" s="127" t="s">
        <v>348</v>
      </c>
      <c r="E235" s="127"/>
      <c r="F235" s="127"/>
      <c r="G235" s="127"/>
      <c r="H235" s="1"/>
      <c r="I235" s="1"/>
      <c r="J235" s="1"/>
      <c r="K235" s="100"/>
      <c r="L235" s="1"/>
      <c r="M235" s="1"/>
      <c r="N235" s="1"/>
      <c r="O235" s="1"/>
      <c r="P235" s="1"/>
      <c r="Q235" s="1"/>
      <c r="R235" s="73"/>
    </row>
    <row r="236" spans="1:18">
      <c r="A236" s="32"/>
      <c r="B236" s="24" t="s">
        <v>353</v>
      </c>
      <c r="C236" s="24" t="s">
        <v>354</v>
      </c>
      <c r="D236" s="24" t="s">
        <v>355</v>
      </c>
      <c r="E236" s="24" t="s">
        <v>356</v>
      </c>
      <c r="F236" s="24" t="s">
        <v>357</v>
      </c>
      <c r="G236" s="24" t="s">
        <v>358</v>
      </c>
      <c r="H236" s="1"/>
      <c r="I236" s="1"/>
      <c r="J236" s="50" t="s">
        <v>330</v>
      </c>
      <c r="K236" s="101" t="s">
        <v>331</v>
      </c>
      <c r="L236" s="51" t="s">
        <v>331</v>
      </c>
      <c r="M236" s="52" t="s">
        <v>331</v>
      </c>
      <c r="N236" s="1"/>
      <c r="O236" s="2" t="s">
        <v>325</v>
      </c>
      <c r="P236" s="2" t="s">
        <v>326</v>
      </c>
      <c r="Q236" s="2" t="s">
        <v>327</v>
      </c>
      <c r="R236" s="73"/>
    </row>
    <row r="237" spans="1:18" ht="15" thickBot="1">
      <c r="A237" s="32"/>
      <c r="B237" s="2" t="s">
        <v>328</v>
      </c>
      <c r="C237" s="2" t="s">
        <v>387</v>
      </c>
      <c r="D237">
        <v>2.2754315722476336E-2</v>
      </c>
      <c r="E237">
        <v>1.1925623544569917E-2</v>
      </c>
      <c r="F237" s="1">
        <v>3.3326234273700316E-3</v>
      </c>
      <c r="G237">
        <v>2.8192025871462993E-3</v>
      </c>
      <c r="H237" s="1"/>
      <c r="I237" s="1"/>
      <c r="J237" s="53" t="s">
        <v>335</v>
      </c>
      <c r="K237" s="102" t="s">
        <v>336</v>
      </c>
      <c r="L237" s="54" t="s">
        <v>337</v>
      </c>
      <c r="M237" s="55" t="s">
        <v>338</v>
      </c>
      <c r="N237" s="1"/>
      <c r="O237" s="2" t="s">
        <v>328</v>
      </c>
      <c r="P237" s="2" t="s">
        <v>387</v>
      </c>
      <c r="Q237" s="2" t="s">
        <v>329</v>
      </c>
      <c r="R237" s="73"/>
    </row>
    <row r="238" spans="1:18">
      <c r="A238" s="32"/>
      <c r="B238" s="2" t="s">
        <v>332</v>
      </c>
      <c r="C238" s="2" t="s">
        <v>393</v>
      </c>
      <c r="D238">
        <v>9.5077360386101161E-3</v>
      </c>
      <c r="E238">
        <v>1.4168730334698303E-2</v>
      </c>
      <c r="F238" s="1">
        <v>1.4758874496712465E-2</v>
      </c>
      <c r="H238" s="1"/>
      <c r="I238" s="1"/>
      <c r="J238" s="64" t="s">
        <v>341</v>
      </c>
      <c r="K238" s="107">
        <v>0.30249999999999999</v>
      </c>
      <c r="L238" s="64">
        <v>0.89999470000000004</v>
      </c>
      <c r="M238" s="64" t="s">
        <v>352</v>
      </c>
      <c r="N238" s="1"/>
      <c r="O238" s="2" t="s">
        <v>332</v>
      </c>
      <c r="P238" s="2" t="s">
        <v>393</v>
      </c>
      <c r="Q238" s="2" t="s">
        <v>329</v>
      </c>
      <c r="R238" s="73"/>
    </row>
    <row r="239" spans="1:18">
      <c r="A239" s="32"/>
      <c r="B239" s="2" t="s">
        <v>339</v>
      </c>
      <c r="C239" s="2" t="s">
        <v>399</v>
      </c>
      <c r="D239">
        <v>9.5382161125232665E-2</v>
      </c>
      <c r="E239">
        <v>0.137588658349375</v>
      </c>
      <c r="F239" s="1">
        <v>0.11285325918154111</v>
      </c>
      <c r="G239">
        <v>8.1529218624861857E-2</v>
      </c>
      <c r="H239" s="1"/>
      <c r="I239" s="1"/>
      <c r="J239" s="60" t="s">
        <v>349</v>
      </c>
      <c r="K239" s="108">
        <v>12.125299999999999</v>
      </c>
      <c r="L239" s="60">
        <v>1.0053E-3</v>
      </c>
      <c r="M239" s="60" t="s">
        <v>344</v>
      </c>
      <c r="N239" s="1"/>
      <c r="O239" s="2" t="s">
        <v>339</v>
      </c>
      <c r="P239" s="2" t="s">
        <v>399</v>
      </c>
      <c r="Q239" s="2" t="s">
        <v>334</v>
      </c>
      <c r="R239" s="73"/>
    </row>
    <row r="240" spans="1:18">
      <c r="A240" s="32"/>
      <c r="B240" s="1"/>
      <c r="C240" s="1"/>
      <c r="D240" s="1"/>
      <c r="E240" s="1"/>
      <c r="F240" s="1"/>
      <c r="G240" s="1"/>
      <c r="H240" s="1"/>
      <c r="I240" s="1"/>
      <c r="J240" s="60" t="s">
        <v>366</v>
      </c>
      <c r="K240" s="108">
        <v>10.923299999999999</v>
      </c>
      <c r="L240" s="109">
        <v>1.0053E-3</v>
      </c>
      <c r="M240" s="60" t="s">
        <v>344</v>
      </c>
      <c r="N240" s="1"/>
      <c r="O240" s="1"/>
      <c r="P240" s="1"/>
      <c r="Q240" s="1"/>
      <c r="R240" s="73"/>
    </row>
    <row r="241" spans="1:18">
      <c r="A241" s="32"/>
      <c r="B241" s="1"/>
      <c r="C241" s="1"/>
      <c r="D241" s="1"/>
      <c r="E241" s="1"/>
      <c r="F241" s="1"/>
      <c r="G241" s="1"/>
      <c r="H241" s="1"/>
      <c r="I241" s="1"/>
      <c r="J241" s="1"/>
      <c r="K241" s="100"/>
      <c r="L241" s="63"/>
      <c r="M241" s="1"/>
      <c r="N241" s="1"/>
      <c r="O241" s="1"/>
      <c r="P241" s="1"/>
      <c r="Q241" s="1"/>
      <c r="R241" s="73"/>
    </row>
    <row r="242" spans="1:18">
      <c r="A242" s="32"/>
      <c r="B242" s="1"/>
      <c r="C242" s="1"/>
      <c r="D242" s="1"/>
      <c r="E242" s="1"/>
      <c r="F242" s="1"/>
      <c r="G242" s="1"/>
      <c r="H242" s="1"/>
      <c r="I242" s="1"/>
      <c r="J242" s="1"/>
      <c r="K242" s="100"/>
      <c r="L242" s="63"/>
      <c r="M242" s="1"/>
      <c r="N242" s="1"/>
      <c r="O242" s="1"/>
      <c r="P242" s="1"/>
      <c r="Q242" s="1"/>
      <c r="R242" s="73"/>
    </row>
    <row r="243" spans="1:18">
      <c r="A243" s="32"/>
      <c r="B243" s="1"/>
      <c r="C243" s="1"/>
      <c r="D243" s="1"/>
      <c r="E243" s="1"/>
      <c r="F243" s="1"/>
      <c r="G243" s="1"/>
      <c r="H243" s="1"/>
      <c r="I243" s="1"/>
      <c r="J243" s="1"/>
      <c r="K243" s="100"/>
      <c r="L243" s="1"/>
      <c r="M243" s="1"/>
      <c r="N243" s="1"/>
      <c r="O243" s="1"/>
      <c r="P243" s="1"/>
      <c r="Q243" s="1"/>
      <c r="R243" s="73"/>
    </row>
    <row r="244" spans="1:18">
      <c r="A244" s="32"/>
      <c r="B244" s="1"/>
      <c r="C244" s="1"/>
      <c r="D244" s="1"/>
      <c r="E244" s="1"/>
      <c r="F244" s="1"/>
      <c r="G244" s="1"/>
      <c r="H244" s="1"/>
      <c r="I244" s="1"/>
      <c r="J244" s="1"/>
      <c r="K244" s="100"/>
      <c r="L244" s="1"/>
      <c r="M244" s="1"/>
      <c r="N244" s="1"/>
      <c r="O244" s="1"/>
      <c r="P244" s="1"/>
      <c r="Q244" s="1"/>
      <c r="R244" s="73"/>
    </row>
    <row r="245" spans="1:18" ht="15" thickBot="1">
      <c r="A245" s="32"/>
      <c r="B245" s="24" t="s">
        <v>325</v>
      </c>
      <c r="C245" s="24" t="s">
        <v>446</v>
      </c>
      <c r="D245" s="127" t="s">
        <v>348</v>
      </c>
      <c r="E245" s="127"/>
      <c r="F245" s="127"/>
      <c r="G245" s="127"/>
      <c r="H245" s="1"/>
      <c r="I245" s="1"/>
      <c r="J245" s="1"/>
      <c r="K245" s="100"/>
      <c r="L245" s="1"/>
      <c r="M245" s="1"/>
      <c r="N245" s="1"/>
      <c r="O245" s="1"/>
      <c r="P245" s="1"/>
      <c r="Q245" s="1"/>
      <c r="R245" s="73"/>
    </row>
    <row r="246" spans="1:18">
      <c r="A246" s="32"/>
      <c r="B246" s="24" t="s">
        <v>353</v>
      </c>
      <c r="C246" s="24" t="s">
        <v>354</v>
      </c>
      <c r="D246" s="24" t="s">
        <v>355</v>
      </c>
      <c r="E246" s="24" t="s">
        <v>356</v>
      </c>
      <c r="F246" s="24" t="s">
        <v>357</v>
      </c>
      <c r="G246" s="24" t="s">
        <v>358</v>
      </c>
      <c r="H246" s="1"/>
      <c r="I246" s="1"/>
      <c r="J246" s="50" t="s">
        <v>330</v>
      </c>
      <c r="K246" s="101" t="s">
        <v>331</v>
      </c>
      <c r="L246" s="51" t="s">
        <v>331</v>
      </c>
      <c r="M246" s="52" t="s">
        <v>331</v>
      </c>
      <c r="N246" s="1"/>
      <c r="O246" s="2" t="s">
        <v>325</v>
      </c>
      <c r="P246" s="2" t="s">
        <v>326</v>
      </c>
      <c r="Q246" s="2" t="s">
        <v>327</v>
      </c>
      <c r="R246" s="73"/>
    </row>
    <row r="247" spans="1:18" ht="15" thickBot="1">
      <c r="A247" s="32"/>
      <c r="B247" s="2" t="s">
        <v>328</v>
      </c>
      <c r="C247" s="2" t="s">
        <v>387</v>
      </c>
      <c r="D247">
        <v>2.2604277868065639E-2</v>
      </c>
      <c r="E247">
        <v>4.1558772255839149E-2</v>
      </c>
      <c r="F247" s="1">
        <v>6.6848466197020825E-2</v>
      </c>
      <c r="G247">
        <v>0.13305367475531754</v>
      </c>
      <c r="H247" s="1"/>
      <c r="I247" s="1"/>
      <c r="J247" s="53" t="s">
        <v>335</v>
      </c>
      <c r="K247" s="102" t="s">
        <v>336</v>
      </c>
      <c r="L247" s="54" t="s">
        <v>337</v>
      </c>
      <c r="M247" s="55" t="s">
        <v>338</v>
      </c>
      <c r="N247" s="1"/>
      <c r="O247" s="2" t="s">
        <v>328</v>
      </c>
      <c r="P247" s="2" t="s">
        <v>387</v>
      </c>
      <c r="Q247" s="2" t="s">
        <v>329</v>
      </c>
      <c r="R247" s="73"/>
    </row>
    <row r="248" spans="1:18">
      <c r="A248" s="32"/>
      <c r="B248" s="2" t="s">
        <v>332</v>
      </c>
      <c r="C248" s="2" t="s">
        <v>393</v>
      </c>
      <c r="D248">
        <v>1.6857844588724236E-3</v>
      </c>
      <c r="E248">
        <v>1.6170661088928014E-3</v>
      </c>
      <c r="F248" s="1">
        <v>2.0369080014521015E-4</v>
      </c>
      <c r="G248">
        <v>1.7969743579796928E-3</v>
      </c>
      <c r="H248" s="1"/>
      <c r="I248" s="1"/>
      <c r="J248" s="70" t="s">
        <v>341</v>
      </c>
      <c r="K248" s="110">
        <v>4.0000999999999998</v>
      </c>
      <c r="L248" s="70">
        <v>4.70555E-2</v>
      </c>
      <c r="M248" s="70" t="s">
        <v>428</v>
      </c>
      <c r="N248" s="1"/>
      <c r="O248" s="2" t="s">
        <v>332</v>
      </c>
      <c r="P248" s="2" t="s">
        <v>393</v>
      </c>
      <c r="Q248" s="2" t="s">
        <v>334</v>
      </c>
      <c r="R248" s="73"/>
    </row>
    <row r="249" spans="1:18">
      <c r="A249" s="32"/>
      <c r="B249" s="2" t="s">
        <v>339</v>
      </c>
      <c r="C249" s="2" t="s">
        <v>399</v>
      </c>
      <c r="D249">
        <v>8.0820060335011545E-2</v>
      </c>
      <c r="E249">
        <v>0.11113147865881591</v>
      </c>
      <c r="F249" s="1">
        <v>0.1453014619944713</v>
      </c>
      <c r="G249">
        <v>9.0672445986104966E-2</v>
      </c>
      <c r="H249" s="1"/>
      <c r="I249" s="1"/>
      <c r="J249" s="29" t="s">
        <v>349</v>
      </c>
      <c r="K249" s="105">
        <v>2.5331000000000001</v>
      </c>
      <c r="L249" s="29">
        <v>0.22637599999999999</v>
      </c>
      <c r="M249" s="29" t="s">
        <v>352</v>
      </c>
      <c r="N249" s="1"/>
      <c r="O249" s="2" t="s">
        <v>339</v>
      </c>
      <c r="P249" s="2" t="s">
        <v>399</v>
      </c>
      <c r="Q249" s="2" t="s">
        <v>329</v>
      </c>
      <c r="R249" s="73"/>
    </row>
    <row r="250" spans="1:18" ht="15" thickBot="1">
      <c r="A250" s="33"/>
      <c r="B250" s="75"/>
      <c r="C250" s="75"/>
      <c r="D250" s="75"/>
      <c r="E250" s="75"/>
      <c r="F250" s="75"/>
      <c r="G250" s="75"/>
      <c r="H250" s="75"/>
      <c r="I250" s="75"/>
      <c r="J250" s="111" t="s">
        <v>366</v>
      </c>
      <c r="K250" s="112">
        <v>6.5331999999999999</v>
      </c>
      <c r="L250" s="111">
        <v>3.2047E-3</v>
      </c>
      <c r="M250" s="111" t="s">
        <v>344</v>
      </c>
      <c r="N250" s="75"/>
      <c r="O250" s="75"/>
      <c r="P250" s="75"/>
      <c r="Q250" s="75"/>
      <c r="R250" s="76"/>
    </row>
    <row r="251" spans="1:18" ht="15" thickBot="1">
      <c r="K251" s="113"/>
    </row>
    <row r="252" spans="1:18">
      <c r="A252" s="88"/>
      <c r="B252" s="89"/>
      <c r="C252" s="89"/>
      <c r="D252" s="89"/>
      <c r="E252" s="89"/>
      <c r="F252" s="89"/>
      <c r="G252" s="89"/>
      <c r="H252" s="89"/>
      <c r="I252" s="89"/>
      <c r="J252" s="114" t="s">
        <v>330</v>
      </c>
      <c r="K252" s="115" t="s">
        <v>331</v>
      </c>
      <c r="L252" s="116" t="s">
        <v>331</v>
      </c>
      <c r="M252" s="117" t="s">
        <v>331</v>
      </c>
      <c r="N252" s="89"/>
      <c r="O252" s="89"/>
      <c r="P252" s="89"/>
      <c r="Q252" s="89"/>
      <c r="R252" s="91"/>
    </row>
    <row r="253" spans="1:18" ht="15" thickBot="1">
      <c r="A253" s="77"/>
      <c r="B253" s="78"/>
      <c r="C253" s="78"/>
      <c r="D253" s="78"/>
      <c r="E253" s="78"/>
      <c r="F253" s="78"/>
      <c r="G253" s="78"/>
      <c r="H253" s="78"/>
      <c r="I253" s="78"/>
      <c r="J253" s="118" t="s">
        <v>335</v>
      </c>
      <c r="K253" s="119" t="s">
        <v>336</v>
      </c>
      <c r="L253" s="120" t="s">
        <v>337</v>
      </c>
      <c r="M253" s="121" t="s">
        <v>338</v>
      </c>
      <c r="N253" s="78"/>
      <c r="O253" s="83" t="s">
        <v>325</v>
      </c>
      <c r="P253" s="83" t="s">
        <v>326</v>
      </c>
      <c r="Q253" s="83" t="s">
        <v>327</v>
      </c>
      <c r="R253" s="79"/>
    </row>
    <row r="254" spans="1:18" ht="24" thickBot="1">
      <c r="A254" s="77"/>
      <c r="B254" s="86" t="s">
        <v>39</v>
      </c>
      <c r="C254" s="78"/>
      <c r="D254" s="78"/>
      <c r="E254" s="78"/>
      <c r="F254" s="78"/>
      <c r="G254" s="78"/>
      <c r="H254" s="78"/>
      <c r="I254" s="78"/>
      <c r="J254" s="57" t="s">
        <v>341</v>
      </c>
      <c r="K254" s="103">
        <v>12.0526</v>
      </c>
      <c r="L254" s="57">
        <v>1.0053E-3</v>
      </c>
      <c r="M254" s="57" t="s">
        <v>344</v>
      </c>
      <c r="N254" s="78"/>
      <c r="O254" s="83" t="s">
        <v>328</v>
      </c>
      <c r="P254" s="83" t="s">
        <v>31</v>
      </c>
      <c r="Q254" s="83" t="s">
        <v>329</v>
      </c>
      <c r="R254" s="79"/>
    </row>
    <row r="255" spans="1:18">
      <c r="A255" s="77"/>
      <c r="B255" s="87" t="s">
        <v>325</v>
      </c>
      <c r="C255" s="84" t="s">
        <v>347</v>
      </c>
      <c r="D255" s="129" t="s">
        <v>348</v>
      </c>
      <c r="E255" s="129"/>
      <c r="F255" s="129"/>
      <c r="G255" s="129"/>
      <c r="H255" s="78"/>
      <c r="I255" s="78"/>
      <c r="J255" s="29" t="s">
        <v>349</v>
      </c>
      <c r="K255" s="105">
        <v>3.8443999999999998</v>
      </c>
      <c r="L255" s="29">
        <v>7.6836399999999999E-2</v>
      </c>
      <c r="M255" s="29" t="s">
        <v>352</v>
      </c>
      <c r="N255" s="78"/>
      <c r="O255" s="83" t="s">
        <v>332</v>
      </c>
      <c r="P255" s="83" t="s">
        <v>333</v>
      </c>
      <c r="Q255" s="83" t="s">
        <v>334</v>
      </c>
      <c r="R255" s="79"/>
    </row>
    <row r="256" spans="1:18">
      <c r="A256" s="77"/>
      <c r="B256" s="84" t="s">
        <v>353</v>
      </c>
      <c r="C256" s="84" t="s">
        <v>354</v>
      </c>
      <c r="D256" s="84" t="s">
        <v>355</v>
      </c>
      <c r="E256" s="84" t="s">
        <v>356</v>
      </c>
      <c r="F256" s="84" t="s">
        <v>357</v>
      </c>
      <c r="G256" s="84" t="s">
        <v>358</v>
      </c>
      <c r="H256" s="78"/>
      <c r="I256" s="78"/>
      <c r="J256" s="29" t="s">
        <v>359</v>
      </c>
      <c r="K256" s="105">
        <v>2.4683999999999999</v>
      </c>
      <c r="L256" s="29">
        <v>0.34443800000000002</v>
      </c>
      <c r="M256" s="29" t="s">
        <v>352</v>
      </c>
      <c r="N256" s="78"/>
      <c r="O256" s="83" t="s">
        <v>339</v>
      </c>
      <c r="P256" s="83" t="s">
        <v>340</v>
      </c>
      <c r="Q256" s="83" t="s">
        <v>329</v>
      </c>
      <c r="R256" s="79"/>
    </row>
    <row r="257" spans="1:18">
      <c r="A257" s="77"/>
      <c r="B257" s="83" t="s">
        <v>328</v>
      </c>
      <c r="C257" s="83" t="s">
        <v>31</v>
      </c>
      <c r="D257" s="1">
        <v>7.9143065641637811E-3</v>
      </c>
      <c r="E257" s="1">
        <v>1.125277324813834E-2</v>
      </c>
      <c r="F257" s="1">
        <v>8.697932047087898E-3</v>
      </c>
      <c r="G257" s="1">
        <v>1.378771002417682E-2</v>
      </c>
      <c r="H257" s="78"/>
      <c r="I257" s="78"/>
      <c r="J257" s="60" t="s">
        <v>366</v>
      </c>
      <c r="K257" s="108">
        <v>8.2082999999999995</v>
      </c>
      <c r="L257" s="60">
        <v>1.0053E-3</v>
      </c>
      <c r="M257" s="60" t="s">
        <v>344</v>
      </c>
      <c r="N257" s="78"/>
      <c r="O257" s="83" t="s">
        <v>345</v>
      </c>
      <c r="P257" s="83" t="s">
        <v>346</v>
      </c>
      <c r="Q257" s="83" t="s">
        <v>329</v>
      </c>
      <c r="R257" s="79"/>
    </row>
    <row r="258" spans="1:18">
      <c r="A258" s="77"/>
      <c r="B258" s="83" t="s">
        <v>332</v>
      </c>
      <c r="C258" s="83" t="s">
        <v>333</v>
      </c>
      <c r="D258" s="1">
        <v>0.2626738295465883</v>
      </c>
      <c r="E258" s="1">
        <v>0.15546081384119378</v>
      </c>
      <c r="F258" s="1">
        <v>0.18618836467549479</v>
      </c>
      <c r="G258" s="1">
        <v>0.25396259187483922</v>
      </c>
      <c r="H258" s="78"/>
      <c r="I258" s="78"/>
      <c r="J258" s="60" t="s">
        <v>372</v>
      </c>
      <c r="K258" s="108">
        <v>9.5841999999999992</v>
      </c>
      <c r="L258" s="60">
        <v>1.0053E-3</v>
      </c>
      <c r="M258" s="60" t="s">
        <v>344</v>
      </c>
      <c r="N258" s="78"/>
      <c r="O258" s="78"/>
      <c r="P258" s="78"/>
      <c r="Q258" s="78"/>
      <c r="R258" s="79"/>
    </row>
    <row r="259" spans="1:18">
      <c r="A259" s="77"/>
      <c r="B259" s="83" t="s">
        <v>339</v>
      </c>
      <c r="C259" s="83" t="s">
        <v>340</v>
      </c>
      <c r="D259" s="1">
        <v>2.9852000073823756E-2</v>
      </c>
      <c r="E259" s="1">
        <v>7.0376611009390785E-2</v>
      </c>
      <c r="F259" s="1">
        <v>0.11563297230087996</v>
      </c>
      <c r="G259" s="1">
        <v>8.6267790745053641E-2</v>
      </c>
      <c r="H259" s="78"/>
      <c r="I259" s="78"/>
      <c r="J259" s="29" t="s">
        <v>378</v>
      </c>
      <c r="K259" s="105">
        <v>1.3758999999999999</v>
      </c>
      <c r="L259" s="29">
        <v>0.74911329999999998</v>
      </c>
      <c r="M259" s="29" t="s">
        <v>352</v>
      </c>
      <c r="N259" s="78"/>
      <c r="O259" s="78"/>
      <c r="P259" s="78"/>
      <c r="Q259" s="78"/>
      <c r="R259" s="79"/>
    </row>
    <row r="260" spans="1:18">
      <c r="A260" s="77"/>
      <c r="B260" s="83" t="s">
        <v>345</v>
      </c>
      <c r="C260" s="83" t="s">
        <v>346</v>
      </c>
      <c r="D260" s="1">
        <v>8.8411371254160737E-2</v>
      </c>
      <c r="E260" s="1">
        <v>4.1631691558411801E-2</v>
      </c>
      <c r="F260" s="1">
        <v>3.9035704312305193E-2</v>
      </c>
      <c r="G260" s="1">
        <v>3.9823553700849772E-2</v>
      </c>
      <c r="H260" s="78"/>
      <c r="I260" s="78"/>
      <c r="J260" s="78"/>
      <c r="K260" s="122"/>
      <c r="L260" s="85"/>
      <c r="M260" s="78"/>
      <c r="N260" s="78"/>
      <c r="O260" s="78"/>
      <c r="P260" s="78"/>
      <c r="Q260" s="78"/>
      <c r="R260" s="79"/>
    </row>
    <row r="261" spans="1:18">
      <c r="A261" s="77"/>
      <c r="B261" s="78"/>
      <c r="C261" s="78"/>
      <c r="D261" s="78"/>
      <c r="E261" s="78"/>
      <c r="F261" s="78"/>
      <c r="G261" s="78"/>
      <c r="H261" s="78"/>
      <c r="I261" s="78"/>
      <c r="J261" s="78"/>
      <c r="K261" s="122"/>
      <c r="L261" s="78"/>
      <c r="M261" s="78"/>
      <c r="N261" s="78"/>
      <c r="O261" s="78"/>
      <c r="P261" s="78"/>
      <c r="Q261" s="78"/>
      <c r="R261" s="79"/>
    </row>
    <row r="262" spans="1:18" ht="15" thickBot="1">
      <c r="A262" s="77"/>
      <c r="B262" s="78"/>
      <c r="C262" s="78"/>
      <c r="D262" s="78"/>
      <c r="E262" s="78"/>
      <c r="F262" s="78"/>
      <c r="G262" s="78"/>
      <c r="H262" s="78"/>
      <c r="I262" s="78"/>
      <c r="J262" s="78"/>
      <c r="K262" s="122"/>
      <c r="L262" s="85"/>
      <c r="M262" s="78"/>
      <c r="N262" s="78"/>
      <c r="O262" s="78"/>
      <c r="P262" s="78"/>
      <c r="Q262" s="78"/>
      <c r="R262" s="79"/>
    </row>
    <row r="263" spans="1:18">
      <c r="A263" s="77"/>
      <c r="B263" s="84" t="s">
        <v>325</v>
      </c>
      <c r="C263" s="84" t="s">
        <v>385</v>
      </c>
      <c r="D263" s="129" t="s">
        <v>348</v>
      </c>
      <c r="E263" s="129"/>
      <c r="F263" s="129"/>
      <c r="G263" s="130"/>
      <c r="H263" s="78"/>
      <c r="I263" s="78"/>
      <c r="J263" s="114" t="s">
        <v>330</v>
      </c>
      <c r="K263" s="115" t="s">
        <v>331</v>
      </c>
      <c r="L263" s="116" t="s">
        <v>331</v>
      </c>
      <c r="M263" s="117" t="s">
        <v>331</v>
      </c>
      <c r="N263" s="78"/>
      <c r="O263" s="78"/>
      <c r="P263" s="78"/>
      <c r="Q263" s="78"/>
      <c r="R263" s="79"/>
    </row>
    <row r="264" spans="1:18" ht="15" thickBot="1">
      <c r="A264" s="77"/>
      <c r="B264" s="84" t="s">
        <v>353</v>
      </c>
      <c r="C264" s="84" t="s">
        <v>354</v>
      </c>
      <c r="D264" s="84" t="s">
        <v>355</v>
      </c>
      <c r="E264" s="84" t="s">
        <v>356</v>
      </c>
      <c r="F264" s="84" t="s">
        <v>357</v>
      </c>
      <c r="G264" s="123" t="s">
        <v>358</v>
      </c>
      <c r="H264" s="92"/>
      <c r="I264" s="78"/>
      <c r="J264" s="118" t="s">
        <v>335</v>
      </c>
      <c r="K264" s="119" t="s">
        <v>336</v>
      </c>
      <c r="L264" s="120" t="s">
        <v>337</v>
      </c>
      <c r="M264" s="121" t="s">
        <v>338</v>
      </c>
      <c r="N264" s="78"/>
      <c r="O264" s="83" t="s">
        <v>325</v>
      </c>
      <c r="P264" s="83" t="s">
        <v>326</v>
      </c>
      <c r="Q264" s="83" t="s">
        <v>327</v>
      </c>
      <c r="R264" s="79"/>
    </row>
    <row r="265" spans="1:18">
      <c r="A265" s="77"/>
      <c r="B265" s="83" t="s">
        <v>328</v>
      </c>
      <c r="C265" s="83" t="s">
        <v>387</v>
      </c>
      <c r="D265" s="1">
        <v>0.12941882597068988</v>
      </c>
      <c r="E265" s="1">
        <v>0.19475732925044573</v>
      </c>
      <c r="F265" s="1">
        <v>0.8670170277922018</v>
      </c>
      <c r="G265" s="1">
        <v>0.74184958650435751</v>
      </c>
      <c r="H265" s="78"/>
      <c r="I265" s="78"/>
      <c r="J265" s="64" t="s">
        <v>341</v>
      </c>
      <c r="K265" s="107">
        <v>1.7426999999999999</v>
      </c>
      <c r="L265" s="64">
        <v>0.46635900000000002</v>
      </c>
      <c r="M265" s="64" t="s">
        <v>352</v>
      </c>
      <c r="N265" s="78"/>
      <c r="O265" s="83" t="s">
        <v>328</v>
      </c>
      <c r="P265" s="83" t="s">
        <v>387</v>
      </c>
      <c r="Q265" s="83" t="s">
        <v>413</v>
      </c>
      <c r="R265" s="79"/>
    </row>
    <row r="266" spans="1:18">
      <c r="A266" s="77"/>
      <c r="B266" s="83" t="s">
        <v>332</v>
      </c>
      <c r="C266" s="83" t="s">
        <v>393</v>
      </c>
      <c r="D266" s="1">
        <v>8.0153939317179609E-2</v>
      </c>
      <c r="E266" s="1">
        <v>0.10859355760007633</v>
      </c>
      <c r="F266" s="1">
        <v>0.10677374042422946</v>
      </c>
      <c r="G266" s="1">
        <v>3.2386761056347836E-2</v>
      </c>
      <c r="H266" s="78"/>
      <c r="I266" s="78"/>
      <c r="J266" s="29" t="s">
        <v>349</v>
      </c>
      <c r="K266" s="105">
        <v>2.2696000000000001</v>
      </c>
      <c r="L266" s="29">
        <v>0.29254570000000002</v>
      </c>
      <c r="M266" s="29" t="s">
        <v>352</v>
      </c>
      <c r="N266" s="78"/>
      <c r="O266" s="83" t="s">
        <v>332</v>
      </c>
      <c r="P266" s="83" t="s">
        <v>393</v>
      </c>
      <c r="Q266" s="83" t="s">
        <v>329</v>
      </c>
      <c r="R266" s="79"/>
    </row>
    <row r="267" spans="1:18">
      <c r="A267" s="77"/>
      <c r="B267" s="83" t="s">
        <v>339</v>
      </c>
      <c r="C267" s="83" t="s">
        <v>399</v>
      </c>
      <c r="D267" s="1">
        <v>0.84867871810463857</v>
      </c>
      <c r="E267" s="1">
        <v>0.45730094967912749</v>
      </c>
      <c r="F267" s="1">
        <v>0.68507157428397691</v>
      </c>
      <c r="G267" s="1">
        <v>2.0324099779046478</v>
      </c>
      <c r="H267" s="78"/>
      <c r="I267" s="78"/>
      <c r="J267" s="66" t="s">
        <v>366</v>
      </c>
      <c r="K267" s="104">
        <v>4.0124000000000004</v>
      </c>
      <c r="L267" s="124">
        <v>4.6424100000000003E-2</v>
      </c>
      <c r="M267" s="66" t="s">
        <v>428</v>
      </c>
      <c r="N267" s="78"/>
      <c r="O267" s="83" t="s">
        <v>339</v>
      </c>
      <c r="P267" s="83" t="s">
        <v>399</v>
      </c>
      <c r="Q267" s="83" t="s">
        <v>334</v>
      </c>
      <c r="R267" s="79"/>
    </row>
    <row r="268" spans="1:18">
      <c r="A268" s="77"/>
      <c r="B268" s="78"/>
      <c r="C268" s="78"/>
      <c r="D268" s="78"/>
      <c r="E268" s="78"/>
      <c r="F268" s="78"/>
      <c r="G268" s="78"/>
      <c r="H268" s="78"/>
      <c r="I268" s="78"/>
      <c r="J268" s="78"/>
      <c r="K268" s="122"/>
      <c r="L268" s="85"/>
      <c r="M268" s="78"/>
      <c r="N268" s="78"/>
      <c r="O268" s="78"/>
      <c r="P268" s="78"/>
      <c r="Q268" s="78"/>
      <c r="R268" s="79"/>
    </row>
    <row r="269" spans="1:18">
      <c r="A269" s="77"/>
      <c r="B269" s="78"/>
      <c r="C269" s="78"/>
      <c r="D269" s="78"/>
      <c r="E269" s="78"/>
      <c r="F269" s="78"/>
      <c r="G269" s="78"/>
      <c r="H269" s="78"/>
      <c r="I269" s="78"/>
      <c r="J269" s="78"/>
      <c r="K269" s="122"/>
      <c r="L269" s="85"/>
      <c r="M269" s="78"/>
      <c r="N269" s="78"/>
      <c r="O269" s="78"/>
      <c r="P269" s="78"/>
      <c r="Q269" s="78"/>
      <c r="R269" s="79"/>
    </row>
    <row r="270" spans="1:18">
      <c r="A270" s="77"/>
      <c r="B270" s="78"/>
      <c r="C270" s="78"/>
      <c r="D270" s="78"/>
      <c r="E270" s="78"/>
      <c r="F270" s="78"/>
      <c r="G270" s="78"/>
      <c r="H270" s="78"/>
      <c r="I270" s="78"/>
      <c r="J270" s="78"/>
      <c r="K270" s="122"/>
      <c r="L270" s="78"/>
      <c r="M270" s="78"/>
      <c r="N270" s="78"/>
      <c r="O270" s="78"/>
      <c r="P270" s="78"/>
      <c r="Q270" s="78"/>
      <c r="R270" s="79"/>
    </row>
    <row r="271" spans="1:18" ht="15" thickBot="1">
      <c r="A271" s="77"/>
      <c r="B271" s="84" t="s">
        <v>325</v>
      </c>
      <c r="C271" s="84" t="s">
        <v>408</v>
      </c>
      <c r="D271" s="129" t="s">
        <v>348</v>
      </c>
      <c r="E271" s="129"/>
      <c r="F271" s="129"/>
      <c r="G271" s="129"/>
      <c r="H271" s="78"/>
      <c r="I271" s="78"/>
      <c r="J271" s="78"/>
      <c r="K271" s="122"/>
      <c r="L271" s="78"/>
      <c r="M271" s="78"/>
      <c r="N271" s="78"/>
      <c r="O271" s="78"/>
      <c r="P271" s="78"/>
      <c r="Q271" s="78"/>
      <c r="R271" s="79"/>
    </row>
    <row r="272" spans="1:18">
      <c r="A272" s="77"/>
      <c r="B272" s="84" t="s">
        <v>353</v>
      </c>
      <c r="C272" s="84" t="s">
        <v>354</v>
      </c>
      <c r="D272" s="84" t="s">
        <v>607</v>
      </c>
      <c r="E272" s="84" t="s">
        <v>608</v>
      </c>
      <c r="F272" s="84" t="s">
        <v>609</v>
      </c>
      <c r="G272" s="84" t="s">
        <v>610</v>
      </c>
      <c r="H272" s="78"/>
      <c r="I272" s="78"/>
      <c r="J272" s="114" t="s">
        <v>330</v>
      </c>
      <c r="K272" s="115" t="s">
        <v>331</v>
      </c>
      <c r="L272" s="116" t="s">
        <v>331</v>
      </c>
      <c r="M272" s="117" t="s">
        <v>331</v>
      </c>
      <c r="N272" s="78"/>
      <c r="O272" s="83" t="s">
        <v>325</v>
      </c>
      <c r="P272" s="83" t="s">
        <v>326</v>
      </c>
      <c r="Q272" s="83" t="s">
        <v>327</v>
      </c>
      <c r="R272" s="79"/>
    </row>
    <row r="273" spans="1:18" ht="15" thickBot="1">
      <c r="A273" s="77"/>
      <c r="B273" s="83" t="s">
        <v>328</v>
      </c>
      <c r="C273" s="83" t="s">
        <v>387</v>
      </c>
      <c r="D273" s="1">
        <v>1.4015660923713954E-3</v>
      </c>
      <c r="E273" s="1">
        <v>1.8816010143102777E-2</v>
      </c>
      <c r="F273" s="1">
        <v>1.893587134349222E-3</v>
      </c>
      <c r="G273" s="1">
        <v>2.6451737428848866E-3</v>
      </c>
      <c r="H273" s="78"/>
      <c r="I273" s="78"/>
      <c r="J273" s="118" t="s">
        <v>335</v>
      </c>
      <c r="K273" s="119" t="s">
        <v>336</v>
      </c>
      <c r="L273" s="120" t="s">
        <v>337</v>
      </c>
      <c r="M273" s="121" t="s">
        <v>338</v>
      </c>
      <c r="N273" s="78"/>
      <c r="O273" s="83" t="s">
        <v>328</v>
      </c>
      <c r="P273" s="83" t="s">
        <v>387</v>
      </c>
      <c r="Q273" s="83" t="s">
        <v>413</v>
      </c>
      <c r="R273" s="79"/>
    </row>
    <row r="274" spans="1:18">
      <c r="A274" s="77"/>
      <c r="B274" s="83" t="s">
        <v>332</v>
      </c>
      <c r="C274" s="83" t="s">
        <v>393</v>
      </c>
      <c r="D274" s="1">
        <v>1.1599080564877304E-3</v>
      </c>
      <c r="E274" s="1">
        <v>1.9303804044838513E-3</v>
      </c>
      <c r="F274" s="1">
        <v>2.0663751317986367E-3</v>
      </c>
      <c r="G274" s="1">
        <v>7.3787254443134634E-4</v>
      </c>
      <c r="H274" s="78"/>
      <c r="I274" s="78"/>
      <c r="J274" s="64" t="s">
        <v>341</v>
      </c>
      <c r="K274" s="107">
        <v>1.7151000000000001</v>
      </c>
      <c r="L274" s="64">
        <v>0.47671259999999999</v>
      </c>
      <c r="M274" s="64" t="s">
        <v>352</v>
      </c>
      <c r="N274" s="78"/>
      <c r="O274" s="83" t="s">
        <v>332</v>
      </c>
      <c r="P274" s="83" t="s">
        <v>393</v>
      </c>
      <c r="Q274" s="83" t="s">
        <v>329</v>
      </c>
      <c r="R274" s="79"/>
    </row>
    <row r="275" spans="1:18">
      <c r="A275" s="77"/>
      <c r="B275" s="83" t="s">
        <v>339</v>
      </c>
      <c r="C275" s="83" t="s">
        <v>399</v>
      </c>
      <c r="D275" s="1">
        <v>1.0170679800375072E-2</v>
      </c>
      <c r="E275" s="1">
        <v>7.6582451207293321E-3</v>
      </c>
      <c r="F275" s="1">
        <v>1.718006097739179E-2</v>
      </c>
      <c r="G275" s="1">
        <v>1.5106916954801049E-2</v>
      </c>
      <c r="H275" s="78"/>
      <c r="I275" s="78"/>
      <c r="J275" s="29" t="s">
        <v>349</v>
      </c>
      <c r="K275" s="105">
        <v>2.3058999999999998</v>
      </c>
      <c r="L275" s="29">
        <v>0.28261779999999997</v>
      </c>
      <c r="M275" s="29" t="s">
        <v>352</v>
      </c>
      <c r="N275" s="78"/>
      <c r="O275" s="83" t="s">
        <v>339</v>
      </c>
      <c r="P275" s="83" t="s">
        <v>399</v>
      </c>
      <c r="Q275" s="83" t="s">
        <v>334</v>
      </c>
      <c r="R275" s="79"/>
    </row>
    <row r="276" spans="1:18">
      <c r="A276" s="77"/>
      <c r="B276" s="78"/>
      <c r="C276" s="78"/>
      <c r="D276" s="78"/>
      <c r="E276" s="78"/>
      <c r="F276" s="78"/>
      <c r="G276" s="78"/>
      <c r="H276" s="78"/>
      <c r="I276" s="78"/>
      <c r="J276" s="66" t="s">
        <v>366</v>
      </c>
      <c r="K276" s="104">
        <v>4.0209999999999999</v>
      </c>
      <c r="L276" s="66">
        <v>4.5984299999999999E-2</v>
      </c>
      <c r="M276" s="66" t="s">
        <v>428</v>
      </c>
      <c r="N276" s="78"/>
      <c r="O276" s="78"/>
      <c r="P276" s="78"/>
      <c r="Q276" s="78"/>
      <c r="R276" s="79"/>
    </row>
    <row r="277" spans="1:18">
      <c r="A277" s="77"/>
      <c r="B277" s="78"/>
      <c r="C277" s="78"/>
      <c r="D277" s="78"/>
      <c r="E277" s="78"/>
      <c r="F277" s="78"/>
      <c r="G277" s="78"/>
      <c r="H277" s="78"/>
      <c r="I277" s="78"/>
      <c r="J277" s="78"/>
      <c r="K277" s="122"/>
      <c r="L277" s="85"/>
      <c r="M277" s="78"/>
      <c r="N277" s="78"/>
      <c r="O277" s="78"/>
      <c r="P277" s="78"/>
      <c r="Q277" s="78"/>
      <c r="R277" s="79"/>
    </row>
    <row r="278" spans="1:18">
      <c r="A278" s="77"/>
      <c r="B278" s="78"/>
      <c r="C278" s="78"/>
      <c r="D278" s="78"/>
      <c r="E278" s="78"/>
      <c r="F278" s="78"/>
      <c r="G278" s="78"/>
      <c r="H278" s="78"/>
      <c r="I278" s="78"/>
      <c r="J278" s="78"/>
      <c r="K278" s="122"/>
      <c r="L278" s="85"/>
      <c r="M278" s="78"/>
      <c r="N278" s="78"/>
      <c r="O278" s="78"/>
      <c r="P278" s="78"/>
      <c r="Q278" s="78"/>
      <c r="R278" s="79"/>
    </row>
    <row r="279" spans="1:18">
      <c r="A279" s="77"/>
      <c r="B279" s="78"/>
      <c r="C279" s="78"/>
      <c r="D279" s="78"/>
      <c r="E279" s="78"/>
      <c r="F279" s="78"/>
      <c r="G279" s="78"/>
      <c r="H279" s="78"/>
      <c r="I279" s="78"/>
      <c r="J279" s="78"/>
      <c r="K279" s="122"/>
      <c r="L279" s="78"/>
      <c r="M279" s="78"/>
      <c r="N279" s="78"/>
      <c r="O279" s="78"/>
      <c r="P279" s="78"/>
      <c r="Q279" s="78"/>
      <c r="R279" s="79"/>
    </row>
    <row r="280" spans="1:18">
      <c r="A280" s="77"/>
      <c r="B280" s="78"/>
      <c r="C280" s="78"/>
      <c r="D280" s="78"/>
      <c r="E280" s="78"/>
      <c r="F280" s="78"/>
      <c r="G280" s="78"/>
      <c r="H280" s="78"/>
      <c r="I280" s="78"/>
      <c r="J280" s="78"/>
      <c r="K280" s="122"/>
      <c r="L280" s="78"/>
      <c r="M280" s="78"/>
      <c r="N280" s="78"/>
      <c r="O280" s="78"/>
      <c r="P280" s="78"/>
      <c r="Q280" s="78"/>
      <c r="R280" s="79"/>
    </row>
    <row r="281" spans="1:18" ht="15" thickBot="1">
      <c r="A281" s="77"/>
      <c r="B281" s="84" t="s">
        <v>325</v>
      </c>
      <c r="C281" s="84" t="s">
        <v>429</v>
      </c>
      <c r="D281" s="129" t="s">
        <v>348</v>
      </c>
      <c r="E281" s="129"/>
      <c r="F281" s="129"/>
      <c r="G281" s="129"/>
      <c r="H281" s="78"/>
      <c r="I281" s="78"/>
      <c r="J281" s="78"/>
      <c r="K281" s="122"/>
      <c r="L281" s="78"/>
      <c r="M281" s="78"/>
      <c r="N281" s="78"/>
      <c r="O281" s="78"/>
      <c r="P281" s="78"/>
      <c r="Q281" s="78"/>
      <c r="R281" s="79"/>
    </row>
    <row r="282" spans="1:18">
      <c r="A282" s="77"/>
      <c r="B282" s="84" t="s">
        <v>353</v>
      </c>
      <c r="C282" s="84" t="s">
        <v>354</v>
      </c>
      <c r="D282" s="84" t="s">
        <v>355</v>
      </c>
      <c r="E282" s="84" t="s">
        <v>356</v>
      </c>
      <c r="F282" s="84" t="s">
        <v>357</v>
      </c>
      <c r="G282" s="84" t="s">
        <v>358</v>
      </c>
      <c r="H282" s="78"/>
      <c r="I282" s="78"/>
      <c r="J282" s="114" t="s">
        <v>330</v>
      </c>
      <c r="K282" s="115" t="s">
        <v>331</v>
      </c>
      <c r="L282" s="116" t="s">
        <v>331</v>
      </c>
      <c r="M282" s="117" t="s">
        <v>331</v>
      </c>
      <c r="N282" s="78"/>
      <c r="O282" s="83" t="s">
        <v>325</v>
      </c>
      <c r="P282" s="83" t="s">
        <v>326</v>
      </c>
      <c r="Q282" s="83" t="s">
        <v>327</v>
      </c>
      <c r="R282" s="79"/>
    </row>
    <row r="283" spans="1:18" ht="15" thickBot="1">
      <c r="A283" s="77"/>
      <c r="B283" s="83" t="s">
        <v>328</v>
      </c>
      <c r="C283" s="83" t="s">
        <v>387</v>
      </c>
      <c r="D283" s="1">
        <v>0.57653137972405544</v>
      </c>
      <c r="E283" s="1">
        <v>0.23906713969740065</v>
      </c>
      <c r="F283" s="1">
        <v>0.25134817068603843</v>
      </c>
      <c r="G283" s="1">
        <v>0.15062642378089211</v>
      </c>
      <c r="H283" s="78"/>
      <c r="I283" s="78"/>
      <c r="J283" s="118" t="s">
        <v>335</v>
      </c>
      <c r="K283" s="119" t="s">
        <v>336</v>
      </c>
      <c r="L283" s="120" t="s">
        <v>337</v>
      </c>
      <c r="M283" s="121" t="s">
        <v>338</v>
      </c>
      <c r="N283" s="78"/>
      <c r="O283" s="83" t="s">
        <v>328</v>
      </c>
      <c r="P283" s="83" t="s">
        <v>387</v>
      </c>
      <c r="Q283" s="83" t="s">
        <v>329</v>
      </c>
      <c r="R283" s="79"/>
    </row>
    <row r="284" spans="1:18">
      <c r="A284" s="77"/>
      <c r="B284" s="83" t="s">
        <v>332</v>
      </c>
      <c r="C284" s="83" t="s">
        <v>393</v>
      </c>
      <c r="D284" s="1">
        <v>0.33593017377263962</v>
      </c>
      <c r="E284" s="1">
        <v>0.36493309273639285</v>
      </c>
      <c r="F284" s="1">
        <v>0.98042516215837372</v>
      </c>
      <c r="G284" s="1">
        <v>0.43750549641968445</v>
      </c>
      <c r="H284" s="78"/>
      <c r="I284" s="78"/>
      <c r="J284" s="64" t="s">
        <v>755</v>
      </c>
      <c r="K284" s="107">
        <v>1.7438</v>
      </c>
      <c r="L284" s="64">
        <v>0.46598349999999999</v>
      </c>
      <c r="M284" s="64" t="s">
        <v>352</v>
      </c>
      <c r="N284" s="78"/>
      <c r="O284" s="83" t="s">
        <v>332</v>
      </c>
      <c r="P284" s="83" t="s">
        <v>393</v>
      </c>
      <c r="Q284" s="83" t="s">
        <v>413</v>
      </c>
      <c r="R284" s="79"/>
    </row>
    <row r="285" spans="1:18">
      <c r="A285" s="77"/>
      <c r="B285" s="83" t="s">
        <v>339</v>
      </c>
      <c r="C285" s="83" t="s">
        <v>399</v>
      </c>
      <c r="D285" s="1">
        <v>1.3344704829938585</v>
      </c>
      <c r="E285" s="1">
        <v>0.91203119434720947</v>
      </c>
      <c r="F285" s="1">
        <v>1.1717372848178509</v>
      </c>
      <c r="G285" s="1">
        <v>0.72456966116044252</v>
      </c>
      <c r="H285" s="78"/>
      <c r="I285" s="78"/>
      <c r="J285" s="60" t="s">
        <v>349</v>
      </c>
      <c r="K285" s="108">
        <v>5.66</v>
      </c>
      <c r="L285" s="60">
        <v>7.7996999999999997E-3</v>
      </c>
      <c r="M285" s="60" t="s">
        <v>344</v>
      </c>
      <c r="N285" s="78"/>
      <c r="O285" s="83" t="s">
        <v>339</v>
      </c>
      <c r="P285" s="83" t="s">
        <v>399</v>
      </c>
      <c r="Q285" s="83" t="s">
        <v>334</v>
      </c>
      <c r="R285" s="79"/>
    </row>
    <row r="286" spans="1:18">
      <c r="A286" s="77"/>
      <c r="B286" s="78"/>
      <c r="C286" s="78"/>
      <c r="D286" s="78"/>
      <c r="E286" s="78"/>
      <c r="F286" s="78"/>
      <c r="G286" s="78"/>
      <c r="H286" s="78"/>
      <c r="I286" s="78"/>
      <c r="J286" s="29" t="s">
        <v>366</v>
      </c>
      <c r="K286" s="105">
        <v>3.9161999999999999</v>
      </c>
      <c r="L286" s="59">
        <v>5.1623200000000001E-2</v>
      </c>
      <c r="M286" s="29" t="s">
        <v>352</v>
      </c>
      <c r="N286" s="78"/>
      <c r="O286" s="78"/>
      <c r="P286" s="78"/>
      <c r="Q286" s="78"/>
      <c r="R286" s="79"/>
    </row>
    <row r="287" spans="1:18">
      <c r="A287" s="77"/>
      <c r="B287" s="78"/>
      <c r="C287" s="78"/>
      <c r="D287" s="78"/>
      <c r="E287" s="78"/>
      <c r="F287" s="78"/>
      <c r="G287" s="78"/>
      <c r="H287" s="78"/>
      <c r="I287" s="78"/>
      <c r="J287" s="78"/>
      <c r="K287" s="122"/>
      <c r="L287" s="85"/>
      <c r="M287" s="78"/>
      <c r="N287" s="78"/>
      <c r="O287" s="78"/>
      <c r="P287" s="78"/>
      <c r="Q287" s="78"/>
      <c r="R287" s="79"/>
    </row>
    <row r="288" spans="1:18">
      <c r="A288" s="77"/>
      <c r="B288" s="78"/>
      <c r="C288" s="78"/>
      <c r="D288" s="78"/>
      <c r="E288" s="78"/>
      <c r="F288" s="78"/>
      <c r="G288" s="78"/>
      <c r="H288" s="78"/>
      <c r="I288" s="78"/>
      <c r="J288" s="78"/>
      <c r="K288" s="122"/>
      <c r="L288" s="85"/>
      <c r="M288" s="78"/>
      <c r="N288" s="78"/>
      <c r="O288" s="78"/>
      <c r="P288" s="78"/>
      <c r="Q288" s="78"/>
      <c r="R288" s="79"/>
    </row>
    <row r="289" spans="1:18">
      <c r="A289" s="77"/>
      <c r="B289" s="78"/>
      <c r="C289" s="78"/>
      <c r="D289" s="78"/>
      <c r="E289" s="78"/>
      <c r="F289" s="78"/>
      <c r="G289" s="78"/>
      <c r="H289" s="78"/>
      <c r="I289" s="78"/>
      <c r="J289" s="78"/>
      <c r="K289" s="122"/>
      <c r="L289" s="78"/>
      <c r="M289" s="78"/>
      <c r="N289" s="78"/>
      <c r="O289" s="78"/>
      <c r="P289" s="78"/>
      <c r="Q289" s="78"/>
      <c r="R289" s="79"/>
    </row>
    <row r="290" spans="1:18">
      <c r="A290" s="77"/>
      <c r="B290" s="78"/>
      <c r="C290" s="78"/>
      <c r="D290" s="78"/>
      <c r="E290" s="78"/>
      <c r="F290" s="78"/>
      <c r="G290" s="78"/>
      <c r="H290" s="78"/>
      <c r="I290" s="78"/>
      <c r="J290" s="78"/>
      <c r="K290" s="122"/>
      <c r="L290" s="78"/>
      <c r="M290" s="78"/>
      <c r="N290" s="78"/>
      <c r="O290" s="78"/>
      <c r="P290" s="78"/>
      <c r="Q290" s="78"/>
      <c r="R290" s="79"/>
    </row>
    <row r="291" spans="1:18" ht="15" thickBot="1">
      <c r="A291" s="77"/>
      <c r="B291" s="84" t="s">
        <v>325</v>
      </c>
      <c r="C291" s="84" t="s">
        <v>446</v>
      </c>
      <c r="D291" s="129" t="s">
        <v>348</v>
      </c>
      <c r="E291" s="129"/>
      <c r="F291" s="129"/>
      <c r="G291" s="129"/>
      <c r="H291" s="78"/>
      <c r="I291" s="78"/>
      <c r="J291" s="78"/>
      <c r="K291" s="122"/>
      <c r="L291" s="78"/>
      <c r="M291" s="78"/>
      <c r="N291" s="78"/>
      <c r="O291" s="78"/>
      <c r="P291" s="78"/>
      <c r="Q291" s="78"/>
      <c r="R291" s="79"/>
    </row>
    <row r="292" spans="1:18">
      <c r="A292" s="77"/>
      <c r="B292" s="84" t="s">
        <v>353</v>
      </c>
      <c r="C292" s="84" t="s">
        <v>354</v>
      </c>
      <c r="D292" s="84" t="s">
        <v>355</v>
      </c>
      <c r="E292" s="84" t="s">
        <v>356</v>
      </c>
      <c r="F292" s="84" t="s">
        <v>357</v>
      </c>
      <c r="G292" s="84" t="s">
        <v>358</v>
      </c>
      <c r="H292" s="78"/>
      <c r="I292" s="78"/>
      <c r="J292" s="114" t="s">
        <v>330</v>
      </c>
      <c r="K292" s="115" t="s">
        <v>331</v>
      </c>
      <c r="L292" s="116" t="s">
        <v>331</v>
      </c>
      <c r="M292" s="117" t="s">
        <v>331</v>
      </c>
      <c r="N292" s="78"/>
      <c r="O292" s="83" t="s">
        <v>325</v>
      </c>
      <c r="P292" s="83" t="s">
        <v>326</v>
      </c>
      <c r="Q292" s="83" t="s">
        <v>327</v>
      </c>
      <c r="R292" s="79"/>
    </row>
    <row r="293" spans="1:18" ht="15" thickBot="1">
      <c r="A293" s="77"/>
      <c r="B293" s="83" t="s">
        <v>328</v>
      </c>
      <c r="C293" s="83" t="s">
        <v>387</v>
      </c>
      <c r="D293" s="1">
        <v>5.2211761417779862E-3</v>
      </c>
      <c r="E293" s="1">
        <v>6.7652652398538966E-3</v>
      </c>
      <c r="F293" s="1">
        <v>3.3825832617927716E-2</v>
      </c>
      <c r="G293" s="1">
        <v>2.9130071047324076E-2</v>
      </c>
      <c r="H293" s="78"/>
      <c r="I293" s="78"/>
      <c r="J293" s="118" t="s">
        <v>335</v>
      </c>
      <c r="K293" s="119" t="s">
        <v>336</v>
      </c>
      <c r="L293" s="120" t="s">
        <v>337</v>
      </c>
      <c r="M293" s="121" t="s">
        <v>338</v>
      </c>
      <c r="N293" s="78"/>
      <c r="O293" s="83" t="s">
        <v>328</v>
      </c>
      <c r="P293" s="83" t="s">
        <v>387</v>
      </c>
      <c r="Q293" s="83" t="s">
        <v>329</v>
      </c>
      <c r="R293" s="79"/>
    </row>
    <row r="294" spans="1:18">
      <c r="A294" s="77"/>
      <c r="B294" s="83" t="s">
        <v>332</v>
      </c>
      <c r="C294" s="83" t="s">
        <v>393</v>
      </c>
      <c r="D294" s="1">
        <v>4.3842212804124005E-3</v>
      </c>
      <c r="E294" s="1">
        <v>9.9359410521271292E-3</v>
      </c>
      <c r="F294" s="1">
        <v>1.1852550236939631E-3</v>
      </c>
      <c r="G294" s="1">
        <v>7.6266906766034159E-3</v>
      </c>
      <c r="H294" s="78"/>
      <c r="I294" s="78"/>
      <c r="J294" s="64" t="s">
        <v>341</v>
      </c>
      <c r="K294" s="107">
        <v>2.0442</v>
      </c>
      <c r="L294" s="64">
        <v>0.36036240000000003</v>
      </c>
      <c r="M294" s="64" t="s">
        <v>352</v>
      </c>
      <c r="N294" s="78"/>
      <c r="O294" s="83" t="s">
        <v>332</v>
      </c>
      <c r="P294" s="83" t="s">
        <v>393</v>
      </c>
      <c r="Q294" s="83" t="s">
        <v>329</v>
      </c>
      <c r="R294" s="79"/>
    </row>
    <row r="295" spans="1:18">
      <c r="A295" s="77"/>
      <c r="B295" s="83" t="s">
        <v>339</v>
      </c>
      <c r="C295" s="83" t="s">
        <v>399</v>
      </c>
      <c r="D295" s="1">
        <v>2.7935168223771865E-2</v>
      </c>
      <c r="E295" s="1">
        <v>6.5552136899544047E-2</v>
      </c>
      <c r="F295" s="1">
        <v>4.1348814922776873E-2</v>
      </c>
      <c r="G295" s="1">
        <v>4.0777653699286508E-2</v>
      </c>
      <c r="H295" s="78"/>
      <c r="I295" s="78"/>
      <c r="J295" s="66" t="s">
        <v>349</v>
      </c>
      <c r="K295" s="104">
        <v>3.972</v>
      </c>
      <c r="L295" s="66">
        <v>4.8541899999999999E-2</v>
      </c>
      <c r="M295" s="66" t="s">
        <v>428</v>
      </c>
      <c r="N295" s="78"/>
      <c r="O295" s="83" t="s">
        <v>339</v>
      </c>
      <c r="P295" s="83" t="s">
        <v>399</v>
      </c>
      <c r="Q295" s="83" t="s">
        <v>334</v>
      </c>
      <c r="R295" s="79"/>
    </row>
    <row r="296" spans="1:18" ht="15" thickBot="1">
      <c r="A296" s="80"/>
      <c r="B296" s="81"/>
      <c r="C296" s="81"/>
      <c r="D296" s="81"/>
      <c r="E296" s="81"/>
      <c r="F296" s="81"/>
      <c r="G296" s="81"/>
      <c r="H296" s="81"/>
      <c r="I296" s="81"/>
      <c r="J296" s="111" t="s">
        <v>366</v>
      </c>
      <c r="K296" s="112">
        <v>6.0160999999999998</v>
      </c>
      <c r="L296" s="111">
        <v>5.3933000000000002E-3</v>
      </c>
      <c r="M296" s="111" t="s">
        <v>344</v>
      </c>
      <c r="N296" s="81"/>
      <c r="O296" s="81"/>
      <c r="P296" s="81"/>
      <c r="Q296" s="81"/>
      <c r="R296" s="82"/>
    </row>
    <row r="297" spans="1:18" ht="15" thickBot="1">
      <c r="K297" s="113"/>
    </row>
    <row r="298" spans="1:18">
      <c r="A298" s="16"/>
      <c r="B298" s="35"/>
      <c r="C298" s="35"/>
      <c r="D298" s="35"/>
      <c r="E298" s="35"/>
      <c r="F298" s="35"/>
      <c r="G298" s="35"/>
      <c r="H298" s="35"/>
      <c r="I298" s="35"/>
      <c r="J298" s="50" t="s">
        <v>330</v>
      </c>
      <c r="K298" s="101" t="s">
        <v>331</v>
      </c>
      <c r="L298" s="51" t="s">
        <v>331</v>
      </c>
      <c r="M298" s="52" t="s">
        <v>331</v>
      </c>
      <c r="N298" s="35"/>
      <c r="O298" s="35"/>
      <c r="P298" s="35"/>
      <c r="Q298" s="35"/>
      <c r="R298" s="74"/>
    </row>
    <row r="299" spans="1:18" ht="15" thickBot="1">
      <c r="A299" s="32"/>
      <c r="B299" s="1"/>
      <c r="C299" s="1"/>
      <c r="D299" s="1"/>
      <c r="E299" s="1"/>
      <c r="F299" s="1"/>
      <c r="G299" s="1"/>
      <c r="H299" s="1"/>
      <c r="I299" s="1"/>
      <c r="J299" s="53" t="s">
        <v>335</v>
      </c>
      <c r="K299" s="102" t="s">
        <v>336</v>
      </c>
      <c r="L299" s="54" t="s">
        <v>337</v>
      </c>
      <c r="M299" s="55" t="s">
        <v>338</v>
      </c>
      <c r="N299" s="1"/>
      <c r="O299" s="2" t="s">
        <v>325</v>
      </c>
      <c r="P299" s="2" t="s">
        <v>326</v>
      </c>
      <c r="Q299" s="2" t="s">
        <v>327</v>
      </c>
      <c r="R299" s="73"/>
    </row>
    <row r="300" spans="1:18" ht="24" thickBot="1">
      <c r="A300" s="32"/>
      <c r="B300" s="56" t="s">
        <v>756</v>
      </c>
      <c r="C300" s="1"/>
      <c r="D300" s="1"/>
      <c r="E300" s="1"/>
      <c r="F300" s="1"/>
      <c r="G300" s="1"/>
      <c r="H300" s="1"/>
      <c r="I300" s="1"/>
      <c r="J300" s="64" t="s">
        <v>341</v>
      </c>
      <c r="K300" s="107">
        <v>6.4899999999999999E-2</v>
      </c>
      <c r="L300" s="64">
        <v>0.89999470000000004</v>
      </c>
      <c r="M300" s="64" t="s">
        <v>352</v>
      </c>
      <c r="N300" s="1"/>
      <c r="O300" s="2" t="s">
        <v>328</v>
      </c>
      <c r="P300" s="2" t="s">
        <v>31</v>
      </c>
      <c r="Q300" s="2" t="s">
        <v>329</v>
      </c>
      <c r="R300" s="73"/>
    </row>
    <row r="301" spans="1:18">
      <c r="A301" s="32"/>
      <c r="B301" s="41" t="s">
        <v>325</v>
      </c>
      <c r="C301" s="24" t="s">
        <v>347</v>
      </c>
      <c r="D301" s="127" t="s">
        <v>348</v>
      </c>
      <c r="E301" s="127"/>
      <c r="F301" s="127"/>
      <c r="G301" s="127"/>
      <c r="H301" s="1"/>
      <c r="I301" s="1"/>
      <c r="J301" s="29" t="s">
        <v>349</v>
      </c>
      <c r="K301" s="105">
        <v>5.74E-2</v>
      </c>
      <c r="L301" s="29">
        <v>0.89999470000000004</v>
      </c>
      <c r="M301" s="29" t="s">
        <v>352</v>
      </c>
      <c r="N301" s="1"/>
      <c r="O301" s="2" t="s">
        <v>332</v>
      </c>
      <c r="P301" s="2" t="s">
        <v>333</v>
      </c>
      <c r="Q301" s="2" t="s">
        <v>329</v>
      </c>
      <c r="R301" s="73"/>
    </row>
    <row r="302" spans="1:18">
      <c r="A302" s="32"/>
      <c r="B302" s="24" t="s">
        <v>353</v>
      </c>
      <c r="C302" s="24" t="s">
        <v>354</v>
      </c>
      <c r="D302" s="24" t="s">
        <v>355</v>
      </c>
      <c r="E302" s="24" t="s">
        <v>356</v>
      </c>
      <c r="F302" s="24" t="s">
        <v>357</v>
      </c>
      <c r="G302" s="24" t="s">
        <v>358</v>
      </c>
      <c r="H302" s="1"/>
      <c r="I302" s="1"/>
      <c r="J302" s="29" t="s">
        <v>359</v>
      </c>
      <c r="K302" s="105">
        <v>1.8566</v>
      </c>
      <c r="L302" s="29">
        <v>0.56794829999999996</v>
      </c>
      <c r="M302" s="29" t="s">
        <v>352</v>
      </c>
      <c r="N302" s="1"/>
      <c r="O302" s="2" t="s">
        <v>339</v>
      </c>
      <c r="P302" s="2" t="s">
        <v>340</v>
      </c>
      <c r="Q302" s="2" t="s">
        <v>329</v>
      </c>
      <c r="R302" s="73"/>
    </row>
    <row r="303" spans="1:18">
      <c r="A303" s="32"/>
      <c r="B303" s="2" t="s">
        <v>328</v>
      </c>
      <c r="C303" s="2" t="s">
        <v>31</v>
      </c>
      <c r="D303">
        <v>3.4059540901544964E-3</v>
      </c>
      <c r="E303">
        <v>5.9002885297456953E-3</v>
      </c>
      <c r="F303">
        <v>2.3281117210785626E-3</v>
      </c>
      <c r="G303">
        <v>3.204801765080019E-3</v>
      </c>
      <c r="H303" s="1"/>
      <c r="I303" s="1"/>
      <c r="J303" s="29" t="s">
        <v>366</v>
      </c>
      <c r="K303" s="105">
        <v>7.4999999999999997E-3</v>
      </c>
      <c r="L303" s="29">
        <v>0.89999470000000004</v>
      </c>
      <c r="M303" s="29" t="s">
        <v>352</v>
      </c>
      <c r="N303" s="1"/>
      <c r="O303" s="2" t="s">
        <v>345</v>
      </c>
      <c r="P303" s="2" t="s">
        <v>346</v>
      </c>
      <c r="Q303" s="2" t="s">
        <v>329</v>
      </c>
      <c r="R303" s="73"/>
    </row>
    <row r="304" spans="1:18">
      <c r="A304" s="32"/>
      <c r="B304" s="2" t="s">
        <v>332</v>
      </c>
      <c r="C304" s="2" t="s">
        <v>333</v>
      </c>
      <c r="D304">
        <v>3.262747456692949E-3</v>
      </c>
      <c r="E304">
        <v>3.6600191047828313E-3</v>
      </c>
      <c r="F304">
        <v>6.1396428615594634E-3</v>
      </c>
      <c r="G304">
        <v>6.1080032047374638E-3</v>
      </c>
      <c r="H304" s="1"/>
      <c r="I304" s="1"/>
      <c r="J304" s="29" t="s">
        <v>372</v>
      </c>
      <c r="K304" s="105">
        <v>1.7917000000000001</v>
      </c>
      <c r="L304" s="29">
        <v>0.59241350000000004</v>
      </c>
      <c r="M304" s="29" t="s">
        <v>352</v>
      </c>
      <c r="N304" s="1"/>
      <c r="O304" s="1"/>
      <c r="P304" s="1"/>
      <c r="Q304" s="1"/>
      <c r="R304" s="73"/>
    </row>
    <row r="305" spans="1:18">
      <c r="A305" s="32"/>
      <c r="B305" s="2" t="s">
        <v>339</v>
      </c>
      <c r="C305" s="2" t="s">
        <v>340</v>
      </c>
      <c r="D305">
        <v>3.6432138941217343E-3</v>
      </c>
      <c r="E305">
        <v>9.0612532415053071E-3</v>
      </c>
      <c r="F305">
        <v>1.908238704556722E-3</v>
      </c>
      <c r="G305">
        <v>4.0570250025916558E-3</v>
      </c>
      <c r="H305" s="1"/>
      <c r="I305" s="1"/>
      <c r="J305" s="29" t="s">
        <v>378</v>
      </c>
      <c r="K305" s="105">
        <v>1.7991999999999999</v>
      </c>
      <c r="L305" s="29">
        <v>0.58958489999999997</v>
      </c>
      <c r="M305" s="29" t="s">
        <v>352</v>
      </c>
      <c r="N305" s="1"/>
      <c r="O305" s="1"/>
      <c r="P305" s="1"/>
      <c r="Q305" s="1"/>
      <c r="R305" s="73"/>
    </row>
    <row r="306" spans="1:18">
      <c r="A306" s="32"/>
      <c r="B306" s="2" t="s">
        <v>345</v>
      </c>
      <c r="C306" s="2" t="s">
        <v>346</v>
      </c>
      <c r="D306">
        <v>1.5818802375125859E-3</v>
      </c>
      <c r="E306">
        <v>1.2818156958847378E-3</v>
      </c>
      <c r="F306">
        <v>0.13461033772006339</v>
      </c>
      <c r="G306">
        <v>1.2476919326897657E-3</v>
      </c>
      <c r="H306" s="1"/>
      <c r="I306" s="1"/>
      <c r="J306" s="1"/>
      <c r="K306" s="100"/>
      <c r="L306" s="63"/>
      <c r="M306" s="1"/>
      <c r="N306" s="1"/>
      <c r="O306" s="1"/>
      <c r="P306" s="1"/>
      <c r="Q306" s="1"/>
      <c r="R306" s="73"/>
    </row>
    <row r="307" spans="1:18">
      <c r="A307" s="32"/>
      <c r="B307" s="1"/>
      <c r="C307" s="1"/>
      <c r="D307" s="1"/>
      <c r="E307" s="1"/>
      <c r="F307" s="1"/>
      <c r="G307" s="1"/>
      <c r="H307" s="1"/>
      <c r="I307" s="1"/>
      <c r="J307" s="1"/>
      <c r="K307" s="100"/>
      <c r="L307" s="1"/>
      <c r="M307" s="1"/>
      <c r="N307" s="1"/>
      <c r="O307" s="1"/>
      <c r="P307" s="1"/>
      <c r="Q307" s="1"/>
      <c r="R307" s="73"/>
    </row>
    <row r="308" spans="1:18" ht="15" thickBot="1">
      <c r="A308" s="32"/>
      <c r="B308" s="1"/>
      <c r="C308" s="1"/>
      <c r="D308" s="1"/>
      <c r="E308" s="1"/>
      <c r="F308" s="1"/>
      <c r="G308" s="1"/>
      <c r="H308" s="1"/>
      <c r="I308" s="1"/>
      <c r="J308" s="1"/>
      <c r="K308" s="100"/>
      <c r="L308" s="63"/>
      <c r="M308" s="1"/>
      <c r="N308" s="1"/>
      <c r="O308" s="1"/>
      <c r="P308" s="1"/>
      <c r="Q308" s="1"/>
      <c r="R308" s="73"/>
    </row>
    <row r="309" spans="1:18">
      <c r="A309" s="32"/>
      <c r="B309" s="24" t="s">
        <v>325</v>
      </c>
      <c r="C309" s="24" t="s">
        <v>385</v>
      </c>
      <c r="D309" s="127" t="s">
        <v>348</v>
      </c>
      <c r="E309" s="127"/>
      <c r="F309" s="127"/>
      <c r="G309" s="128"/>
      <c r="H309" s="1"/>
      <c r="I309" s="1"/>
      <c r="J309" s="50" t="s">
        <v>330</v>
      </c>
      <c r="K309" s="101" t="s">
        <v>331</v>
      </c>
      <c r="L309" s="51" t="s">
        <v>331</v>
      </c>
      <c r="M309" s="52" t="s">
        <v>331</v>
      </c>
      <c r="N309" s="1"/>
      <c r="O309" s="1"/>
      <c r="P309" s="1"/>
      <c r="Q309" s="1"/>
      <c r="R309" s="73"/>
    </row>
    <row r="310" spans="1:18" ht="15" thickBot="1">
      <c r="A310" s="32"/>
      <c r="B310" s="24" t="s">
        <v>353</v>
      </c>
      <c r="C310" s="24" t="s">
        <v>354</v>
      </c>
      <c r="D310" s="24" t="s">
        <v>355</v>
      </c>
      <c r="E310" s="24" t="s">
        <v>356</v>
      </c>
      <c r="F310" s="24" t="s">
        <v>357</v>
      </c>
      <c r="G310" s="106" t="s">
        <v>358</v>
      </c>
      <c r="H310" s="18"/>
      <c r="I310" s="1"/>
      <c r="J310" s="53" t="s">
        <v>335</v>
      </c>
      <c r="K310" s="102" t="s">
        <v>336</v>
      </c>
      <c r="L310" s="54" t="s">
        <v>337</v>
      </c>
      <c r="M310" s="55" t="s">
        <v>338</v>
      </c>
      <c r="N310" s="1"/>
      <c r="O310" s="2" t="s">
        <v>325</v>
      </c>
      <c r="P310" s="2" t="s">
        <v>326</v>
      </c>
      <c r="Q310" s="2" t="s">
        <v>327</v>
      </c>
      <c r="R310" s="73"/>
    </row>
    <row r="311" spans="1:18">
      <c r="A311" s="32"/>
      <c r="B311" s="2" t="s">
        <v>328</v>
      </c>
      <c r="C311" s="2" t="s">
        <v>387</v>
      </c>
      <c r="D311">
        <v>8.2834412300481757E-3</v>
      </c>
      <c r="E311">
        <v>3.993997398678914E-2</v>
      </c>
      <c r="F311">
        <v>1.869710631138953E-2</v>
      </c>
      <c r="G311">
        <v>6.484687063637716E-3</v>
      </c>
      <c r="H311" s="1"/>
      <c r="I311" s="1"/>
      <c r="J311" s="70" t="s">
        <v>341</v>
      </c>
      <c r="K311" s="110">
        <v>4.9992999999999999</v>
      </c>
      <c r="L311" s="70">
        <v>1.5754799999999999E-2</v>
      </c>
      <c r="M311" s="70" t="s">
        <v>428</v>
      </c>
      <c r="N311" s="1"/>
      <c r="O311" s="2" t="s">
        <v>328</v>
      </c>
      <c r="P311" s="2" t="s">
        <v>387</v>
      </c>
      <c r="Q311" s="2" t="s">
        <v>329</v>
      </c>
      <c r="R311" s="73"/>
    </row>
    <row r="312" spans="1:18">
      <c r="A312" s="32"/>
      <c r="B312" s="2" t="s">
        <v>332</v>
      </c>
      <c r="C312" s="2" t="s">
        <v>393</v>
      </c>
      <c r="D312">
        <v>0.12947547285417016</v>
      </c>
      <c r="E312">
        <v>0.10000410340479977</v>
      </c>
      <c r="F312">
        <v>4.2062781041569401E-2</v>
      </c>
      <c r="G312">
        <v>0.2058473032957176</v>
      </c>
      <c r="H312" s="1"/>
      <c r="I312" s="1"/>
      <c r="J312" s="29" t="s">
        <v>349</v>
      </c>
      <c r="K312" s="105">
        <v>0.38350000000000001</v>
      </c>
      <c r="L312" s="29">
        <v>0.89999470000000004</v>
      </c>
      <c r="M312" s="29" t="s">
        <v>352</v>
      </c>
      <c r="N312" s="1"/>
      <c r="O312" s="2" t="s">
        <v>332</v>
      </c>
      <c r="P312" s="2" t="s">
        <v>393</v>
      </c>
      <c r="Q312" s="2" t="s">
        <v>334</v>
      </c>
      <c r="R312" s="73"/>
    </row>
    <row r="313" spans="1:18">
      <c r="A313" s="32"/>
      <c r="B313" s="2" t="s">
        <v>339</v>
      </c>
      <c r="C313" s="2" t="s">
        <v>399</v>
      </c>
      <c r="D313">
        <v>7.3888188738569028E-3</v>
      </c>
      <c r="E313">
        <v>1.220572289964268E-2</v>
      </c>
      <c r="F313">
        <v>7.0405649871066681E-3</v>
      </c>
      <c r="G313">
        <v>1.5778698379145858E-2</v>
      </c>
      <c r="H313" s="1"/>
      <c r="I313" s="1"/>
      <c r="J313" s="66" t="s">
        <v>366</v>
      </c>
      <c r="K313" s="104">
        <v>5.3827999999999996</v>
      </c>
      <c r="L313" s="67">
        <v>1.0452100000000001E-2</v>
      </c>
      <c r="M313" s="66" t="s">
        <v>428</v>
      </c>
      <c r="N313" s="1"/>
      <c r="O313" s="2" t="s">
        <v>339</v>
      </c>
      <c r="P313" s="2" t="s">
        <v>399</v>
      </c>
      <c r="Q313" s="2" t="s">
        <v>329</v>
      </c>
      <c r="R313" s="73"/>
    </row>
    <row r="314" spans="1:18">
      <c r="A314" s="32"/>
      <c r="B314" s="1"/>
      <c r="C314" s="1"/>
      <c r="D314" s="1"/>
      <c r="E314" s="1"/>
      <c r="F314" s="1"/>
      <c r="G314" s="1"/>
      <c r="H314" s="1"/>
      <c r="I314" s="1"/>
      <c r="J314" s="1"/>
      <c r="K314" s="100"/>
      <c r="L314" s="63"/>
      <c r="M314" s="1"/>
      <c r="N314" s="1"/>
      <c r="O314" s="1"/>
      <c r="P314" s="1"/>
      <c r="Q314" s="1"/>
      <c r="R314" s="73"/>
    </row>
    <row r="315" spans="1:18">
      <c r="A315" s="32"/>
      <c r="B315" s="1"/>
      <c r="C315" s="1"/>
      <c r="D315" s="1"/>
      <c r="E315" s="1"/>
      <c r="F315" s="1"/>
      <c r="G315" s="1"/>
      <c r="H315" s="1"/>
      <c r="I315" s="1"/>
      <c r="J315" s="1"/>
      <c r="K315" s="100"/>
      <c r="L315" s="63"/>
      <c r="M315" s="1"/>
      <c r="N315" s="1"/>
      <c r="O315" s="1"/>
      <c r="P315" s="1"/>
      <c r="Q315" s="1"/>
      <c r="R315" s="73"/>
    </row>
    <row r="316" spans="1:18">
      <c r="A316" s="32"/>
      <c r="B316" s="1"/>
      <c r="C316" s="1"/>
      <c r="D316" s="1"/>
      <c r="E316" s="1"/>
      <c r="F316" s="1"/>
      <c r="G316" s="1"/>
      <c r="H316" s="1"/>
      <c r="I316" s="1"/>
      <c r="J316" s="1"/>
      <c r="K316" s="100"/>
      <c r="L316" s="1"/>
      <c r="M316" s="1"/>
      <c r="N316" s="1"/>
      <c r="O316" s="1"/>
      <c r="P316" s="1"/>
      <c r="Q316" s="1"/>
      <c r="R316" s="73"/>
    </row>
    <row r="317" spans="1:18" ht="15" thickBot="1">
      <c r="A317" s="32"/>
      <c r="B317" s="24" t="s">
        <v>325</v>
      </c>
      <c r="C317" s="24" t="s">
        <v>408</v>
      </c>
      <c r="D317" s="127" t="s">
        <v>348</v>
      </c>
      <c r="E317" s="127"/>
      <c r="F317" s="127"/>
      <c r="G317" s="127"/>
      <c r="H317" s="1"/>
      <c r="I317" s="1"/>
      <c r="J317" s="1"/>
      <c r="K317" s="100"/>
      <c r="L317" s="1"/>
      <c r="M317" s="1"/>
      <c r="N317" s="1"/>
      <c r="O317" s="1"/>
      <c r="P317" s="1"/>
      <c r="Q317" s="1"/>
      <c r="R317" s="73"/>
    </row>
    <row r="318" spans="1:18">
      <c r="A318" s="32"/>
      <c r="B318" s="24" t="s">
        <v>353</v>
      </c>
      <c r="C318" s="24" t="s">
        <v>354</v>
      </c>
      <c r="D318" s="24" t="s">
        <v>607</v>
      </c>
      <c r="E318" s="24" t="s">
        <v>608</v>
      </c>
      <c r="F318" s="24" t="s">
        <v>609</v>
      </c>
      <c r="G318" s="24" t="s">
        <v>610</v>
      </c>
      <c r="H318" s="1"/>
      <c r="I318" s="1"/>
      <c r="J318" s="50" t="s">
        <v>330</v>
      </c>
      <c r="K318" s="101" t="s">
        <v>331</v>
      </c>
      <c r="L318" s="51" t="s">
        <v>331</v>
      </c>
      <c r="M318" s="52" t="s">
        <v>331</v>
      </c>
      <c r="N318" s="1"/>
      <c r="O318" s="2" t="s">
        <v>325</v>
      </c>
      <c r="P318" s="2" t="s">
        <v>326</v>
      </c>
      <c r="Q318" s="2" t="s">
        <v>327</v>
      </c>
      <c r="R318" s="73"/>
    </row>
    <row r="319" spans="1:18" ht="15" thickBot="1">
      <c r="A319" s="32"/>
      <c r="B319" s="2" t="s">
        <v>328</v>
      </c>
      <c r="C319" s="2" t="s">
        <v>387</v>
      </c>
      <c r="D319">
        <v>9.5779076398585326E-3</v>
      </c>
      <c r="E319">
        <v>1.2147398847255539E-2</v>
      </c>
      <c r="F319">
        <v>3.7849618556182584E-3</v>
      </c>
      <c r="G319">
        <v>4.8072419272937065E-3</v>
      </c>
      <c r="H319" s="1"/>
      <c r="I319" s="1"/>
      <c r="J319" s="53" t="s">
        <v>335</v>
      </c>
      <c r="K319" s="102" t="s">
        <v>336</v>
      </c>
      <c r="L319" s="54" t="s">
        <v>337</v>
      </c>
      <c r="M319" s="55" t="s">
        <v>338</v>
      </c>
      <c r="N319" s="1"/>
      <c r="O319" s="2" t="s">
        <v>328</v>
      </c>
      <c r="P319" s="2" t="s">
        <v>387</v>
      </c>
      <c r="Q319" s="2" t="s">
        <v>329</v>
      </c>
      <c r="R319" s="73"/>
    </row>
    <row r="320" spans="1:18">
      <c r="A320" s="32"/>
      <c r="B320" s="2" t="s">
        <v>332</v>
      </c>
      <c r="C320" s="2" t="s">
        <v>393</v>
      </c>
      <c r="D320">
        <v>8.3661501597601468E-2</v>
      </c>
      <c r="E320">
        <v>0.10980030363296756</v>
      </c>
      <c r="F320">
        <v>5.840304286782716E-2</v>
      </c>
      <c r="G320">
        <v>4.9733392552065367E-2</v>
      </c>
      <c r="H320" s="1"/>
      <c r="I320" s="1"/>
      <c r="J320" s="57" t="s">
        <v>341</v>
      </c>
      <c r="K320" s="103">
        <v>8.5527999999999995</v>
      </c>
      <c r="L320" s="57">
        <v>1.0053E-3</v>
      </c>
      <c r="M320" s="57" t="s">
        <v>344</v>
      </c>
      <c r="N320" s="1"/>
      <c r="O320" s="2" t="s">
        <v>332</v>
      </c>
      <c r="P320" s="2" t="s">
        <v>393</v>
      </c>
      <c r="Q320" s="2" t="s">
        <v>334</v>
      </c>
      <c r="R320" s="73"/>
    </row>
    <row r="321" spans="1:18">
      <c r="A321" s="32"/>
      <c r="B321" s="2" t="s">
        <v>339</v>
      </c>
      <c r="C321" s="2" t="s">
        <v>399</v>
      </c>
      <c r="D321">
        <v>6.6346868071650265E-3</v>
      </c>
      <c r="E321">
        <v>1.7089199891663874E-3</v>
      </c>
      <c r="F321">
        <v>6.5570082162534305E-3</v>
      </c>
      <c r="G321">
        <v>3.5793770882440205E-3</v>
      </c>
      <c r="H321" s="1"/>
      <c r="I321" s="1"/>
      <c r="J321" s="29" t="s">
        <v>349</v>
      </c>
      <c r="K321" s="105">
        <v>0.37319999999999998</v>
      </c>
      <c r="L321" s="29">
        <v>0.89999470000000004</v>
      </c>
      <c r="M321" s="29" t="s">
        <v>352</v>
      </c>
      <c r="N321" s="1"/>
      <c r="O321" s="2" t="s">
        <v>339</v>
      </c>
      <c r="P321" s="2" t="s">
        <v>399</v>
      </c>
      <c r="Q321" s="2" t="s">
        <v>329</v>
      </c>
      <c r="R321" s="73"/>
    </row>
    <row r="322" spans="1:18">
      <c r="A322" s="32"/>
      <c r="B322" s="1"/>
      <c r="C322" s="1"/>
      <c r="D322" s="1"/>
      <c r="E322" s="1"/>
      <c r="F322" s="1"/>
      <c r="G322" s="1"/>
      <c r="H322" s="1"/>
      <c r="I322" s="1"/>
      <c r="J322" s="60" t="s">
        <v>366</v>
      </c>
      <c r="K322" s="108">
        <v>8.9260000000000002</v>
      </c>
      <c r="L322" s="60">
        <v>1.0053E-3</v>
      </c>
      <c r="M322" s="60" t="s">
        <v>344</v>
      </c>
      <c r="N322" s="1"/>
      <c r="O322" s="1"/>
      <c r="P322" s="1"/>
      <c r="Q322" s="1"/>
      <c r="R322" s="73"/>
    </row>
    <row r="323" spans="1:18">
      <c r="A323" s="32"/>
      <c r="B323" s="1"/>
      <c r="C323" s="1"/>
      <c r="D323" s="1"/>
      <c r="E323" s="1"/>
      <c r="F323" s="1"/>
      <c r="G323" s="1"/>
      <c r="H323" s="1"/>
      <c r="I323" s="1"/>
      <c r="J323" s="1"/>
      <c r="K323" s="100"/>
      <c r="L323" s="63"/>
      <c r="M323" s="1"/>
      <c r="N323" s="1"/>
      <c r="O323" s="1"/>
      <c r="P323" s="1"/>
      <c r="Q323" s="1"/>
      <c r="R323" s="73"/>
    </row>
    <row r="324" spans="1:18">
      <c r="A324" s="32"/>
      <c r="B324" s="1"/>
      <c r="C324" s="1"/>
      <c r="D324" s="1"/>
      <c r="E324" s="1"/>
      <c r="F324" s="1"/>
      <c r="G324" s="1"/>
      <c r="H324" s="1"/>
      <c r="I324" s="1"/>
      <c r="J324" s="1"/>
      <c r="K324" s="100"/>
      <c r="L324" s="63"/>
      <c r="M324" s="1"/>
      <c r="N324" s="1"/>
      <c r="O324" s="1"/>
      <c r="P324" s="1"/>
      <c r="Q324" s="1"/>
      <c r="R324" s="73"/>
    </row>
    <row r="325" spans="1:18">
      <c r="A325" s="32"/>
      <c r="B325" s="1"/>
      <c r="C325" s="1"/>
      <c r="D325" s="1"/>
      <c r="E325" s="1"/>
      <c r="F325" s="1"/>
      <c r="G325" s="1"/>
      <c r="H325" s="1"/>
      <c r="I325" s="1"/>
      <c r="J325" s="1"/>
      <c r="K325" s="100"/>
      <c r="L325" s="1"/>
      <c r="M325" s="1"/>
      <c r="N325" s="1"/>
      <c r="O325" s="1"/>
      <c r="P325" s="1"/>
      <c r="Q325" s="1"/>
      <c r="R325" s="73"/>
    </row>
    <row r="326" spans="1:18">
      <c r="A326" s="32"/>
      <c r="B326" s="1"/>
      <c r="C326" s="1"/>
      <c r="D326" s="1"/>
      <c r="E326" s="1"/>
      <c r="F326" s="1"/>
      <c r="G326" s="1"/>
      <c r="H326" s="1"/>
      <c r="I326" s="1"/>
      <c r="J326" s="1"/>
      <c r="K326" s="100"/>
      <c r="L326" s="1"/>
      <c r="M326" s="1"/>
      <c r="N326" s="1"/>
      <c r="O326" s="1"/>
      <c r="P326" s="1"/>
      <c r="Q326" s="1"/>
      <c r="R326" s="73"/>
    </row>
    <row r="327" spans="1:18" ht="15" thickBot="1">
      <c r="A327" s="32"/>
      <c r="B327" s="24" t="s">
        <v>325</v>
      </c>
      <c r="C327" s="24" t="s">
        <v>429</v>
      </c>
      <c r="D327" s="127" t="s">
        <v>348</v>
      </c>
      <c r="E327" s="127"/>
      <c r="F327" s="127"/>
      <c r="G327" s="127"/>
      <c r="H327" s="1"/>
      <c r="I327" s="1"/>
      <c r="J327" s="1"/>
      <c r="K327" s="100"/>
      <c r="L327" s="1"/>
      <c r="M327" s="1"/>
      <c r="N327" s="1"/>
      <c r="O327" s="1"/>
      <c r="P327" s="1"/>
      <c r="Q327" s="1"/>
      <c r="R327" s="73"/>
    </row>
    <row r="328" spans="1:18">
      <c r="A328" s="32"/>
      <c r="B328" s="24" t="s">
        <v>353</v>
      </c>
      <c r="C328" s="24" t="s">
        <v>354</v>
      </c>
      <c r="D328" s="24" t="s">
        <v>355</v>
      </c>
      <c r="E328" s="24" t="s">
        <v>356</v>
      </c>
      <c r="F328" s="24" t="s">
        <v>357</v>
      </c>
      <c r="G328" s="24" t="s">
        <v>358</v>
      </c>
      <c r="H328" s="1"/>
      <c r="I328" s="1"/>
      <c r="J328" s="50" t="s">
        <v>330</v>
      </c>
      <c r="K328" s="101" t="s">
        <v>331</v>
      </c>
      <c r="L328" s="51" t="s">
        <v>331</v>
      </c>
      <c r="M328" s="52" t="s">
        <v>331</v>
      </c>
      <c r="N328" s="1"/>
      <c r="O328" s="2" t="s">
        <v>325</v>
      </c>
      <c r="P328" s="2" t="s">
        <v>326</v>
      </c>
      <c r="Q328" s="2" t="s">
        <v>327</v>
      </c>
      <c r="R328" s="73"/>
    </row>
    <row r="329" spans="1:18" ht="15" thickBot="1">
      <c r="A329" s="32"/>
      <c r="B329" s="2" t="s">
        <v>328</v>
      </c>
      <c r="C329" s="2" t="s">
        <v>387</v>
      </c>
      <c r="D329">
        <v>7.0368888860739637E-2</v>
      </c>
      <c r="E329">
        <v>2.8712919835177798E-2</v>
      </c>
      <c r="F329">
        <v>2.5145520659861753E-2</v>
      </c>
      <c r="G329">
        <v>3.9972144312648415E-2</v>
      </c>
      <c r="H329" s="1"/>
      <c r="I329" s="1"/>
      <c r="J329" s="53" t="s">
        <v>335</v>
      </c>
      <c r="K329" s="102" t="s">
        <v>336</v>
      </c>
      <c r="L329" s="54" t="s">
        <v>337</v>
      </c>
      <c r="M329" s="55" t="s">
        <v>338</v>
      </c>
      <c r="N329" s="1"/>
      <c r="O329" s="2" t="s">
        <v>328</v>
      </c>
      <c r="P329" s="2" t="s">
        <v>387</v>
      </c>
      <c r="Q329" s="2" t="s">
        <v>329</v>
      </c>
      <c r="R329" s="73"/>
    </row>
    <row r="330" spans="1:18">
      <c r="A330" s="32"/>
      <c r="B330" s="2" t="s">
        <v>332</v>
      </c>
      <c r="C330" s="2" t="s">
        <v>393</v>
      </c>
      <c r="D330">
        <v>5.979310599510965E-3</v>
      </c>
      <c r="E330">
        <v>4.9082738621201792E-2</v>
      </c>
      <c r="F330">
        <v>3.4116685825715219E-3</v>
      </c>
      <c r="G330">
        <v>6.3156949081417182E-3</v>
      </c>
      <c r="H330" s="1"/>
      <c r="I330" s="1"/>
      <c r="J330" s="64" t="s">
        <v>341</v>
      </c>
      <c r="K330" s="107">
        <v>2.6987999999999999</v>
      </c>
      <c r="L330" s="64">
        <v>0.1914449</v>
      </c>
      <c r="M330" s="64" t="s">
        <v>352</v>
      </c>
      <c r="N330" s="1"/>
      <c r="O330" s="2" t="s">
        <v>332</v>
      </c>
      <c r="P330" s="2" t="s">
        <v>393</v>
      </c>
      <c r="Q330" s="2" t="s">
        <v>329</v>
      </c>
      <c r="R330" s="73"/>
    </row>
    <row r="331" spans="1:18">
      <c r="A331" s="32"/>
      <c r="B331" s="2" t="s">
        <v>339</v>
      </c>
      <c r="C331" s="2" t="s">
        <v>399</v>
      </c>
      <c r="D331">
        <v>1.0231138931274846E-2</v>
      </c>
      <c r="E331">
        <v>2.9403938999721411E-2</v>
      </c>
      <c r="F331">
        <v>8.5898487842146903E-3</v>
      </c>
      <c r="G331">
        <v>6.2735029249544058E-3</v>
      </c>
      <c r="H331" s="1"/>
      <c r="I331" s="1"/>
      <c r="J331" s="29" t="s">
        <v>349</v>
      </c>
      <c r="K331" s="105">
        <v>2.9782000000000002</v>
      </c>
      <c r="L331" s="29">
        <v>0.14315710000000001</v>
      </c>
      <c r="M331" s="29" t="s">
        <v>352</v>
      </c>
      <c r="N331" s="1"/>
      <c r="O331" s="2" t="s">
        <v>339</v>
      </c>
      <c r="P331" s="2" t="s">
        <v>399</v>
      </c>
      <c r="Q331" s="2" t="s">
        <v>329</v>
      </c>
      <c r="R331" s="73"/>
    </row>
    <row r="332" spans="1:18">
      <c r="A332" s="32"/>
      <c r="B332" s="1"/>
      <c r="C332" s="1"/>
      <c r="D332" s="1"/>
      <c r="E332" s="1"/>
      <c r="F332" s="1"/>
      <c r="G332" s="1"/>
      <c r="H332" s="1"/>
      <c r="I332" s="1"/>
      <c r="J332" s="29" t="s">
        <v>366</v>
      </c>
      <c r="K332" s="105">
        <v>0.27939999999999998</v>
      </c>
      <c r="L332" s="59">
        <v>0.89999470000000004</v>
      </c>
      <c r="M332" s="29" t="s">
        <v>352</v>
      </c>
      <c r="N332" s="1"/>
      <c r="O332" s="1"/>
      <c r="P332" s="1"/>
      <c r="Q332" s="1"/>
      <c r="R332" s="73"/>
    </row>
    <row r="333" spans="1:18">
      <c r="A333" s="32"/>
      <c r="B333" s="1"/>
      <c r="C333" s="1"/>
      <c r="D333" s="1"/>
      <c r="E333" s="1"/>
      <c r="F333" s="1"/>
      <c r="G333" s="1"/>
      <c r="H333" s="1"/>
      <c r="I333" s="1"/>
      <c r="J333" s="1"/>
      <c r="K333" s="100"/>
      <c r="L333" s="63"/>
      <c r="M333" s="1"/>
      <c r="N333" s="1"/>
      <c r="O333" s="1"/>
      <c r="P333" s="1"/>
      <c r="Q333" s="1"/>
      <c r="R333" s="73"/>
    </row>
    <row r="334" spans="1:18">
      <c r="A334" s="32"/>
      <c r="B334" s="1"/>
      <c r="C334" s="1"/>
      <c r="D334" s="1"/>
      <c r="E334" s="1"/>
      <c r="F334" s="1"/>
      <c r="G334" s="1"/>
      <c r="H334" s="1"/>
      <c r="I334" s="1"/>
      <c r="J334" s="1"/>
      <c r="K334" s="100"/>
      <c r="L334" s="63"/>
      <c r="M334" s="1"/>
      <c r="N334" s="1"/>
      <c r="O334" s="1"/>
      <c r="P334" s="1"/>
      <c r="Q334" s="1"/>
      <c r="R334" s="73"/>
    </row>
    <row r="335" spans="1:18">
      <c r="A335" s="32"/>
      <c r="B335" s="1"/>
      <c r="C335" s="1"/>
      <c r="D335" s="1"/>
      <c r="E335" s="1"/>
      <c r="F335" s="1"/>
      <c r="G335" s="1"/>
      <c r="H335" s="1"/>
      <c r="I335" s="1"/>
      <c r="J335" s="1"/>
      <c r="K335" s="100"/>
      <c r="L335" s="1"/>
      <c r="M335" s="1"/>
      <c r="N335" s="1"/>
      <c r="O335" s="1"/>
      <c r="P335" s="1"/>
      <c r="Q335" s="1"/>
      <c r="R335" s="73"/>
    </row>
    <row r="336" spans="1:18">
      <c r="A336" s="32"/>
      <c r="B336" s="1"/>
      <c r="C336" s="1"/>
      <c r="D336" s="1"/>
      <c r="E336" s="1"/>
      <c r="F336" s="1"/>
      <c r="G336" s="1"/>
      <c r="H336" s="1"/>
      <c r="I336" s="1"/>
      <c r="J336" s="1"/>
      <c r="K336" s="100"/>
      <c r="L336" s="1"/>
      <c r="M336" s="1"/>
      <c r="N336" s="1"/>
      <c r="O336" s="1"/>
      <c r="P336" s="1"/>
      <c r="Q336" s="1"/>
      <c r="R336" s="73"/>
    </row>
    <row r="337" spans="1:18" ht="15" thickBot="1">
      <c r="A337" s="32"/>
      <c r="B337" s="24" t="s">
        <v>325</v>
      </c>
      <c r="C337" s="24" t="s">
        <v>446</v>
      </c>
      <c r="D337" s="127" t="s">
        <v>348</v>
      </c>
      <c r="E337" s="127"/>
      <c r="F337" s="127"/>
      <c r="G337" s="127"/>
      <c r="H337" s="1"/>
      <c r="I337" s="1"/>
      <c r="J337" s="1"/>
      <c r="K337" s="100"/>
      <c r="L337" s="1"/>
      <c r="M337" s="1"/>
      <c r="N337" s="1"/>
      <c r="O337" s="1"/>
      <c r="P337" s="1"/>
      <c r="Q337" s="1"/>
      <c r="R337" s="73"/>
    </row>
    <row r="338" spans="1:18">
      <c r="A338" s="32"/>
      <c r="B338" s="24" t="s">
        <v>353</v>
      </c>
      <c r="C338" s="24" t="s">
        <v>354</v>
      </c>
      <c r="D338" s="24" t="s">
        <v>355</v>
      </c>
      <c r="E338" s="24" t="s">
        <v>356</v>
      </c>
      <c r="F338" s="24" t="s">
        <v>357</v>
      </c>
      <c r="G338" s="24" t="s">
        <v>358</v>
      </c>
      <c r="H338" s="1"/>
      <c r="I338" s="1"/>
      <c r="J338" s="50" t="s">
        <v>330</v>
      </c>
      <c r="K338" s="101" t="s">
        <v>331</v>
      </c>
      <c r="L338" s="51" t="s">
        <v>331</v>
      </c>
      <c r="M338" s="52" t="s">
        <v>331</v>
      </c>
      <c r="N338" s="1"/>
      <c r="O338" s="2" t="s">
        <v>325</v>
      </c>
      <c r="P338" s="2" t="s">
        <v>326</v>
      </c>
      <c r="Q338" s="2" t="s">
        <v>327</v>
      </c>
      <c r="R338" s="73"/>
    </row>
    <row r="339" spans="1:18" ht="15" thickBot="1">
      <c r="A339" s="32"/>
      <c r="B339" s="2" t="s">
        <v>328</v>
      </c>
      <c r="C339" s="2" t="s">
        <v>387</v>
      </c>
      <c r="D339">
        <v>1.7667577793600878E-3</v>
      </c>
      <c r="E339">
        <v>7.4559388516315227E-3</v>
      </c>
      <c r="F339">
        <v>4.642675654974544E-3</v>
      </c>
      <c r="G339">
        <v>1.5157672136824138E-2</v>
      </c>
      <c r="H339" s="1"/>
      <c r="I339" s="1"/>
      <c r="J339" s="53" t="s">
        <v>335</v>
      </c>
      <c r="K339" s="102" t="s">
        <v>336</v>
      </c>
      <c r="L339" s="54" t="s">
        <v>337</v>
      </c>
      <c r="M339" s="55" t="s">
        <v>338</v>
      </c>
      <c r="N339" s="1"/>
      <c r="O339" s="2" t="s">
        <v>328</v>
      </c>
      <c r="P339" s="2" t="s">
        <v>387</v>
      </c>
      <c r="Q339" s="2" t="s">
        <v>329</v>
      </c>
      <c r="R339" s="73"/>
    </row>
    <row r="340" spans="1:18">
      <c r="A340" s="32"/>
      <c r="B340" s="2" t="s">
        <v>332</v>
      </c>
      <c r="C340" s="2" t="s">
        <v>393</v>
      </c>
      <c r="D340">
        <v>2.5881473806354336E-2</v>
      </c>
      <c r="E340">
        <v>5.9550124358341153E-3</v>
      </c>
      <c r="F340">
        <v>1.5445105473943278E-2</v>
      </c>
      <c r="G340">
        <v>1.2653134721983808E-2</v>
      </c>
      <c r="H340" s="1"/>
      <c r="I340" s="1"/>
      <c r="J340" s="64" t="s">
        <v>341</v>
      </c>
      <c r="K340" s="107">
        <v>2.6107</v>
      </c>
      <c r="L340" s="64">
        <v>0.20940710000000001</v>
      </c>
      <c r="M340" s="64" t="s">
        <v>352</v>
      </c>
      <c r="N340" s="1"/>
      <c r="O340" s="2" t="s">
        <v>332</v>
      </c>
      <c r="P340" s="2" t="s">
        <v>393</v>
      </c>
      <c r="Q340" s="2" t="s">
        <v>329</v>
      </c>
      <c r="R340" s="73"/>
    </row>
    <row r="341" spans="1:18">
      <c r="A341" s="32"/>
      <c r="B341" s="2" t="s">
        <v>339</v>
      </c>
      <c r="C341" s="2" t="s">
        <v>399</v>
      </c>
      <c r="D341">
        <v>2.611254273928971E-3</v>
      </c>
      <c r="E341">
        <v>2.7300026317400349E-3</v>
      </c>
      <c r="F341">
        <v>4.1090618162842856E-3</v>
      </c>
      <c r="G341">
        <v>6.554841362948329E-3</v>
      </c>
      <c r="H341" s="1"/>
      <c r="I341" s="1"/>
      <c r="J341" s="29" t="s">
        <v>349</v>
      </c>
      <c r="K341" s="105">
        <v>1.0993999999999999</v>
      </c>
      <c r="L341" s="29">
        <v>0.7149858</v>
      </c>
      <c r="M341" s="29" t="s">
        <v>352</v>
      </c>
      <c r="N341" s="1"/>
      <c r="O341" s="2" t="s">
        <v>339</v>
      </c>
      <c r="P341" s="2" t="s">
        <v>399</v>
      </c>
      <c r="Q341" s="2" t="s">
        <v>329</v>
      </c>
      <c r="R341" s="73"/>
    </row>
    <row r="342" spans="1:18" ht="15" thickBot="1">
      <c r="A342" s="33"/>
      <c r="B342" s="75"/>
      <c r="C342" s="75"/>
      <c r="D342" s="75"/>
      <c r="E342" s="75"/>
      <c r="F342" s="75"/>
      <c r="G342" s="75"/>
      <c r="H342" s="75"/>
      <c r="I342" s="75"/>
      <c r="J342" s="94" t="s">
        <v>366</v>
      </c>
      <c r="K342" s="125">
        <v>3.7101000000000002</v>
      </c>
      <c r="L342" s="94">
        <v>6.4796999999999993E-2</v>
      </c>
      <c r="M342" s="94" t="s">
        <v>352</v>
      </c>
      <c r="N342" s="75"/>
      <c r="O342" s="75"/>
      <c r="P342" s="75"/>
      <c r="Q342" s="75"/>
      <c r="R342" s="76"/>
    </row>
    <row r="343" spans="1:18" ht="15">
      <c r="K343" s="113"/>
    </row>
    <row r="344" spans="1:18" ht="15">
      <c r="A344" s="139" t="s">
        <v>757</v>
      </c>
      <c r="B344" s="140" t="s">
        <v>757</v>
      </c>
      <c r="C344" s="140" t="s">
        <v>757</v>
      </c>
      <c r="D344" s="140" t="s">
        <v>757</v>
      </c>
      <c r="E344" s="140" t="s">
        <v>757</v>
      </c>
      <c r="F344" s="140" t="s">
        <v>757</v>
      </c>
      <c r="G344" s="140" t="s">
        <v>757</v>
      </c>
      <c r="H344" s="140" t="s">
        <v>757</v>
      </c>
      <c r="I344" s="140" t="s">
        <v>757</v>
      </c>
      <c r="J344" s="141" t="s">
        <v>330</v>
      </c>
      <c r="K344" s="177" t="s">
        <v>758</v>
      </c>
      <c r="L344" s="142" t="s">
        <v>331</v>
      </c>
      <c r="M344" s="143" t="s">
        <v>331</v>
      </c>
      <c r="N344" s="140" t="s">
        <v>757</v>
      </c>
      <c r="O344" s="140" t="s">
        <v>757</v>
      </c>
      <c r="P344" s="140" t="s">
        <v>757</v>
      </c>
      <c r="Q344" s="140" t="s">
        <v>757</v>
      </c>
      <c r="R344" s="144" t="s">
        <v>757</v>
      </c>
    </row>
    <row r="345" spans="1:18" ht="15">
      <c r="A345" s="145" t="s">
        <v>757</v>
      </c>
      <c r="B345" s="146" t="s">
        <v>757</v>
      </c>
      <c r="C345" s="146" t="s">
        <v>757</v>
      </c>
      <c r="D345" s="146" t="s">
        <v>757</v>
      </c>
      <c r="E345" s="146" t="s">
        <v>757</v>
      </c>
      <c r="F345" s="146" t="s">
        <v>757</v>
      </c>
      <c r="G345" s="146" t="s">
        <v>757</v>
      </c>
      <c r="H345" s="146" t="s">
        <v>757</v>
      </c>
      <c r="I345" s="146" t="s">
        <v>757</v>
      </c>
      <c r="J345" s="147" t="s">
        <v>335</v>
      </c>
      <c r="K345" s="178" t="s">
        <v>759</v>
      </c>
      <c r="L345" s="148" t="s">
        <v>337</v>
      </c>
      <c r="M345" s="149" t="s">
        <v>338</v>
      </c>
      <c r="N345" s="146" t="s">
        <v>757</v>
      </c>
      <c r="O345" s="150" t="s">
        <v>325</v>
      </c>
      <c r="P345" s="151" t="s">
        <v>326</v>
      </c>
      <c r="Q345" s="151" t="s">
        <v>327</v>
      </c>
      <c r="R345" s="152" t="s">
        <v>757</v>
      </c>
    </row>
    <row r="346" spans="1:18" ht="30.75">
      <c r="A346" s="145" t="s">
        <v>757</v>
      </c>
      <c r="B346" s="153" t="s">
        <v>40</v>
      </c>
      <c r="C346" s="146" t="s">
        <v>757</v>
      </c>
      <c r="D346" s="146" t="s">
        <v>757</v>
      </c>
      <c r="E346" s="146" t="s">
        <v>757</v>
      </c>
      <c r="F346" s="146" t="s">
        <v>757</v>
      </c>
      <c r="G346" s="146" t="s">
        <v>757</v>
      </c>
      <c r="H346" s="146" t="s">
        <v>757</v>
      </c>
      <c r="I346" s="146" t="s">
        <v>757</v>
      </c>
      <c r="J346" s="154" t="s">
        <v>341</v>
      </c>
      <c r="K346" s="179" t="s">
        <v>760</v>
      </c>
      <c r="L346" s="155" t="s">
        <v>761</v>
      </c>
      <c r="M346" s="155" t="s">
        <v>428</v>
      </c>
      <c r="N346" s="146" t="s">
        <v>757</v>
      </c>
      <c r="O346" s="136" t="s">
        <v>328</v>
      </c>
      <c r="P346" s="156" t="s">
        <v>31</v>
      </c>
      <c r="Q346" s="157" t="s">
        <v>329</v>
      </c>
      <c r="R346" s="152" t="s">
        <v>757</v>
      </c>
    </row>
    <row r="347" spans="1:18" ht="14.45" customHeight="1">
      <c r="A347" s="145" t="s">
        <v>757</v>
      </c>
      <c r="B347" s="158" t="s">
        <v>325</v>
      </c>
      <c r="C347" s="159" t="s">
        <v>347</v>
      </c>
      <c r="D347" s="160" t="s">
        <v>348</v>
      </c>
      <c r="E347" s="160"/>
      <c r="F347" s="160"/>
      <c r="G347" s="161"/>
      <c r="H347" s="146" t="s">
        <v>757</v>
      </c>
      <c r="I347" s="146" t="s">
        <v>757</v>
      </c>
      <c r="J347" s="162" t="s">
        <v>349</v>
      </c>
      <c r="K347" s="180" t="s">
        <v>762</v>
      </c>
      <c r="L347" s="163" t="s">
        <v>763</v>
      </c>
      <c r="M347" s="163" t="s">
        <v>352</v>
      </c>
      <c r="N347" s="146" t="s">
        <v>757</v>
      </c>
      <c r="O347" s="136" t="s">
        <v>332</v>
      </c>
      <c r="P347" s="156" t="s">
        <v>333</v>
      </c>
      <c r="Q347" s="157" t="s">
        <v>334</v>
      </c>
      <c r="R347" s="152" t="s">
        <v>757</v>
      </c>
    </row>
    <row r="348" spans="1:18" ht="30.75">
      <c r="A348" s="145" t="s">
        <v>757</v>
      </c>
      <c r="B348" s="164" t="s">
        <v>353</v>
      </c>
      <c r="C348" s="165" t="s">
        <v>354</v>
      </c>
      <c r="D348" s="165" t="s">
        <v>355</v>
      </c>
      <c r="E348" s="165" t="s">
        <v>356</v>
      </c>
      <c r="F348" s="165" t="s">
        <v>357</v>
      </c>
      <c r="G348" s="165" t="s">
        <v>358</v>
      </c>
      <c r="H348" s="146" t="s">
        <v>757</v>
      </c>
      <c r="I348" s="146" t="s">
        <v>757</v>
      </c>
      <c r="J348" s="162" t="s">
        <v>359</v>
      </c>
      <c r="K348" s="180" t="s">
        <v>764</v>
      </c>
      <c r="L348" s="163" t="s">
        <v>380</v>
      </c>
      <c r="M348" s="163" t="s">
        <v>352</v>
      </c>
      <c r="N348" s="146" t="s">
        <v>757</v>
      </c>
      <c r="O348" s="136" t="s">
        <v>339</v>
      </c>
      <c r="P348" s="156" t="s">
        <v>340</v>
      </c>
      <c r="Q348" s="157" t="s">
        <v>413</v>
      </c>
      <c r="R348" s="152" t="s">
        <v>757</v>
      </c>
    </row>
    <row r="349" spans="1:18" ht="30.75">
      <c r="A349" s="145" t="s">
        <v>757</v>
      </c>
      <c r="B349" s="166" t="s">
        <v>328</v>
      </c>
      <c r="C349" s="157" t="s">
        <v>31</v>
      </c>
      <c r="D349" s="133" t="s">
        <v>765</v>
      </c>
      <c r="E349" s="133" t="s">
        <v>766</v>
      </c>
      <c r="F349" s="133" t="s">
        <v>767</v>
      </c>
      <c r="G349" s="133" t="s">
        <v>768</v>
      </c>
      <c r="H349" s="146" t="s">
        <v>757</v>
      </c>
      <c r="I349" s="146" t="s">
        <v>757</v>
      </c>
      <c r="J349" s="162" t="s">
        <v>366</v>
      </c>
      <c r="K349" s="180" t="s">
        <v>769</v>
      </c>
      <c r="L349" s="163" t="s">
        <v>770</v>
      </c>
      <c r="M349" s="163" t="s">
        <v>352</v>
      </c>
      <c r="N349" s="146" t="s">
        <v>757</v>
      </c>
      <c r="O349" s="136" t="s">
        <v>345</v>
      </c>
      <c r="P349" s="156" t="s">
        <v>346</v>
      </c>
      <c r="Q349" s="157" t="s">
        <v>413</v>
      </c>
      <c r="R349" s="152" t="s">
        <v>757</v>
      </c>
    </row>
    <row r="350" spans="1:18" ht="30.75">
      <c r="A350" s="145" t="s">
        <v>757</v>
      </c>
      <c r="B350" s="166" t="s">
        <v>332</v>
      </c>
      <c r="C350" s="157" t="s">
        <v>333</v>
      </c>
      <c r="D350" s="133" t="s">
        <v>771</v>
      </c>
      <c r="E350" s="133" t="s">
        <v>772</v>
      </c>
      <c r="F350" s="133" t="s">
        <v>773</v>
      </c>
      <c r="G350" s="133" t="s">
        <v>774</v>
      </c>
      <c r="H350" s="146" t="s">
        <v>757</v>
      </c>
      <c r="I350" s="146" t="s">
        <v>757</v>
      </c>
      <c r="J350" s="162" t="s">
        <v>372</v>
      </c>
      <c r="K350" s="180" t="s">
        <v>775</v>
      </c>
      <c r="L350" s="163" t="s">
        <v>776</v>
      </c>
      <c r="M350" s="163" t="s">
        <v>352</v>
      </c>
      <c r="N350" s="146" t="s">
        <v>757</v>
      </c>
      <c r="O350" s="146" t="s">
        <v>757</v>
      </c>
      <c r="P350" s="146" t="s">
        <v>757</v>
      </c>
      <c r="Q350" s="146" t="s">
        <v>757</v>
      </c>
      <c r="R350" s="152" t="s">
        <v>757</v>
      </c>
    </row>
    <row r="351" spans="1:18" ht="30.75">
      <c r="A351" s="145" t="s">
        <v>757</v>
      </c>
      <c r="B351" s="166" t="s">
        <v>339</v>
      </c>
      <c r="C351" s="157" t="s">
        <v>340</v>
      </c>
      <c r="D351" s="133" t="s">
        <v>777</v>
      </c>
      <c r="E351" s="133" t="s">
        <v>778</v>
      </c>
      <c r="F351" s="133" t="s">
        <v>779</v>
      </c>
      <c r="G351" s="133" t="s">
        <v>780</v>
      </c>
      <c r="H351" s="146" t="s">
        <v>757</v>
      </c>
      <c r="I351" s="146" t="s">
        <v>757</v>
      </c>
      <c r="J351" s="162" t="s">
        <v>378</v>
      </c>
      <c r="K351" s="180" t="s">
        <v>781</v>
      </c>
      <c r="L351" s="163" t="s">
        <v>782</v>
      </c>
      <c r="M351" s="163" t="s">
        <v>352</v>
      </c>
      <c r="N351" s="146" t="s">
        <v>757</v>
      </c>
      <c r="O351" s="146" t="s">
        <v>757</v>
      </c>
      <c r="P351" s="146" t="s">
        <v>757</v>
      </c>
      <c r="Q351" s="146" t="s">
        <v>757</v>
      </c>
      <c r="R351" s="152" t="s">
        <v>757</v>
      </c>
    </row>
    <row r="352" spans="1:18" ht="15">
      <c r="A352" s="145" t="s">
        <v>757</v>
      </c>
      <c r="B352" s="166" t="s">
        <v>345</v>
      </c>
      <c r="C352" s="157" t="s">
        <v>346</v>
      </c>
      <c r="D352" s="133" t="s">
        <v>783</v>
      </c>
      <c r="E352" s="133" t="s">
        <v>784</v>
      </c>
      <c r="F352" s="133" t="s">
        <v>785</v>
      </c>
      <c r="G352" s="133" t="s">
        <v>786</v>
      </c>
      <c r="H352" s="146" t="s">
        <v>757</v>
      </c>
      <c r="I352" s="146" t="s">
        <v>757</v>
      </c>
      <c r="J352" s="146" t="s">
        <v>757</v>
      </c>
      <c r="K352" s="181" t="s">
        <v>757</v>
      </c>
      <c r="L352" s="146" t="s">
        <v>757</v>
      </c>
      <c r="M352" s="146" t="s">
        <v>757</v>
      </c>
      <c r="N352" s="146" t="s">
        <v>757</v>
      </c>
      <c r="O352" s="146" t="s">
        <v>757</v>
      </c>
      <c r="P352" s="146" t="s">
        <v>757</v>
      </c>
      <c r="Q352" s="146" t="s">
        <v>757</v>
      </c>
      <c r="R352" s="152" t="s">
        <v>757</v>
      </c>
    </row>
    <row r="353" spans="1:18" ht="15">
      <c r="A353" s="145" t="s">
        <v>757</v>
      </c>
      <c r="B353" s="146" t="s">
        <v>757</v>
      </c>
      <c r="C353" s="146" t="s">
        <v>757</v>
      </c>
      <c r="D353" s="146" t="s">
        <v>757</v>
      </c>
      <c r="E353" s="146" t="s">
        <v>757</v>
      </c>
      <c r="F353" s="146" t="s">
        <v>757</v>
      </c>
      <c r="G353" s="146" t="s">
        <v>757</v>
      </c>
      <c r="H353" s="146" t="s">
        <v>757</v>
      </c>
      <c r="I353" s="146" t="s">
        <v>757</v>
      </c>
      <c r="J353" s="146" t="s">
        <v>757</v>
      </c>
      <c r="K353" s="181" t="s">
        <v>757</v>
      </c>
      <c r="L353" s="146" t="s">
        <v>757</v>
      </c>
      <c r="M353" s="146" t="s">
        <v>757</v>
      </c>
      <c r="N353" s="146" t="s">
        <v>757</v>
      </c>
      <c r="O353" s="146" t="s">
        <v>757</v>
      </c>
      <c r="P353" s="146" t="s">
        <v>757</v>
      </c>
      <c r="Q353" s="146" t="s">
        <v>757</v>
      </c>
      <c r="R353" s="152" t="s">
        <v>757</v>
      </c>
    </row>
    <row r="354" spans="1:18" ht="15">
      <c r="A354" s="145" t="s">
        <v>757</v>
      </c>
      <c r="B354" s="146" t="s">
        <v>757</v>
      </c>
      <c r="C354" s="146" t="s">
        <v>757</v>
      </c>
      <c r="D354" s="146" t="s">
        <v>757</v>
      </c>
      <c r="E354" s="146" t="s">
        <v>757</v>
      </c>
      <c r="F354" s="146" t="s">
        <v>757</v>
      </c>
      <c r="G354" s="146" t="s">
        <v>757</v>
      </c>
      <c r="H354" s="146" t="s">
        <v>757</v>
      </c>
      <c r="I354" s="146" t="s">
        <v>757</v>
      </c>
      <c r="J354" s="146" t="s">
        <v>757</v>
      </c>
      <c r="K354" s="181" t="s">
        <v>757</v>
      </c>
      <c r="L354" s="146" t="s">
        <v>757</v>
      </c>
      <c r="M354" s="146" t="s">
        <v>757</v>
      </c>
      <c r="N354" s="146" t="s">
        <v>757</v>
      </c>
      <c r="O354" s="146" t="s">
        <v>757</v>
      </c>
      <c r="P354" s="146" t="s">
        <v>757</v>
      </c>
      <c r="Q354" s="146" t="s">
        <v>757</v>
      </c>
      <c r="R354" s="152" t="s">
        <v>757</v>
      </c>
    </row>
    <row r="355" spans="1:18" ht="14.45" customHeight="1">
      <c r="A355" s="145" t="s">
        <v>757</v>
      </c>
      <c r="B355" s="167" t="s">
        <v>325</v>
      </c>
      <c r="C355" s="159" t="s">
        <v>385</v>
      </c>
      <c r="D355" s="160" t="s">
        <v>348</v>
      </c>
      <c r="E355" s="160"/>
      <c r="F355" s="160"/>
      <c r="G355" s="161"/>
      <c r="H355" s="146" t="s">
        <v>757</v>
      </c>
      <c r="I355" s="146" t="s">
        <v>757</v>
      </c>
      <c r="J355" s="141" t="s">
        <v>330</v>
      </c>
      <c r="K355" s="177" t="s">
        <v>758</v>
      </c>
      <c r="L355" s="142" t="s">
        <v>331</v>
      </c>
      <c r="M355" s="143" t="s">
        <v>331</v>
      </c>
      <c r="N355" s="146" t="s">
        <v>757</v>
      </c>
      <c r="O355" s="146" t="s">
        <v>757</v>
      </c>
      <c r="P355" s="146" t="s">
        <v>757</v>
      </c>
      <c r="Q355" s="146" t="s">
        <v>757</v>
      </c>
      <c r="R355" s="152" t="s">
        <v>757</v>
      </c>
    </row>
    <row r="356" spans="1:18" ht="15">
      <c r="A356" s="145" t="s">
        <v>757</v>
      </c>
      <c r="B356" s="164" t="s">
        <v>353</v>
      </c>
      <c r="C356" s="165" t="s">
        <v>354</v>
      </c>
      <c r="D356" s="165" t="s">
        <v>355</v>
      </c>
      <c r="E356" s="165" t="s">
        <v>356</v>
      </c>
      <c r="F356" s="165" t="s">
        <v>357</v>
      </c>
      <c r="G356" s="168" t="s">
        <v>358</v>
      </c>
      <c r="H356" s="169" t="s">
        <v>757</v>
      </c>
      <c r="I356" s="146" t="s">
        <v>757</v>
      </c>
      <c r="J356" s="147" t="s">
        <v>335</v>
      </c>
      <c r="K356" s="178" t="s">
        <v>759</v>
      </c>
      <c r="L356" s="148" t="s">
        <v>337</v>
      </c>
      <c r="M356" s="149" t="s">
        <v>338</v>
      </c>
      <c r="N356" s="146" t="s">
        <v>757</v>
      </c>
      <c r="O356" s="150" t="s">
        <v>325</v>
      </c>
      <c r="P356" s="151" t="s">
        <v>326</v>
      </c>
      <c r="Q356" s="151" t="s">
        <v>327</v>
      </c>
      <c r="R356" s="152" t="s">
        <v>757</v>
      </c>
    </row>
    <row r="357" spans="1:18" ht="30.75">
      <c r="A357" s="145" t="s">
        <v>757</v>
      </c>
      <c r="B357" s="166" t="s">
        <v>328</v>
      </c>
      <c r="C357" s="157" t="s">
        <v>387</v>
      </c>
      <c r="D357" s="133" t="s">
        <v>787</v>
      </c>
      <c r="E357" s="133" t="s">
        <v>788</v>
      </c>
      <c r="F357" s="133" t="s">
        <v>789</v>
      </c>
      <c r="G357" s="133" t="s">
        <v>790</v>
      </c>
      <c r="H357" s="146" t="s">
        <v>757</v>
      </c>
      <c r="I357" s="146" t="s">
        <v>757</v>
      </c>
      <c r="J357" s="170" t="s">
        <v>341</v>
      </c>
      <c r="K357" s="182" t="s">
        <v>791</v>
      </c>
      <c r="L357" s="171" t="s">
        <v>792</v>
      </c>
      <c r="M357" s="171" t="s">
        <v>344</v>
      </c>
      <c r="N357" s="146" t="s">
        <v>757</v>
      </c>
      <c r="O357" s="136" t="s">
        <v>328</v>
      </c>
      <c r="P357" s="156" t="s">
        <v>387</v>
      </c>
      <c r="Q357" s="156" t="s">
        <v>329</v>
      </c>
      <c r="R357" s="152" t="s">
        <v>757</v>
      </c>
    </row>
    <row r="358" spans="1:18" ht="30.75">
      <c r="A358" s="145" t="s">
        <v>757</v>
      </c>
      <c r="B358" s="166" t="s">
        <v>332</v>
      </c>
      <c r="C358" s="157" t="s">
        <v>393</v>
      </c>
      <c r="D358" s="133" t="s">
        <v>793</v>
      </c>
      <c r="E358" s="133" t="s">
        <v>794</v>
      </c>
      <c r="F358" s="133" t="s">
        <v>795</v>
      </c>
      <c r="G358" s="133" t="s">
        <v>796</v>
      </c>
      <c r="H358" s="146" t="s">
        <v>757</v>
      </c>
      <c r="I358" s="146" t="s">
        <v>757</v>
      </c>
      <c r="J358" s="162" t="s">
        <v>349</v>
      </c>
      <c r="K358" s="180" t="s">
        <v>797</v>
      </c>
      <c r="L358" s="163" t="s">
        <v>798</v>
      </c>
      <c r="M358" s="163" t="s">
        <v>352</v>
      </c>
      <c r="N358" s="146" t="s">
        <v>757</v>
      </c>
      <c r="O358" s="136" t="s">
        <v>332</v>
      </c>
      <c r="P358" s="156" t="s">
        <v>393</v>
      </c>
      <c r="Q358" s="156" t="s">
        <v>334</v>
      </c>
      <c r="R358" s="152" t="s">
        <v>757</v>
      </c>
    </row>
    <row r="359" spans="1:18" ht="30.75">
      <c r="A359" s="145" t="s">
        <v>757</v>
      </c>
      <c r="B359" s="166" t="s">
        <v>339</v>
      </c>
      <c r="C359" s="157" t="s">
        <v>399</v>
      </c>
      <c r="D359" s="133" t="s">
        <v>799</v>
      </c>
      <c r="E359" s="133" t="s">
        <v>800</v>
      </c>
      <c r="F359" s="133" t="s">
        <v>801</v>
      </c>
      <c r="G359" s="133"/>
      <c r="H359" s="146" t="s">
        <v>757</v>
      </c>
      <c r="I359" s="146" t="s">
        <v>757</v>
      </c>
      <c r="J359" s="162" t="s">
        <v>366</v>
      </c>
      <c r="K359" s="180" t="s">
        <v>802</v>
      </c>
      <c r="L359" s="163" t="s">
        <v>803</v>
      </c>
      <c r="M359" s="163" t="s">
        <v>352</v>
      </c>
      <c r="N359" s="146" t="s">
        <v>757</v>
      </c>
      <c r="O359" s="136" t="s">
        <v>339</v>
      </c>
      <c r="P359" s="156" t="s">
        <v>399</v>
      </c>
      <c r="Q359" s="156" t="s">
        <v>413</v>
      </c>
      <c r="R359" s="152" t="s">
        <v>757</v>
      </c>
    </row>
    <row r="360" spans="1:18" ht="15">
      <c r="A360" s="145" t="s">
        <v>757</v>
      </c>
      <c r="B360" s="146" t="s">
        <v>757</v>
      </c>
      <c r="C360" s="146" t="s">
        <v>757</v>
      </c>
      <c r="D360" s="146" t="s">
        <v>757</v>
      </c>
      <c r="E360" s="146" t="s">
        <v>757</v>
      </c>
      <c r="F360" s="146" t="s">
        <v>757</v>
      </c>
      <c r="G360" s="146" t="s">
        <v>757</v>
      </c>
      <c r="H360" s="146" t="s">
        <v>757</v>
      </c>
      <c r="I360" s="146" t="s">
        <v>757</v>
      </c>
      <c r="J360" s="146" t="s">
        <v>757</v>
      </c>
      <c r="K360" s="181" t="s">
        <v>757</v>
      </c>
      <c r="L360" s="146" t="s">
        <v>757</v>
      </c>
      <c r="M360" s="146" t="s">
        <v>757</v>
      </c>
      <c r="N360" s="146" t="s">
        <v>757</v>
      </c>
      <c r="O360" s="146" t="s">
        <v>757</v>
      </c>
      <c r="P360" s="146" t="s">
        <v>757</v>
      </c>
      <c r="Q360" s="146" t="s">
        <v>757</v>
      </c>
      <c r="R360" s="152" t="s">
        <v>757</v>
      </c>
    </row>
    <row r="361" spans="1:18" ht="15">
      <c r="A361" s="145" t="s">
        <v>757</v>
      </c>
      <c r="B361" s="146" t="s">
        <v>757</v>
      </c>
      <c r="C361" s="146" t="s">
        <v>757</v>
      </c>
      <c r="D361" s="146" t="s">
        <v>757</v>
      </c>
      <c r="E361" s="146" t="s">
        <v>757</v>
      </c>
      <c r="F361" s="146" t="s">
        <v>757</v>
      </c>
      <c r="G361" s="146" t="s">
        <v>757</v>
      </c>
      <c r="H361" s="146" t="s">
        <v>757</v>
      </c>
      <c r="I361" s="146" t="s">
        <v>757</v>
      </c>
      <c r="J361" s="146" t="s">
        <v>757</v>
      </c>
      <c r="K361" s="181" t="s">
        <v>757</v>
      </c>
      <c r="L361" s="146" t="s">
        <v>757</v>
      </c>
      <c r="M361" s="146" t="s">
        <v>757</v>
      </c>
      <c r="N361" s="146" t="s">
        <v>757</v>
      </c>
      <c r="O361" s="146" t="s">
        <v>757</v>
      </c>
      <c r="P361" s="146" t="s">
        <v>757</v>
      </c>
      <c r="Q361" s="146" t="s">
        <v>757</v>
      </c>
      <c r="R361" s="152" t="s">
        <v>757</v>
      </c>
    </row>
    <row r="362" spans="1:18" ht="15">
      <c r="A362" s="145" t="s">
        <v>757</v>
      </c>
      <c r="B362" s="146" t="s">
        <v>757</v>
      </c>
      <c r="C362" s="146" t="s">
        <v>757</v>
      </c>
      <c r="D362" s="146" t="s">
        <v>757</v>
      </c>
      <c r="E362" s="146" t="s">
        <v>757</v>
      </c>
      <c r="F362" s="146" t="s">
        <v>757</v>
      </c>
      <c r="G362" s="146" t="s">
        <v>757</v>
      </c>
      <c r="H362" s="146" t="s">
        <v>757</v>
      </c>
      <c r="I362" s="146" t="s">
        <v>757</v>
      </c>
      <c r="J362" s="146" t="s">
        <v>757</v>
      </c>
      <c r="K362" s="181" t="s">
        <v>757</v>
      </c>
      <c r="L362" s="146" t="s">
        <v>757</v>
      </c>
      <c r="M362" s="146" t="s">
        <v>757</v>
      </c>
      <c r="N362" s="146" t="s">
        <v>757</v>
      </c>
      <c r="O362" s="146" t="s">
        <v>757</v>
      </c>
      <c r="P362" s="146" t="s">
        <v>757</v>
      </c>
      <c r="Q362" s="146" t="s">
        <v>757</v>
      </c>
      <c r="R362" s="152" t="s">
        <v>757</v>
      </c>
    </row>
    <row r="363" spans="1:18" ht="14.45" customHeight="1">
      <c r="A363" s="145" t="s">
        <v>757</v>
      </c>
      <c r="B363" s="167" t="s">
        <v>325</v>
      </c>
      <c r="C363" s="159" t="s">
        <v>408</v>
      </c>
      <c r="D363" s="160" t="s">
        <v>348</v>
      </c>
      <c r="E363" s="160"/>
      <c r="F363" s="160"/>
      <c r="G363" s="161"/>
      <c r="H363" s="146" t="s">
        <v>757</v>
      </c>
      <c r="I363" s="146" t="s">
        <v>757</v>
      </c>
      <c r="J363" s="146" t="s">
        <v>757</v>
      </c>
      <c r="K363" s="181" t="s">
        <v>757</v>
      </c>
      <c r="L363" s="146" t="s">
        <v>757</v>
      </c>
      <c r="M363" s="146" t="s">
        <v>757</v>
      </c>
      <c r="N363" s="146" t="s">
        <v>757</v>
      </c>
      <c r="O363" s="146" t="s">
        <v>757</v>
      </c>
      <c r="P363" s="146" t="s">
        <v>757</v>
      </c>
      <c r="Q363" s="146" t="s">
        <v>757</v>
      </c>
      <c r="R363" s="152" t="s">
        <v>757</v>
      </c>
    </row>
    <row r="364" spans="1:18" ht="15">
      <c r="A364" s="145" t="s">
        <v>757</v>
      </c>
      <c r="B364" s="164" t="s">
        <v>353</v>
      </c>
      <c r="C364" s="165" t="s">
        <v>354</v>
      </c>
      <c r="D364" s="165" t="s">
        <v>607</v>
      </c>
      <c r="E364" s="165" t="s">
        <v>608</v>
      </c>
      <c r="F364" s="165" t="s">
        <v>609</v>
      </c>
      <c r="G364" s="165" t="s">
        <v>610</v>
      </c>
      <c r="H364" s="146" t="s">
        <v>757</v>
      </c>
      <c r="I364" s="146" t="s">
        <v>757</v>
      </c>
      <c r="J364" s="141" t="s">
        <v>330</v>
      </c>
      <c r="K364" s="177" t="s">
        <v>758</v>
      </c>
      <c r="L364" s="142" t="s">
        <v>331</v>
      </c>
      <c r="M364" s="143" t="s">
        <v>331</v>
      </c>
      <c r="N364" s="146" t="s">
        <v>757</v>
      </c>
      <c r="O364" s="150" t="s">
        <v>325</v>
      </c>
      <c r="P364" s="151" t="s">
        <v>326</v>
      </c>
      <c r="Q364" s="151" t="s">
        <v>327</v>
      </c>
      <c r="R364" s="152" t="s">
        <v>757</v>
      </c>
    </row>
    <row r="365" spans="1:18" ht="15">
      <c r="A365" s="145" t="s">
        <v>757</v>
      </c>
      <c r="B365" s="166" t="s">
        <v>328</v>
      </c>
      <c r="C365" s="157" t="s">
        <v>387</v>
      </c>
      <c r="D365" s="133" t="s">
        <v>804</v>
      </c>
      <c r="E365" s="133" t="s">
        <v>805</v>
      </c>
      <c r="F365" s="138" t="s">
        <v>806</v>
      </c>
      <c r="G365" s="133" t="s">
        <v>807</v>
      </c>
      <c r="H365" s="146" t="s">
        <v>757</v>
      </c>
      <c r="I365" s="146" t="s">
        <v>757</v>
      </c>
      <c r="J365" s="147" t="s">
        <v>335</v>
      </c>
      <c r="K365" s="178" t="s">
        <v>759</v>
      </c>
      <c r="L365" s="148" t="s">
        <v>337</v>
      </c>
      <c r="M365" s="149" t="s">
        <v>338</v>
      </c>
      <c r="N365" s="146" t="s">
        <v>757</v>
      </c>
      <c r="O365" s="136" t="s">
        <v>328</v>
      </c>
      <c r="P365" s="156" t="s">
        <v>387</v>
      </c>
      <c r="Q365" s="156" t="s">
        <v>329</v>
      </c>
      <c r="R365" s="152" t="s">
        <v>757</v>
      </c>
    </row>
    <row r="366" spans="1:18" ht="30.75">
      <c r="A366" s="145" t="s">
        <v>757</v>
      </c>
      <c r="B366" s="166" t="s">
        <v>332</v>
      </c>
      <c r="C366" s="157" t="s">
        <v>393</v>
      </c>
      <c r="D366" s="133" t="s">
        <v>808</v>
      </c>
      <c r="E366" s="133" t="s">
        <v>809</v>
      </c>
      <c r="F366" s="133" t="s">
        <v>810</v>
      </c>
      <c r="G366" s="133"/>
      <c r="H366" s="146" t="s">
        <v>757</v>
      </c>
      <c r="I366" s="146" t="s">
        <v>757</v>
      </c>
      <c r="J366" s="170" t="s">
        <v>341</v>
      </c>
      <c r="K366" s="182" t="s">
        <v>811</v>
      </c>
      <c r="L366" s="171" t="s">
        <v>343</v>
      </c>
      <c r="M366" s="171" t="s">
        <v>344</v>
      </c>
      <c r="N366" s="146" t="s">
        <v>757</v>
      </c>
      <c r="O366" s="136" t="s">
        <v>332</v>
      </c>
      <c r="P366" s="156" t="s">
        <v>393</v>
      </c>
      <c r="Q366" s="156" t="s">
        <v>334</v>
      </c>
      <c r="R366" s="152" t="s">
        <v>757</v>
      </c>
    </row>
    <row r="367" spans="1:18" ht="30.75">
      <c r="A367" s="145" t="s">
        <v>757</v>
      </c>
      <c r="B367" s="166" t="s">
        <v>339</v>
      </c>
      <c r="C367" s="157" t="s">
        <v>399</v>
      </c>
      <c r="D367" s="133" t="s">
        <v>812</v>
      </c>
      <c r="E367" s="133" t="s">
        <v>813</v>
      </c>
      <c r="F367" s="133" t="s">
        <v>814</v>
      </c>
      <c r="G367" s="133" t="s">
        <v>804</v>
      </c>
      <c r="H367" s="146" t="s">
        <v>757</v>
      </c>
      <c r="I367" s="146" t="s">
        <v>757</v>
      </c>
      <c r="J367" s="162" t="s">
        <v>349</v>
      </c>
      <c r="K367" s="180" t="s">
        <v>815</v>
      </c>
      <c r="L367" s="163" t="s">
        <v>380</v>
      </c>
      <c r="M367" s="163" t="s">
        <v>352</v>
      </c>
      <c r="N367" s="146" t="s">
        <v>757</v>
      </c>
      <c r="O367" s="136" t="s">
        <v>339</v>
      </c>
      <c r="P367" s="156" t="s">
        <v>399</v>
      </c>
      <c r="Q367" s="156" t="s">
        <v>329</v>
      </c>
      <c r="R367" s="152" t="s">
        <v>757</v>
      </c>
    </row>
    <row r="368" spans="1:18" ht="30.75">
      <c r="A368" s="145" t="s">
        <v>757</v>
      </c>
      <c r="B368" s="146" t="s">
        <v>757</v>
      </c>
      <c r="C368" s="146" t="s">
        <v>757</v>
      </c>
      <c r="D368" s="146" t="s">
        <v>757</v>
      </c>
      <c r="E368" s="146" t="s">
        <v>757</v>
      </c>
      <c r="F368" s="146" t="s">
        <v>757</v>
      </c>
      <c r="G368" s="146" t="s">
        <v>757</v>
      </c>
      <c r="H368" s="146" t="s">
        <v>757</v>
      </c>
      <c r="I368" s="146" t="s">
        <v>757</v>
      </c>
      <c r="J368" s="170" t="s">
        <v>366</v>
      </c>
      <c r="K368" s="182" t="s">
        <v>816</v>
      </c>
      <c r="L368" s="171" t="s">
        <v>343</v>
      </c>
      <c r="M368" s="171" t="s">
        <v>344</v>
      </c>
      <c r="N368" s="146" t="s">
        <v>757</v>
      </c>
      <c r="O368" s="146" t="s">
        <v>757</v>
      </c>
      <c r="P368" s="146" t="s">
        <v>757</v>
      </c>
      <c r="Q368" s="146" t="s">
        <v>757</v>
      </c>
      <c r="R368" s="152" t="s">
        <v>757</v>
      </c>
    </row>
    <row r="369" spans="1:18" ht="15">
      <c r="A369" s="145" t="s">
        <v>757</v>
      </c>
      <c r="B369" s="146" t="s">
        <v>757</v>
      </c>
      <c r="C369" s="146" t="s">
        <v>757</v>
      </c>
      <c r="D369" s="146" t="s">
        <v>757</v>
      </c>
      <c r="E369" s="146" t="s">
        <v>757</v>
      </c>
      <c r="F369" s="146" t="s">
        <v>757</v>
      </c>
      <c r="G369" s="146" t="s">
        <v>757</v>
      </c>
      <c r="H369" s="146" t="s">
        <v>757</v>
      </c>
      <c r="I369" s="146" t="s">
        <v>757</v>
      </c>
      <c r="J369" s="146" t="s">
        <v>757</v>
      </c>
      <c r="K369" s="181" t="s">
        <v>757</v>
      </c>
      <c r="L369" s="146" t="s">
        <v>757</v>
      </c>
      <c r="M369" s="146" t="s">
        <v>757</v>
      </c>
      <c r="N369" s="146" t="s">
        <v>757</v>
      </c>
      <c r="O369" s="146" t="s">
        <v>757</v>
      </c>
      <c r="P369" s="146" t="s">
        <v>757</v>
      </c>
      <c r="Q369" s="146" t="s">
        <v>757</v>
      </c>
      <c r="R369" s="152" t="s">
        <v>757</v>
      </c>
    </row>
    <row r="370" spans="1:18" ht="15">
      <c r="A370" s="145" t="s">
        <v>757</v>
      </c>
      <c r="B370" s="146" t="s">
        <v>757</v>
      </c>
      <c r="C370" s="146" t="s">
        <v>757</v>
      </c>
      <c r="D370" s="146" t="s">
        <v>757</v>
      </c>
      <c r="E370" s="146" t="s">
        <v>757</v>
      </c>
      <c r="F370" s="146" t="s">
        <v>757</v>
      </c>
      <c r="G370" s="146" t="s">
        <v>757</v>
      </c>
      <c r="H370" s="146" t="s">
        <v>757</v>
      </c>
      <c r="I370" s="146" t="s">
        <v>757</v>
      </c>
      <c r="J370" s="146" t="s">
        <v>757</v>
      </c>
      <c r="K370" s="181" t="s">
        <v>757</v>
      </c>
      <c r="L370" s="146" t="s">
        <v>757</v>
      </c>
      <c r="M370" s="146" t="s">
        <v>757</v>
      </c>
      <c r="N370" s="146" t="s">
        <v>757</v>
      </c>
      <c r="O370" s="146" t="s">
        <v>757</v>
      </c>
      <c r="P370" s="146" t="s">
        <v>757</v>
      </c>
      <c r="Q370" s="146" t="s">
        <v>757</v>
      </c>
      <c r="R370" s="152" t="s">
        <v>757</v>
      </c>
    </row>
    <row r="371" spans="1:18" ht="15">
      <c r="A371" s="145" t="s">
        <v>757</v>
      </c>
      <c r="B371" s="146" t="s">
        <v>757</v>
      </c>
      <c r="C371" s="146" t="s">
        <v>757</v>
      </c>
      <c r="D371" s="146" t="s">
        <v>757</v>
      </c>
      <c r="E371" s="146" t="s">
        <v>757</v>
      </c>
      <c r="F371" s="146" t="s">
        <v>757</v>
      </c>
      <c r="G371" s="146" t="s">
        <v>757</v>
      </c>
      <c r="H371" s="146" t="s">
        <v>757</v>
      </c>
      <c r="I371" s="146" t="s">
        <v>757</v>
      </c>
      <c r="J371" s="146" t="s">
        <v>757</v>
      </c>
      <c r="K371" s="181" t="s">
        <v>757</v>
      </c>
      <c r="L371" s="146" t="s">
        <v>757</v>
      </c>
      <c r="M371" s="146" t="s">
        <v>757</v>
      </c>
      <c r="N371" s="146" t="s">
        <v>757</v>
      </c>
      <c r="O371" s="146" t="s">
        <v>757</v>
      </c>
      <c r="P371" s="146" t="s">
        <v>757</v>
      </c>
      <c r="Q371" s="146" t="s">
        <v>757</v>
      </c>
      <c r="R371" s="152" t="s">
        <v>757</v>
      </c>
    </row>
    <row r="372" spans="1:18" ht="15">
      <c r="A372" s="145" t="s">
        <v>757</v>
      </c>
      <c r="B372" s="146" t="s">
        <v>757</v>
      </c>
      <c r="C372" s="146" t="s">
        <v>757</v>
      </c>
      <c r="D372" s="146" t="s">
        <v>757</v>
      </c>
      <c r="E372" s="146" t="s">
        <v>757</v>
      </c>
      <c r="F372" s="146" t="s">
        <v>757</v>
      </c>
      <c r="G372" s="146" t="s">
        <v>757</v>
      </c>
      <c r="H372" s="146" t="s">
        <v>757</v>
      </c>
      <c r="I372" s="146" t="s">
        <v>757</v>
      </c>
      <c r="J372" s="146" t="s">
        <v>757</v>
      </c>
      <c r="K372" s="181" t="s">
        <v>757</v>
      </c>
      <c r="L372" s="146" t="s">
        <v>757</v>
      </c>
      <c r="M372" s="146" t="s">
        <v>757</v>
      </c>
      <c r="N372" s="146" t="s">
        <v>757</v>
      </c>
      <c r="O372" s="146" t="s">
        <v>757</v>
      </c>
      <c r="P372" s="146" t="s">
        <v>757</v>
      </c>
      <c r="Q372" s="146" t="s">
        <v>757</v>
      </c>
      <c r="R372" s="152" t="s">
        <v>757</v>
      </c>
    </row>
    <row r="373" spans="1:18" ht="14.45" customHeight="1">
      <c r="A373" s="145" t="s">
        <v>757</v>
      </c>
      <c r="B373" s="167" t="s">
        <v>325</v>
      </c>
      <c r="C373" s="159" t="s">
        <v>429</v>
      </c>
      <c r="D373" s="160" t="s">
        <v>348</v>
      </c>
      <c r="E373" s="160"/>
      <c r="F373" s="160"/>
      <c r="G373" s="161"/>
      <c r="H373" s="146" t="s">
        <v>757</v>
      </c>
      <c r="I373" s="146" t="s">
        <v>757</v>
      </c>
      <c r="J373" s="146" t="s">
        <v>757</v>
      </c>
      <c r="K373" s="181" t="s">
        <v>757</v>
      </c>
      <c r="L373" s="146" t="s">
        <v>757</v>
      </c>
      <c r="M373" s="146" t="s">
        <v>757</v>
      </c>
      <c r="N373" s="146" t="s">
        <v>757</v>
      </c>
      <c r="O373" s="146" t="s">
        <v>757</v>
      </c>
      <c r="P373" s="146" t="s">
        <v>757</v>
      </c>
      <c r="Q373" s="146" t="s">
        <v>757</v>
      </c>
      <c r="R373" s="152" t="s">
        <v>757</v>
      </c>
    </row>
    <row r="374" spans="1:18" ht="15">
      <c r="A374" s="145" t="s">
        <v>757</v>
      </c>
      <c r="B374" s="164" t="s">
        <v>353</v>
      </c>
      <c r="C374" s="165" t="s">
        <v>354</v>
      </c>
      <c r="D374" s="165" t="s">
        <v>355</v>
      </c>
      <c r="E374" s="165" t="s">
        <v>356</v>
      </c>
      <c r="F374" s="165" t="s">
        <v>357</v>
      </c>
      <c r="G374" s="165" t="s">
        <v>358</v>
      </c>
      <c r="H374" s="146" t="s">
        <v>757</v>
      </c>
      <c r="I374" s="146" t="s">
        <v>757</v>
      </c>
      <c r="J374" s="141" t="s">
        <v>330</v>
      </c>
      <c r="K374" s="177" t="s">
        <v>758</v>
      </c>
      <c r="L374" s="142" t="s">
        <v>331</v>
      </c>
      <c r="M374" s="143" t="s">
        <v>331</v>
      </c>
      <c r="N374" s="146" t="s">
        <v>757</v>
      </c>
      <c r="O374" s="150" t="s">
        <v>325</v>
      </c>
      <c r="P374" s="151" t="s">
        <v>326</v>
      </c>
      <c r="Q374" s="151" t="s">
        <v>327</v>
      </c>
      <c r="R374" s="152" t="s">
        <v>757</v>
      </c>
    </row>
    <row r="375" spans="1:18" ht="15">
      <c r="A375" s="145" t="s">
        <v>757</v>
      </c>
      <c r="B375" s="166" t="s">
        <v>328</v>
      </c>
      <c r="C375" s="157" t="s">
        <v>387</v>
      </c>
      <c r="D375" s="133" t="s">
        <v>817</v>
      </c>
      <c r="E375" s="133" t="s">
        <v>818</v>
      </c>
      <c r="F375" s="133" t="s">
        <v>819</v>
      </c>
      <c r="G375" s="133" t="s">
        <v>820</v>
      </c>
      <c r="H375" s="146" t="s">
        <v>757</v>
      </c>
      <c r="I375" s="146" t="s">
        <v>757</v>
      </c>
      <c r="J375" s="147" t="s">
        <v>335</v>
      </c>
      <c r="K375" s="178" t="s">
        <v>759</v>
      </c>
      <c r="L375" s="148" t="s">
        <v>337</v>
      </c>
      <c r="M375" s="149" t="s">
        <v>338</v>
      </c>
      <c r="N375" s="146" t="s">
        <v>757</v>
      </c>
      <c r="O375" s="136" t="s">
        <v>328</v>
      </c>
      <c r="P375" s="156" t="s">
        <v>387</v>
      </c>
      <c r="Q375" s="157" t="s">
        <v>329</v>
      </c>
      <c r="R375" s="152" t="s">
        <v>757</v>
      </c>
    </row>
    <row r="376" spans="1:18" ht="30.75">
      <c r="A376" s="145" t="s">
        <v>757</v>
      </c>
      <c r="B376" s="166" t="s">
        <v>332</v>
      </c>
      <c r="C376" s="157" t="s">
        <v>393</v>
      </c>
      <c r="D376" s="133" t="s">
        <v>821</v>
      </c>
      <c r="E376" s="133" t="s">
        <v>822</v>
      </c>
      <c r="F376" s="133" t="s">
        <v>823</v>
      </c>
      <c r="G376" s="133" t="s">
        <v>824</v>
      </c>
      <c r="H376" s="146" t="s">
        <v>757</v>
      </c>
      <c r="I376" s="146" t="s">
        <v>757</v>
      </c>
      <c r="J376" s="162" t="s">
        <v>341</v>
      </c>
      <c r="K376" s="180" t="s">
        <v>825</v>
      </c>
      <c r="L376" s="163" t="s">
        <v>826</v>
      </c>
      <c r="M376" s="163" t="s">
        <v>352</v>
      </c>
      <c r="N376" s="146" t="s">
        <v>757</v>
      </c>
      <c r="O376" s="136" t="s">
        <v>332</v>
      </c>
      <c r="P376" s="156" t="s">
        <v>393</v>
      </c>
      <c r="Q376" s="157" t="s">
        <v>329</v>
      </c>
      <c r="R376" s="152" t="s">
        <v>757</v>
      </c>
    </row>
    <row r="377" spans="1:18" ht="30.75">
      <c r="A377" s="145" t="s">
        <v>757</v>
      </c>
      <c r="B377" s="166" t="s">
        <v>339</v>
      </c>
      <c r="C377" s="157" t="s">
        <v>399</v>
      </c>
      <c r="D377" s="133" t="s">
        <v>827</v>
      </c>
      <c r="E377" s="133" t="s">
        <v>828</v>
      </c>
      <c r="F377" s="133" t="s">
        <v>829</v>
      </c>
      <c r="G377" s="133" t="s">
        <v>830</v>
      </c>
      <c r="H377" s="146" t="s">
        <v>757</v>
      </c>
      <c r="I377" s="146" t="s">
        <v>757</v>
      </c>
      <c r="J377" s="162" t="s">
        <v>349</v>
      </c>
      <c r="K377" s="180" t="s">
        <v>831</v>
      </c>
      <c r="L377" s="163" t="s">
        <v>832</v>
      </c>
      <c r="M377" s="163" t="s">
        <v>352</v>
      </c>
      <c r="N377" s="146" t="s">
        <v>757</v>
      </c>
      <c r="O377" s="136" t="s">
        <v>339</v>
      </c>
      <c r="P377" s="156" t="s">
        <v>399</v>
      </c>
      <c r="Q377" s="157" t="s">
        <v>329</v>
      </c>
      <c r="R377" s="152" t="s">
        <v>757</v>
      </c>
    </row>
    <row r="378" spans="1:18" ht="30.75">
      <c r="A378" s="145" t="s">
        <v>757</v>
      </c>
      <c r="B378" s="146" t="s">
        <v>757</v>
      </c>
      <c r="C378" s="146" t="s">
        <v>757</v>
      </c>
      <c r="D378" s="146" t="s">
        <v>757</v>
      </c>
      <c r="E378" s="146" t="s">
        <v>757</v>
      </c>
      <c r="F378" s="146" t="s">
        <v>757</v>
      </c>
      <c r="G378" s="146" t="s">
        <v>757</v>
      </c>
      <c r="H378" s="146" t="s">
        <v>757</v>
      </c>
      <c r="I378" s="146" t="s">
        <v>757</v>
      </c>
      <c r="J378" s="162" t="s">
        <v>366</v>
      </c>
      <c r="K378" s="180" t="s">
        <v>833</v>
      </c>
      <c r="L378" s="163" t="s">
        <v>834</v>
      </c>
      <c r="M378" s="163" t="s">
        <v>352</v>
      </c>
      <c r="N378" s="146" t="s">
        <v>757</v>
      </c>
      <c r="O378" s="146" t="s">
        <v>757</v>
      </c>
      <c r="P378" s="146" t="s">
        <v>757</v>
      </c>
      <c r="Q378" s="146" t="s">
        <v>757</v>
      </c>
      <c r="R378" s="152" t="s">
        <v>757</v>
      </c>
    </row>
    <row r="379" spans="1:18" ht="15">
      <c r="A379" s="145" t="s">
        <v>757</v>
      </c>
      <c r="B379" s="146" t="s">
        <v>757</v>
      </c>
      <c r="C379" s="146" t="s">
        <v>757</v>
      </c>
      <c r="D379" s="146" t="s">
        <v>757</v>
      </c>
      <c r="E379" s="146" t="s">
        <v>757</v>
      </c>
      <c r="F379" s="146" t="s">
        <v>757</v>
      </c>
      <c r="G379" s="146" t="s">
        <v>757</v>
      </c>
      <c r="H379" s="146" t="s">
        <v>757</v>
      </c>
      <c r="I379" s="146" t="s">
        <v>757</v>
      </c>
      <c r="J379" s="146" t="s">
        <v>757</v>
      </c>
      <c r="K379" s="181" t="s">
        <v>757</v>
      </c>
      <c r="L379" s="146" t="s">
        <v>757</v>
      </c>
      <c r="M379" s="146" t="s">
        <v>757</v>
      </c>
      <c r="N379" s="146" t="s">
        <v>757</v>
      </c>
      <c r="O379" s="146" t="s">
        <v>757</v>
      </c>
      <c r="P379" s="146" t="s">
        <v>757</v>
      </c>
      <c r="Q379" s="146" t="s">
        <v>757</v>
      </c>
      <c r="R379" s="152" t="s">
        <v>757</v>
      </c>
    </row>
    <row r="380" spans="1:18" ht="15">
      <c r="A380" s="145" t="s">
        <v>757</v>
      </c>
      <c r="B380" s="146" t="s">
        <v>757</v>
      </c>
      <c r="C380" s="146" t="s">
        <v>757</v>
      </c>
      <c r="D380" s="146" t="s">
        <v>757</v>
      </c>
      <c r="E380" s="146" t="s">
        <v>757</v>
      </c>
      <c r="F380" s="146" t="s">
        <v>757</v>
      </c>
      <c r="G380" s="146" t="s">
        <v>757</v>
      </c>
      <c r="H380" s="146" t="s">
        <v>757</v>
      </c>
      <c r="I380" s="146" t="s">
        <v>757</v>
      </c>
      <c r="J380" s="146" t="s">
        <v>757</v>
      </c>
      <c r="K380" s="181" t="s">
        <v>757</v>
      </c>
      <c r="L380" s="146" t="s">
        <v>757</v>
      </c>
      <c r="M380" s="146" t="s">
        <v>757</v>
      </c>
      <c r="N380" s="146" t="s">
        <v>757</v>
      </c>
      <c r="O380" s="146" t="s">
        <v>757</v>
      </c>
      <c r="P380" s="146" t="s">
        <v>757</v>
      </c>
      <c r="Q380" s="146" t="s">
        <v>757</v>
      </c>
      <c r="R380" s="152" t="s">
        <v>757</v>
      </c>
    </row>
    <row r="381" spans="1:18" ht="15">
      <c r="A381" s="145" t="s">
        <v>757</v>
      </c>
      <c r="B381" s="146" t="s">
        <v>757</v>
      </c>
      <c r="C381" s="146" t="s">
        <v>757</v>
      </c>
      <c r="D381" s="146" t="s">
        <v>757</v>
      </c>
      <c r="E381" s="146" t="s">
        <v>757</v>
      </c>
      <c r="F381" s="146" t="s">
        <v>757</v>
      </c>
      <c r="G381" s="146" t="s">
        <v>757</v>
      </c>
      <c r="H381" s="146" t="s">
        <v>757</v>
      </c>
      <c r="I381" s="146" t="s">
        <v>757</v>
      </c>
      <c r="J381" s="146" t="s">
        <v>757</v>
      </c>
      <c r="K381" s="181" t="s">
        <v>757</v>
      </c>
      <c r="L381" s="146" t="s">
        <v>757</v>
      </c>
      <c r="M381" s="146" t="s">
        <v>757</v>
      </c>
      <c r="N381" s="146" t="s">
        <v>757</v>
      </c>
      <c r="O381" s="146" t="s">
        <v>757</v>
      </c>
      <c r="P381" s="146" t="s">
        <v>757</v>
      </c>
      <c r="Q381" s="146" t="s">
        <v>757</v>
      </c>
      <c r="R381" s="152" t="s">
        <v>757</v>
      </c>
    </row>
    <row r="382" spans="1:18" ht="15">
      <c r="A382" s="145" t="s">
        <v>757</v>
      </c>
      <c r="B382" s="146" t="s">
        <v>757</v>
      </c>
      <c r="C382" s="146" t="s">
        <v>757</v>
      </c>
      <c r="D382" s="146" t="s">
        <v>757</v>
      </c>
      <c r="E382" s="146" t="s">
        <v>757</v>
      </c>
      <c r="F382" s="146" t="s">
        <v>757</v>
      </c>
      <c r="G382" s="146" t="s">
        <v>757</v>
      </c>
      <c r="H382" s="146" t="s">
        <v>757</v>
      </c>
      <c r="I382" s="146" t="s">
        <v>757</v>
      </c>
      <c r="J382" s="146" t="s">
        <v>757</v>
      </c>
      <c r="K382" s="181" t="s">
        <v>757</v>
      </c>
      <c r="L382" s="146" t="s">
        <v>757</v>
      </c>
      <c r="M382" s="146" t="s">
        <v>757</v>
      </c>
      <c r="N382" s="146" t="s">
        <v>757</v>
      </c>
      <c r="O382" s="146" t="s">
        <v>757</v>
      </c>
      <c r="P382" s="146" t="s">
        <v>757</v>
      </c>
      <c r="Q382" s="146" t="s">
        <v>757</v>
      </c>
      <c r="R382" s="152" t="s">
        <v>757</v>
      </c>
    </row>
    <row r="383" spans="1:18" ht="14.45" customHeight="1">
      <c r="A383" s="145" t="s">
        <v>757</v>
      </c>
      <c r="B383" s="167" t="s">
        <v>325</v>
      </c>
      <c r="C383" s="159" t="s">
        <v>446</v>
      </c>
      <c r="D383" s="160" t="s">
        <v>348</v>
      </c>
      <c r="E383" s="160"/>
      <c r="F383" s="160"/>
      <c r="G383" s="161"/>
      <c r="H383" s="146" t="s">
        <v>757</v>
      </c>
      <c r="I383" s="146" t="s">
        <v>757</v>
      </c>
      <c r="J383" s="146" t="s">
        <v>757</v>
      </c>
      <c r="K383" s="181" t="s">
        <v>757</v>
      </c>
      <c r="L383" s="146" t="s">
        <v>757</v>
      </c>
      <c r="M383" s="146" t="s">
        <v>757</v>
      </c>
      <c r="N383" s="146" t="s">
        <v>757</v>
      </c>
      <c r="O383" s="146" t="s">
        <v>757</v>
      </c>
      <c r="P383" s="146" t="s">
        <v>757</v>
      </c>
      <c r="Q383" s="146" t="s">
        <v>757</v>
      </c>
      <c r="R383" s="152" t="s">
        <v>757</v>
      </c>
    </row>
    <row r="384" spans="1:18" ht="15">
      <c r="A384" s="145" t="s">
        <v>757</v>
      </c>
      <c r="B384" s="164" t="s">
        <v>353</v>
      </c>
      <c r="C384" s="165" t="s">
        <v>354</v>
      </c>
      <c r="D384" s="165" t="s">
        <v>355</v>
      </c>
      <c r="E384" s="165" t="s">
        <v>356</v>
      </c>
      <c r="F384" s="165" t="s">
        <v>357</v>
      </c>
      <c r="G384" s="165" t="s">
        <v>358</v>
      </c>
      <c r="H384" s="146" t="s">
        <v>757</v>
      </c>
      <c r="I384" s="146" t="s">
        <v>757</v>
      </c>
      <c r="J384" s="141" t="s">
        <v>330</v>
      </c>
      <c r="K384" s="177" t="s">
        <v>758</v>
      </c>
      <c r="L384" s="142" t="s">
        <v>331</v>
      </c>
      <c r="M384" s="143" t="s">
        <v>331</v>
      </c>
      <c r="N384" s="146" t="s">
        <v>757</v>
      </c>
      <c r="O384" s="150" t="s">
        <v>325</v>
      </c>
      <c r="P384" s="151" t="s">
        <v>326</v>
      </c>
      <c r="Q384" s="151" t="s">
        <v>327</v>
      </c>
      <c r="R384" s="152" t="s">
        <v>757</v>
      </c>
    </row>
    <row r="385" spans="1:18" ht="15">
      <c r="A385" s="145" t="s">
        <v>757</v>
      </c>
      <c r="B385" s="166" t="s">
        <v>328</v>
      </c>
      <c r="C385" s="157" t="s">
        <v>387</v>
      </c>
      <c r="D385" s="133" t="s">
        <v>835</v>
      </c>
      <c r="E385" s="133" t="s">
        <v>836</v>
      </c>
      <c r="F385" s="133" t="s">
        <v>837</v>
      </c>
      <c r="G385" s="133" t="s">
        <v>838</v>
      </c>
      <c r="H385" s="146" t="s">
        <v>757</v>
      </c>
      <c r="I385" s="146" t="s">
        <v>757</v>
      </c>
      <c r="J385" s="147" t="s">
        <v>335</v>
      </c>
      <c r="K385" s="178" t="s">
        <v>759</v>
      </c>
      <c r="L385" s="148" t="s">
        <v>337</v>
      </c>
      <c r="M385" s="149" t="s">
        <v>338</v>
      </c>
      <c r="N385" s="146" t="s">
        <v>757</v>
      </c>
      <c r="O385" s="136" t="s">
        <v>328</v>
      </c>
      <c r="P385" s="156" t="s">
        <v>387</v>
      </c>
      <c r="Q385" s="156" t="s">
        <v>329</v>
      </c>
      <c r="R385" s="152" t="s">
        <v>757</v>
      </c>
    </row>
    <row r="386" spans="1:18" ht="30.75">
      <c r="A386" s="145" t="s">
        <v>757</v>
      </c>
      <c r="B386" s="166" t="s">
        <v>332</v>
      </c>
      <c r="C386" s="157" t="s">
        <v>393</v>
      </c>
      <c r="D386" s="133" t="s">
        <v>839</v>
      </c>
      <c r="E386" s="133" t="s">
        <v>840</v>
      </c>
      <c r="F386" s="133" t="s">
        <v>841</v>
      </c>
      <c r="G386" s="133" t="s">
        <v>842</v>
      </c>
      <c r="H386" s="146" t="s">
        <v>757</v>
      </c>
      <c r="I386" s="146" t="s">
        <v>757</v>
      </c>
      <c r="J386" s="154" t="s">
        <v>341</v>
      </c>
      <c r="K386" s="179" t="s">
        <v>843</v>
      </c>
      <c r="L386" s="155" t="s">
        <v>844</v>
      </c>
      <c r="M386" s="155" t="s">
        <v>428</v>
      </c>
      <c r="N386" s="146" t="s">
        <v>757</v>
      </c>
      <c r="O386" s="136" t="s">
        <v>332</v>
      </c>
      <c r="P386" s="156" t="s">
        <v>393</v>
      </c>
      <c r="Q386" s="156" t="s">
        <v>334</v>
      </c>
      <c r="R386" s="152" t="s">
        <v>757</v>
      </c>
    </row>
    <row r="387" spans="1:18" ht="30.75">
      <c r="A387" s="145" t="s">
        <v>757</v>
      </c>
      <c r="B387" s="166" t="s">
        <v>339</v>
      </c>
      <c r="C387" s="157" t="s">
        <v>399</v>
      </c>
      <c r="D387" s="133" t="s">
        <v>845</v>
      </c>
      <c r="E387" s="133" t="s">
        <v>846</v>
      </c>
      <c r="F387" s="133" t="s">
        <v>847</v>
      </c>
      <c r="G387" s="133" t="s">
        <v>848</v>
      </c>
      <c r="H387" s="146" t="s">
        <v>757</v>
      </c>
      <c r="I387" s="146" t="s">
        <v>757</v>
      </c>
      <c r="J387" s="162" t="s">
        <v>349</v>
      </c>
      <c r="K387" s="180" t="s">
        <v>849</v>
      </c>
      <c r="L387" s="163" t="s">
        <v>380</v>
      </c>
      <c r="M387" s="163" t="s">
        <v>352</v>
      </c>
      <c r="N387" s="146" t="s">
        <v>757</v>
      </c>
      <c r="O387" s="136" t="s">
        <v>339</v>
      </c>
      <c r="P387" s="156" t="s">
        <v>399</v>
      </c>
      <c r="Q387" s="156" t="s">
        <v>329</v>
      </c>
      <c r="R387" s="152" t="s">
        <v>757</v>
      </c>
    </row>
    <row r="388" spans="1:18" ht="30.75">
      <c r="A388" s="172" t="s">
        <v>757</v>
      </c>
      <c r="B388" s="173" t="s">
        <v>757</v>
      </c>
      <c r="C388" s="173" t="s">
        <v>757</v>
      </c>
      <c r="D388" s="173" t="s">
        <v>757</v>
      </c>
      <c r="E388" s="173" t="s">
        <v>757</v>
      </c>
      <c r="F388" s="173" t="s">
        <v>757</v>
      </c>
      <c r="G388" s="173" t="s">
        <v>757</v>
      </c>
      <c r="H388" s="173" t="s">
        <v>757</v>
      </c>
      <c r="I388" s="173" t="s">
        <v>757</v>
      </c>
      <c r="J388" s="174" t="s">
        <v>366</v>
      </c>
      <c r="K388" s="183" t="s">
        <v>850</v>
      </c>
      <c r="L388" s="175" t="s">
        <v>851</v>
      </c>
      <c r="M388" s="175" t="s">
        <v>344</v>
      </c>
      <c r="N388" s="173" t="s">
        <v>757</v>
      </c>
      <c r="O388" s="173" t="s">
        <v>757</v>
      </c>
      <c r="P388" s="173" t="s">
        <v>757</v>
      </c>
      <c r="Q388" s="173" t="s">
        <v>757</v>
      </c>
      <c r="R388" s="176" t="s">
        <v>757</v>
      </c>
    </row>
    <row r="389" spans="1:18" ht="15">
      <c r="K389" s="113"/>
    </row>
    <row r="390" spans="1:18" ht="15">
      <c r="K390" s="113"/>
    </row>
    <row r="391" spans="1:18">
      <c r="K391" s="113"/>
    </row>
    <row r="392" spans="1:18">
      <c r="K392" s="113"/>
    </row>
    <row r="393" spans="1:18">
      <c r="K393" s="113"/>
    </row>
    <row r="394" spans="1:18">
      <c r="K394" s="113"/>
    </row>
    <row r="395" spans="1:18">
      <c r="K395" s="113"/>
    </row>
    <row r="396" spans="1:18">
      <c r="K396" s="113"/>
    </row>
    <row r="397" spans="1:18">
      <c r="K397" s="113"/>
    </row>
    <row r="398" spans="1:18">
      <c r="K398" s="113"/>
    </row>
    <row r="399" spans="1:18">
      <c r="K399" s="113"/>
    </row>
    <row r="400" spans="1:18">
      <c r="K400" s="113"/>
    </row>
    <row r="401" spans="11:11">
      <c r="K401" s="113"/>
    </row>
    <row r="402" spans="11:11">
      <c r="K402" s="113"/>
    </row>
    <row r="403" spans="11:11">
      <c r="K403" s="113"/>
    </row>
    <row r="404" spans="11:11">
      <c r="K404" s="113"/>
    </row>
    <row r="405" spans="11:11">
      <c r="K405" s="113"/>
    </row>
    <row r="406" spans="11:11">
      <c r="K406" s="113"/>
    </row>
    <row r="407" spans="11:11">
      <c r="K407" s="113"/>
    </row>
    <row r="408" spans="11:11">
      <c r="K408" s="113"/>
    </row>
    <row r="409" spans="11:11">
      <c r="K409" s="113"/>
    </row>
    <row r="410" spans="11:11">
      <c r="K410" s="113"/>
    </row>
    <row r="411" spans="11:11">
      <c r="K411" s="113"/>
    </row>
    <row r="412" spans="11:11">
      <c r="K412" s="113"/>
    </row>
    <row r="413" spans="11:11">
      <c r="K413" s="113"/>
    </row>
    <row r="414" spans="11:11">
      <c r="K414" s="113"/>
    </row>
    <row r="415" spans="11:11">
      <c r="K415" s="113"/>
    </row>
    <row r="416" spans="11:11">
      <c r="K416" s="113"/>
    </row>
    <row r="417" spans="11:11">
      <c r="K417" s="113"/>
    </row>
    <row r="418" spans="11:11">
      <c r="K418" s="113"/>
    </row>
    <row r="419" spans="11:11">
      <c r="K419" s="113"/>
    </row>
    <row r="420" spans="11:11">
      <c r="K420" s="113"/>
    </row>
    <row r="421" spans="11:11">
      <c r="K421" s="113"/>
    </row>
    <row r="422" spans="11:11">
      <c r="K422" s="113"/>
    </row>
    <row r="423" spans="11:11">
      <c r="K423" s="113"/>
    </row>
    <row r="424" spans="11:11">
      <c r="K424" s="113"/>
    </row>
    <row r="425" spans="11:11">
      <c r="K425" s="113"/>
    </row>
    <row r="426" spans="11:11">
      <c r="K426" s="113"/>
    </row>
    <row r="427" spans="11:11">
      <c r="K427" s="113"/>
    </row>
    <row r="428" spans="11:11">
      <c r="K428" s="113"/>
    </row>
    <row r="429" spans="11:11">
      <c r="K429" s="113"/>
    </row>
    <row r="430" spans="11:11">
      <c r="K430" s="113"/>
    </row>
    <row r="431" spans="11:11">
      <c r="K431" s="113"/>
    </row>
    <row r="432" spans="11:11">
      <c r="K432" s="113"/>
    </row>
    <row r="433" spans="11:11">
      <c r="K433" s="113"/>
    </row>
    <row r="434" spans="11:11">
      <c r="K434" s="113"/>
    </row>
    <row r="435" spans="11:11">
      <c r="K435" s="113"/>
    </row>
    <row r="436" spans="11:11">
      <c r="K436" s="113"/>
    </row>
    <row r="437" spans="11:11">
      <c r="K437" s="113"/>
    </row>
    <row r="438" spans="11:11">
      <c r="K438" s="113"/>
    </row>
    <row r="439" spans="11:11">
      <c r="K439" s="113"/>
    </row>
    <row r="440" spans="11:11">
      <c r="K440" s="113"/>
    </row>
    <row r="441" spans="11:11">
      <c r="K441" s="113"/>
    </row>
    <row r="442" spans="11:11">
      <c r="K442" s="113"/>
    </row>
    <row r="443" spans="11:11">
      <c r="K443" s="113"/>
    </row>
    <row r="444" spans="11:11">
      <c r="K444" s="113"/>
    </row>
    <row r="445" spans="11:11">
      <c r="K445" s="113"/>
    </row>
    <row r="446" spans="11:11">
      <c r="K446" s="113"/>
    </row>
    <row r="447" spans="11:11">
      <c r="K447" s="113"/>
    </row>
    <row r="448" spans="11:11">
      <c r="K448" s="113"/>
    </row>
    <row r="449" spans="11:11">
      <c r="K449" s="113"/>
    </row>
    <row r="450" spans="11:11">
      <c r="K450" s="113"/>
    </row>
    <row r="451" spans="11:11">
      <c r="K451" s="113"/>
    </row>
    <row r="452" spans="11:11">
      <c r="K452" s="113"/>
    </row>
    <row r="453" spans="11:11">
      <c r="K453" s="113"/>
    </row>
    <row r="454" spans="11:11">
      <c r="K454" s="113"/>
    </row>
    <row r="455" spans="11:11">
      <c r="K455" s="113"/>
    </row>
    <row r="456" spans="11:11">
      <c r="K456" s="113"/>
    </row>
    <row r="457" spans="11:11">
      <c r="K457" s="113"/>
    </row>
    <row r="458" spans="11:11">
      <c r="K458" s="113"/>
    </row>
    <row r="459" spans="11:11">
      <c r="K459" s="113"/>
    </row>
    <row r="460" spans="11:11">
      <c r="K460" s="113"/>
    </row>
    <row r="461" spans="11:11">
      <c r="K461" s="113"/>
    </row>
    <row r="462" spans="11:11">
      <c r="K462" s="113"/>
    </row>
    <row r="463" spans="11:11">
      <c r="K463" s="113"/>
    </row>
    <row r="464" spans="11:11">
      <c r="K464" s="113"/>
    </row>
    <row r="465" spans="11:11">
      <c r="K465" s="113"/>
    </row>
    <row r="466" spans="11:11">
      <c r="K466" s="113"/>
    </row>
    <row r="467" spans="11:11">
      <c r="K467" s="113"/>
    </row>
    <row r="468" spans="11:11">
      <c r="K468" s="113"/>
    </row>
    <row r="469" spans="11:11">
      <c r="K469" s="113"/>
    </row>
    <row r="470" spans="11:11">
      <c r="K470" s="113"/>
    </row>
    <row r="471" spans="11:11">
      <c r="K471" s="113"/>
    </row>
    <row r="472" spans="11:11">
      <c r="K472" s="113"/>
    </row>
    <row r="473" spans="11:11">
      <c r="K473" s="113"/>
    </row>
    <row r="474" spans="11:11">
      <c r="K474" s="113"/>
    </row>
    <row r="475" spans="11:11">
      <c r="K475" s="113"/>
    </row>
    <row r="476" spans="11:11">
      <c r="K476" s="113"/>
    </row>
    <row r="477" spans="11:11">
      <c r="K477" s="113"/>
    </row>
    <row r="478" spans="11:11">
      <c r="K478" s="113"/>
    </row>
    <row r="479" spans="11:11">
      <c r="K479" s="113"/>
    </row>
    <row r="480" spans="11:11">
      <c r="K480" s="113"/>
    </row>
    <row r="481" spans="11:11">
      <c r="K481" s="113"/>
    </row>
    <row r="482" spans="11:11">
      <c r="K482" s="113"/>
    </row>
    <row r="483" spans="11:11">
      <c r="K483" s="113"/>
    </row>
    <row r="484" spans="11:11">
      <c r="K484" s="113"/>
    </row>
    <row r="485" spans="11:11">
      <c r="K485" s="113"/>
    </row>
    <row r="486" spans="11:11">
      <c r="K486" s="113"/>
    </row>
    <row r="487" spans="11:11">
      <c r="K487" s="113"/>
    </row>
    <row r="488" spans="11:11">
      <c r="K488" s="113"/>
    </row>
    <row r="489" spans="11:11">
      <c r="K489" s="113"/>
    </row>
    <row r="490" spans="11:11">
      <c r="K490" s="113"/>
    </row>
    <row r="491" spans="11:11">
      <c r="K491" s="113"/>
    </row>
    <row r="492" spans="11:11">
      <c r="K492" s="113"/>
    </row>
    <row r="493" spans="11:11">
      <c r="K493" s="113"/>
    </row>
    <row r="494" spans="11:11">
      <c r="K494" s="113"/>
    </row>
    <row r="495" spans="11:11">
      <c r="K495" s="113"/>
    </row>
    <row r="496" spans="11:11">
      <c r="K496" s="113"/>
    </row>
    <row r="497" spans="11:11">
      <c r="K497" s="113"/>
    </row>
    <row r="498" spans="11:11">
      <c r="K498" s="113"/>
    </row>
    <row r="499" spans="11:11">
      <c r="K499" s="113"/>
    </row>
    <row r="500" spans="11:11">
      <c r="K500" s="113"/>
    </row>
    <row r="501" spans="11:11">
      <c r="K501" s="113"/>
    </row>
    <row r="502" spans="11:11">
      <c r="K502" s="113"/>
    </row>
    <row r="503" spans="11:11">
      <c r="K503" s="113"/>
    </row>
    <row r="504" spans="11:11">
      <c r="K504" s="113"/>
    </row>
    <row r="505" spans="11:11">
      <c r="K505" s="113"/>
    </row>
    <row r="506" spans="11:11">
      <c r="K506" s="113"/>
    </row>
    <row r="507" spans="11:11">
      <c r="K507" s="113"/>
    </row>
    <row r="508" spans="11:11">
      <c r="K508" s="113"/>
    </row>
    <row r="509" spans="11:11">
      <c r="K509" s="113"/>
    </row>
    <row r="510" spans="11:11">
      <c r="K510" s="113"/>
    </row>
    <row r="511" spans="11:11">
      <c r="K511" s="113"/>
    </row>
    <row r="512" spans="11:11">
      <c r="K512" s="113"/>
    </row>
    <row r="513" spans="11:11">
      <c r="K513" s="113"/>
    </row>
    <row r="514" spans="11:11">
      <c r="K514" s="113"/>
    </row>
    <row r="515" spans="11:11">
      <c r="K515" s="113"/>
    </row>
    <row r="516" spans="11:11">
      <c r="K516" s="113"/>
    </row>
    <row r="517" spans="11:11">
      <c r="K517" s="113"/>
    </row>
    <row r="518" spans="11:11">
      <c r="K518" s="113"/>
    </row>
    <row r="519" spans="11:11">
      <c r="K519" s="113"/>
    </row>
    <row r="520" spans="11:11">
      <c r="K520" s="113"/>
    </row>
    <row r="521" spans="11:11">
      <c r="K521" s="113"/>
    </row>
    <row r="522" spans="11:11">
      <c r="K522" s="113"/>
    </row>
    <row r="523" spans="11:11">
      <c r="K523" s="113"/>
    </row>
    <row r="524" spans="11:11">
      <c r="K524" s="113"/>
    </row>
    <row r="525" spans="11:11">
      <c r="K525" s="113"/>
    </row>
    <row r="526" spans="11:11">
      <c r="K526" s="113"/>
    </row>
    <row r="527" spans="11:11">
      <c r="K527" s="113"/>
    </row>
    <row r="528" spans="11:11">
      <c r="K528" s="113"/>
    </row>
    <row r="529" spans="11:11">
      <c r="K529" s="113"/>
    </row>
    <row r="530" spans="11:11">
      <c r="K530" s="113"/>
    </row>
    <row r="531" spans="11:11">
      <c r="K531" s="113"/>
    </row>
    <row r="532" spans="11:11">
      <c r="K532" s="113"/>
    </row>
    <row r="533" spans="11:11">
      <c r="K533" s="113"/>
    </row>
    <row r="534" spans="11:11">
      <c r="K534" s="113"/>
    </row>
    <row r="535" spans="11:11">
      <c r="K535" s="113"/>
    </row>
    <row r="536" spans="11:11">
      <c r="K536" s="113"/>
    </row>
    <row r="537" spans="11:11">
      <c r="K537" s="113"/>
    </row>
    <row r="538" spans="11:11">
      <c r="K538" s="113"/>
    </row>
    <row r="539" spans="11:11">
      <c r="K539" s="113"/>
    </row>
    <row r="540" spans="11:11">
      <c r="K540" s="113"/>
    </row>
    <row r="541" spans="11:11">
      <c r="K541" s="113"/>
    </row>
    <row r="542" spans="11:11">
      <c r="K542" s="113"/>
    </row>
    <row r="543" spans="11:11">
      <c r="K543" s="113"/>
    </row>
    <row r="544" spans="11:11">
      <c r="K544" s="113"/>
    </row>
    <row r="545" spans="11:11">
      <c r="K545" s="113"/>
    </row>
    <row r="546" spans="11:11">
      <c r="K546" s="113"/>
    </row>
    <row r="547" spans="11:11">
      <c r="K547" s="113"/>
    </row>
    <row r="548" spans="11:11">
      <c r="K548" s="113"/>
    </row>
    <row r="549" spans="11:11">
      <c r="K549" s="113"/>
    </row>
    <row r="550" spans="11:11">
      <c r="K550" s="113"/>
    </row>
    <row r="551" spans="11:11">
      <c r="K551" s="113"/>
    </row>
    <row r="552" spans="11:11">
      <c r="K552" s="113"/>
    </row>
    <row r="553" spans="11:11">
      <c r="K553" s="113"/>
    </row>
    <row r="554" spans="11:11">
      <c r="K554" s="113"/>
    </row>
    <row r="555" spans="11:11">
      <c r="K555" s="113"/>
    </row>
    <row r="556" spans="11:11">
      <c r="K556" s="113"/>
    </row>
    <row r="557" spans="11:11">
      <c r="K557" s="113"/>
    </row>
    <row r="558" spans="11:11">
      <c r="K558" s="113"/>
    </row>
    <row r="559" spans="11:11">
      <c r="K559" s="113"/>
    </row>
    <row r="560" spans="11:11">
      <c r="K560" s="113"/>
    </row>
    <row r="561" spans="11:11">
      <c r="K561" s="113"/>
    </row>
    <row r="562" spans="11:11">
      <c r="K562" s="113"/>
    </row>
    <row r="563" spans="11:11">
      <c r="K563" s="113"/>
    </row>
    <row r="564" spans="11:11">
      <c r="K564" s="113"/>
    </row>
    <row r="565" spans="11:11">
      <c r="K565" s="113"/>
    </row>
    <row r="566" spans="11:11">
      <c r="K566" s="113"/>
    </row>
    <row r="567" spans="11:11">
      <c r="K567" s="113"/>
    </row>
    <row r="568" spans="11:11">
      <c r="K568" s="113"/>
    </row>
    <row r="569" spans="11:11">
      <c r="K569" s="113"/>
    </row>
    <row r="570" spans="11:11">
      <c r="K570" s="113"/>
    </row>
  </sheetData>
  <mergeCells count="40">
    <mergeCell ref="D347:G347"/>
    <mergeCell ref="D355:G355"/>
    <mergeCell ref="D363:G363"/>
    <mergeCell ref="D373:G373"/>
    <mergeCell ref="D383:G383"/>
    <mergeCell ref="D24:G24"/>
    <mergeCell ref="D17:G17"/>
    <mergeCell ref="D84:G84"/>
    <mergeCell ref="D74:G74"/>
    <mergeCell ref="D65:G65"/>
    <mergeCell ref="D51:G51"/>
    <mergeCell ref="D42:G42"/>
    <mergeCell ref="D33:G33"/>
    <mergeCell ref="D94:G94"/>
    <mergeCell ref="D197:G197"/>
    <mergeCell ref="D188:G188"/>
    <mergeCell ref="D179:G179"/>
    <mergeCell ref="D171:G171"/>
    <mergeCell ref="D163:G163"/>
    <mergeCell ref="D151:G151"/>
    <mergeCell ref="D141:G141"/>
    <mergeCell ref="D131:G131"/>
    <mergeCell ref="D123:G123"/>
    <mergeCell ref="D115:G115"/>
    <mergeCell ref="D104:G104"/>
    <mergeCell ref="D209:G209"/>
    <mergeCell ref="D217:G217"/>
    <mergeCell ref="D225:G225"/>
    <mergeCell ref="D235:G235"/>
    <mergeCell ref="D245:G245"/>
    <mergeCell ref="D255:G255"/>
    <mergeCell ref="D263:G263"/>
    <mergeCell ref="D271:G271"/>
    <mergeCell ref="D281:G281"/>
    <mergeCell ref="D291:G291"/>
    <mergeCell ref="D301:G301"/>
    <mergeCell ref="D309:G309"/>
    <mergeCell ref="D317:G317"/>
    <mergeCell ref="D327:G327"/>
    <mergeCell ref="D337:G337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70FD-831E-420E-97FC-338866BE5274}">
  <dimension ref="B1:Y52"/>
  <sheetViews>
    <sheetView topLeftCell="G1" zoomScale="85" zoomScaleNormal="85" workbookViewId="0">
      <selection activeCell="AB30" sqref="AB30"/>
    </sheetView>
  </sheetViews>
  <sheetFormatPr defaultRowHeight="14.45"/>
  <cols>
    <col min="2" max="2" width="18.140625" customWidth="1"/>
    <col min="3" max="3" width="16.85546875" customWidth="1"/>
    <col min="4" max="4" width="16.42578125" customWidth="1"/>
    <col min="6" max="6" width="14.28515625" customWidth="1"/>
    <col min="7" max="7" width="13" customWidth="1"/>
    <col min="8" max="8" width="24.140625" customWidth="1"/>
    <col min="12" max="12" width="9.140625" customWidth="1"/>
    <col min="13" max="13" width="6.140625" customWidth="1"/>
    <col min="14" max="14" width="9.140625" hidden="1" customWidth="1"/>
  </cols>
  <sheetData>
    <row r="1" spans="2:25" ht="23.45">
      <c r="C1" s="8" t="s">
        <v>852</v>
      </c>
      <c r="D1" s="9"/>
    </row>
    <row r="2" spans="2:25" ht="15" thickBot="1">
      <c r="K2" s="2" t="s">
        <v>853</v>
      </c>
    </row>
    <row r="3" spans="2:25" ht="15" thickBot="1">
      <c r="B3" s="11" t="s">
        <v>854</v>
      </c>
      <c r="C3" s="15" t="s">
        <v>855</v>
      </c>
      <c r="D3" s="12" t="s">
        <v>856</v>
      </c>
      <c r="E3" s="13" t="s">
        <v>857</v>
      </c>
      <c r="F3" s="15" t="s">
        <v>858</v>
      </c>
      <c r="K3" s="1" t="s">
        <v>859</v>
      </c>
      <c r="L3" s="2" t="s">
        <v>387</v>
      </c>
      <c r="M3" s="1" t="s">
        <v>859</v>
      </c>
      <c r="N3" s="1" t="s">
        <v>859</v>
      </c>
      <c r="O3" s="2" t="s">
        <v>393</v>
      </c>
      <c r="P3" s="1" t="s">
        <v>859</v>
      </c>
      <c r="Q3" s="2" t="s">
        <v>399</v>
      </c>
      <c r="R3" s="1" t="s">
        <v>859</v>
      </c>
      <c r="S3" s="2" t="s">
        <v>31</v>
      </c>
      <c r="T3" s="1" t="s">
        <v>859</v>
      </c>
      <c r="U3" s="2" t="s">
        <v>333</v>
      </c>
      <c r="V3" s="1" t="s">
        <v>859</v>
      </c>
      <c r="W3" s="2" t="s">
        <v>340</v>
      </c>
      <c r="X3" s="1" t="s">
        <v>859</v>
      </c>
      <c r="Y3" s="2" t="s">
        <v>346</v>
      </c>
    </row>
    <row r="4" spans="2:25">
      <c r="B4" s="14" t="s">
        <v>860</v>
      </c>
      <c r="C4">
        <v>2.3674524029672901E-3</v>
      </c>
      <c r="D4">
        <f>0.0159185746273017*(-1)</f>
        <v>-1.5918574627301701E-2</v>
      </c>
      <c r="E4">
        <v>1.5918574627301733E-2</v>
      </c>
      <c r="F4">
        <v>2.3674524029672901E-3</v>
      </c>
      <c r="K4" s="1">
        <v>0.219</v>
      </c>
      <c r="L4">
        <v>7.9826106481348205E-2</v>
      </c>
      <c r="M4" s="1">
        <v>0.65</v>
      </c>
      <c r="N4" s="1">
        <v>1.075</v>
      </c>
      <c r="O4">
        <v>2.9575602534082273E-3</v>
      </c>
      <c r="P4" s="1">
        <v>1.075</v>
      </c>
      <c r="Q4">
        <v>1.1450267523245607E-2</v>
      </c>
      <c r="R4" s="1">
        <v>1.5</v>
      </c>
      <c r="S4">
        <v>8.6419846539795685E-3</v>
      </c>
      <c r="T4" s="1">
        <v>1.93</v>
      </c>
      <c r="U4">
        <v>8.5582110305342338E-2</v>
      </c>
      <c r="V4" s="1">
        <v>2.355</v>
      </c>
      <c r="W4">
        <v>1.5551591341001373E-2</v>
      </c>
      <c r="X4" s="1">
        <v>2.7850000000000001</v>
      </c>
      <c r="Y4">
        <v>1.1030722715282987E-2</v>
      </c>
    </row>
    <row r="5" spans="2:25">
      <c r="B5" s="4" t="s">
        <v>861</v>
      </c>
      <c r="C5">
        <v>6.7498536500957464E-3</v>
      </c>
      <c r="D5">
        <f>0.0191286655372363*(-1)</f>
        <v>-1.91286655372363E-2</v>
      </c>
      <c r="E5">
        <v>1.9128665537236335E-2</v>
      </c>
      <c r="F5">
        <v>6.7498536500957464E-3</v>
      </c>
      <c r="K5" s="1">
        <v>0.219</v>
      </c>
      <c r="L5">
        <v>5.3843357318307901E-3</v>
      </c>
      <c r="M5" s="1">
        <v>0.65</v>
      </c>
      <c r="N5" s="1">
        <v>1.075</v>
      </c>
      <c r="O5">
        <v>2.5098060741445567E-3</v>
      </c>
      <c r="P5" s="1">
        <v>1.075</v>
      </c>
      <c r="Q5">
        <v>2.1986526626905294E-2</v>
      </c>
      <c r="R5" s="1">
        <v>1.5</v>
      </c>
      <c r="S5">
        <v>6.310019587597685E-3</v>
      </c>
      <c r="T5" s="1">
        <v>1.93</v>
      </c>
      <c r="U5">
        <v>4.6100141633703573E-2</v>
      </c>
      <c r="V5" s="1">
        <v>2.355</v>
      </c>
      <c r="W5">
        <v>8.4271279447394615E-3</v>
      </c>
      <c r="X5" s="1">
        <v>2.7850000000000001</v>
      </c>
      <c r="Y5">
        <v>1.7613935511883748E-2</v>
      </c>
    </row>
    <row r="6" spans="2:25">
      <c r="B6" s="4" t="s">
        <v>862</v>
      </c>
      <c r="C6">
        <v>9.1117817019702192E-3</v>
      </c>
      <c r="D6">
        <f>0.0731769861309407*(-1)</f>
        <v>-7.3176986130940702E-2</v>
      </c>
      <c r="E6">
        <v>7.3176986130940661E-2</v>
      </c>
      <c r="F6">
        <v>9.1117817019702192E-3</v>
      </c>
      <c r="K6" s="1">
        <v>0.219</v>
      </c>
      <c r="L6">
        <v>0.20219230149288325</v>
      </c>
      <c r="M6" s="1">
        <v>0.65</v>
      </c>
      <c r="N6" s="1">
        <v>1.075</v>
      </c>
      <c r="O6">
        <v>5.3306118304092187E-3</v>
      </c>
      <c r="P6" s="1">
        <v>1.075</v>
      </c>
      <c r="Q6">
        <v>2.1870620151196569E-2</v>
      </c>
      <c r="R6" s="1">
        <v>1.5</v>
      </c>
      <c r="S6">
        <v>3.0988545900309116E-3</v>
      </c>
      <c r="T6" s="1">
        <v>1.93</v>
      </c>
      <c r="U6">
        <v>7.9612155699901099E-2</v>
      </c>
      <c r="V6" s="1">
        <v>2.355</v>
      </c>
      <c r="W6">
        <v>1.3668992353580076E-2</v>
      </c>
      <c r="X6" s="1">
        <v>2.7850000000000001</v>
      </c>
      <c r="Y6">
        <v>1.3307883830540769E-2</v>
      </c>
    </row>
    <row r="7" spans="2:25">
      <c r="B7" s="4" t="s">
        <v>863</v>
      </c>
      <c r="C7">
        <v>1.3915808249714157E-3</v>
      </c>
      <c r="D7">
        <f>0.00611911605070918*(-1)</f>
        <v>-6.1191160507091799E-3</v>
      </c>
      <c r="E7">
        <v>6.1191160507091816E-3</v>
      </c>
      <c r="F7">
        <v>1.3915808249714157E-3</v>
      </c>
      <c r="K7" s="1">
        <v>0.219</v>
      </c>
      <c r="L7">
        <v>1.0629515054892177E-2</v>
      </c>
      <c r="M7" s="1">
        <v>0.65</v>
      </c>
      <c r="N7" s="1">
        <v>1.075</v>
      </c>
      <c r="O7">
        <v>9.5878281337971583E-4</v>
      </c>
      <c r="P7" s="1">
        <v>1.075</v>
      </c>
      <c r="Q7">
        <v>0.18260989573529574</v>
      </c>
      <c r="R7" s="1">
        <v>1.5</v>
      </c>
      <c r="S7">
        <v>6.4256053712285627E-3</v>
      </c>
      <c r="T7" s="1">
        <v>1.93</v>
      </c>
      <c r="U7">
        <v>8.1413536884815618E-2</v>
      </c>
      <c r="V7" s="1">
        <v>2.355</v>
      </c>
      <c r="W7">
        <v>3.8866950509624423E-2</v>
      </c>
      <c r="X7" s="1">
        <v>2.7850000000000001</v>
      </c>
      <c r="Y7">
        <v>2.172175645149943E-2</v>
      </c>
    </row>
    <row r="8" spans="2:25">
      <c r="B8" s="4" t="s">
        <v>864</v>
      </c>
      <c r="C8">
        <v>4.1117770308747456E-2</v>
      </c>
      <c r="D8">
        <f>0.0594793275091608*(-1)</f>
        <v>-5.9479327509160802E-2</v>
      </c>
      <c r="E8">
        <v>3.9525122701263266E-2</v>
      </c>
      <c r="F8">
        <v>1.2941210897390818E-2</v>
      </c>
    </row>
    <row r="9" spans="2:25">
      <c r="B9" s="4" t="s">
        <v>865</v>
      </c>
      <c r="C9">
        <v>5.9298480873821949E-3</v>
      </c>
      <c r="D9">
        <f>0.0191194845352518*(-1)</f>
        <v>-1.91194845352518E-2</v>
      </c>
      <c r="E9">
        <v>5.8591151433505725E-2</v>
      </c>
      <c r="F9">
        <v>1.2941623951216412E-2</v>
      </c>
      <c r="K9" s="2" t="s">
        <v>866</v>
      </c>
    </row>
    <row r="10" spans="2:25">
      <c r="B10" s="4" t="s">
        <v>867</v>
      </c>
      <c r="C10">
        <v>9.0487655777681127E-4</v>
      </c>
      <c r="D10">
        <f>0.00293919024283543*(-1)</f>
        <v>-2.9391902428354301E-3</v>
      </c>
      <c r="E10">
        <v>3.3624129813681668E-3</v>
      </c>
      <c r="F10">
        <v>6.7978705876918575E-4</v>
      </c>
      <c r="K10" s="1" t="s">
        <v>859</v>
      </c>
      <c r="L10" s="2" t="s">
        <v>387</v>
      </c>
      <c r="M10" s="1" t="s">
        <v>859</v>
      </c>
      <c r="N10" s="1" t="s">
        <v>859</v>
      </c>
      <c r="O10" s="2" t="s">
        <v>393</v>
      </c>
      <c r="P10" s="1" t="s">
        <v>859</v>
      </c>
      <c r="Q10" s="2" t="s">
        <v>399</v>
      </c>
      <c r="R10" s="1" t="s">
        <v>859</v>
      </c>
      <c r="S10" s="2" t="s">
        <v>31</v>
      </c>
      <c r="T10" s="1" t="s">
        <v>859</v>
      </c>
      <c r="U10" s="2" t="s">
        <v>333</v>
      </c>
      <c r="V10" s="1" t="s">
        <v>859</v>
      </c>
      <c r="W10" s="2" t="s">
        <v>340</v>
      </c>
      <c r="X10" s="1" t="s">
        <v>859</v>
      </c>
      <c r="Y10" s="2" t="s">
        <v>346</v>
      </c>
    </row>
    <row r="11" spans="2:25">
      <c r="B11" s="4" t="s">
        <v>868</v>
      </c>
      <c r="C11">
        <v>1.0558403728725841E-3</v>
      </c>
      <c r="D11">
        <f>0.00361527277502406*(-1)</f>
        <v>-3.6152727750240598E-3</v>
      </c>
      <c r="E11">
        <v>8.4387102516575649E-3</v>
      </c>
      <c r="F11">
        <v>3.0465569714892139E-3</v>
      </c>
      <c r="K11" s="1">
        <v>0.219</v>
      </c>
      <c r="L11">
        <v>1.6768752492984589E-2</v>
      </c>
      <c r="M11" s="1">
        <v>0.65</v>
      </c>
      <c r="N11" s="1">
        <v>1.075</v>
      </c>
      <c r="O11">
        <v>6.3775253693634532E-3</v>
      </c>
      <c r="P11" s="1">
        <v>1.075</v>
      </c>
      <c r="Q11">
        <v>9.1849288954737561E-3</v>
      </c>
      <c r="R11" s="1">
        <v>1.5</v>
      </c>
      <c r="S11">
        <v>8.6419846539795685E-3</v>
      </c>
      <c r="T11" s="1">
        <v>1.93</v>
      </c>
      <c r="U11">
        <v>8.5582110305342338E-2</v>
      </c>
      <c r="V11" s="1">
        <v>2.355</v>
      </c>
      <c r="W11">
        <v>1.5551591341001373E-2</v>
      </c>
      <c r="X11" s="1">
        <v>2.7850000000000001</v>
      </c>
      <c r="Y11">
        <v>1.1030722715282987E-2</v>
      </c>
    </row>
    <row r="12" spans="2:25">
      <c r="B12" s="4" t="s">
        <v>869</v>
      </c>
      <c r="C12">
        <v>4.5816759038038932E-2</v>
      </c>
      <c r="D12">
        <f>0.0745080646902386*(-1)</f>
        <v>-7.4508064690238601E-2</v>
      </c>
      <c r="E12">
        <v>3.5010307076210265E-2</v>
      </c>
      <c r="F12">
        <v>9.6161980179085577E-3</v>
      </c>
      <c r="K12" s="1">
        <v>0.219</v>
      </c>
      <c r="L12">
        <v>1.6537821281936028E-2</v>
      </c>
      <c r="M12" s="1">
        <v>0.65</v>
      </c>
      <c r="N12" s="1">
        <v>1.075</v>
      </c>
      <c r="O12">
        <v>2.8648460707200759E-3</v>
      </c>
      <c r="P12" s="1">
        <v>1.075</v>
      </c>
      <c r="Q12">
        <v>1.1438163450737277E-2</v>
      </c>
      <c r="R12" s="1">
        <v>1.5</v>
      </c>
      <c r="S12">
        <v>6.310019587597685E-3</v>
      </c>
      <c r="T12" s="1">
        <v>1.93</v>
      </c>
      <c r="U12">
        <v>4.6100141633703573E-2</v>
      </c>
      <c r="V12" s="1">
        <v>2.355</v>
      </c>
      <c r="W12">
        <v>8.4271279447394615E-3</v>
      </c>
      <c r="X12" s="1">
        <v>2.7850000000000001</v>
      </c>
      <c r="Y12">
        <v>1.7613935511883748E-2</v>
      </c>
    </row>
    <row r="13" spans="2:25" ht="15" thickBot="1">
      <c r="B13" s="5" t="s">
        <v>870</v>
      </c>
      <c r="C13">
        <v>3.0305512263294914E-3</v>
      </c>
      <c r="D13">
        <f>0.0116754463201471*(-1)</f>
        <v>-1.1675446320147101E-2</v>
      </c>
      <c r="E13">
        <v>4.6161539656344452E-2</v>
      </c>
      <c r="F13">
        <v>1.5716591535239795E-2</v>
      </c>
      <c r="K13" s="1">
        <v>0.219</v>
      </c>
      <c r="L13">
        <v>9.0501190214907767E-3</v>
      </c>
      <c r="M13" s="1">
        <v>0.65</v>
      </c>
      <c r="N13" s="1">
        <v>1.075</v>
      </c>
      <c r="O13">
        <v>3.866476645675626E-3</v>
      </c>
      <c r="P13" s="1">
        <v>1.075</v>
      </c>
      <c r="Q13">
        <v>3.5313204316015021E-2</v>
      </c>
      <c r="R13" s="1">
        <v>1.5</v>
      </c>
      <c r="S13">
        <v>3.0988545900309116E-3</v>
      </c>
      <c r="T13" s="1">
        <v>1.93</v>
      </c>
      <c r="U13">
        <v>7.9612155699901099E-2</v>
      </c>
      <c r="V13" s="1">
        <v>2.355</v>
      </c>
      <c r="W13">
        <v>1.3668992353580076E-2</v>
      </c>
      <c r="X13" s="1">
        <v>2.7850000000000001</v>
      </c>
      <c r="Y13">
        <v>1.3307883830540769E-2</v>
      </c>
    </row>
    <row r="14" spans="2:25">
      <c r="K14" s="1">
        <v>0.219</v>
      </c>
      <c r="L14">
        <v>4.3450924841771125E-3</v>
      </c>
      <c r="M14" s="1">
        <v>0.65</v>
      </c>
      <c r="N14" s="1">
        <v>1.075</v>
      </c>
      <c r="O14">
        <v>1.3522430143370664E-3</v>
      </c>
      <c r="P14" s="1">
        <v>1.075</v>
      </c>
      <c r="Q14">
        <v>2.0541641478781091E-2</v>
      </c>
      <c r="R14" s="1">
        <v>1.5</v>
      </c>
      <c r="S14">
        <v>6.4256053712285627E-3</v>
      </c>
      <c r="T14" s="1">
        <v>1.93</v>
      </c>
      <c r="U14">
        <v>8.1413536884815618E-2</v>
      </c>
      <c r="V14" s="1">
        <v>2.355</v>
      </c>
      <c r="W14">
        <v>3.8866950509624423E-2</v>
      </c>
      <c r="X14" s="1">
        <v>2.7850000000000001</v>
      </c>
      <c r="Y14">
        <v>2.172175645149943E-2</v>
      </c>
    </row>
    <row r="15" spans="2:25">
      <c r="I15" s="15" t="s">
        <v>871</v>
      </c>
    </row>
    <row r="16" spans="2:25">
      <c r="B16" s="1"/>
      <c r="C16" s="1"/>
      <c r="D16" s="1"/>
      <c r="E16" s="1"/>
      <c r="F16" s="1"/>
      <c r="G16" s="1"/>
      <c r="H16" s="24" t="s">
        <v>14</v>
      </c>
      <c r="K16" s="2" t="s">
        <v>872</v>
      </c>
    </row>
    <row r="17" spans="2:25">
      <c r="B17" s="2" t="s">
        <v>853</v>
      </c>
      <c r="C17" s="24" t="s">
        <v>16</v>
      </c>
      <c r="D17" s="24" t="s">
        <v>607</v>
      </c>
      <c r="E17" s="24" t="s">
        <v>608</v>
      </c>
      <c r="F17" s="24" t="s">
        <v>609</v>
      </c>
      <c r="G17" s="24" t="s">
        <v>610</v>
      </c>
      <c r="H17" s="24" t="s">
        <v>856</v>
      </c>
      <c r="I17" s="27" t="s">
        <v>873</v>
      </c>
      <c r="K17" s="1" t="s">
        <v>859</v>
      </c>
      <c r="L17" s="2" t="s">
        <v>387</v>
      </c>
      <c r="M17" s="1" t="s">
        <v>859</v>
      </c>
      <c r="N17" s="1" t="s">
        <v>859</v>
      </c>
      <c r="O17" s="2" t="s">
        <v>393</v>
      </c>
      <c r="P17" s="1" t="s">
        <v>859</v>
      </c>
      <c r="Q17" s="2" t="s">
        <v>399</v>
      </c>
      <c r="R17" s="1" t="s">
        <v>859</v>
      </c>
      <c r="S17" s="2" t="s">
        <v>31</v>
      </c>
      <c r="T17" s="1" t="s">
        <v>859</v>
      </c>
      <c r="U17" s="2" t="s">
        <v>333</v>
      </c>
      <c r="V17" s="1" t="s">
        <v>859</v>
      </c>
      <c r="W17" s="2" t="s">
        <v>340</v>
      </c>
      <c r="X17" s="1" t="s">
        <v>859</v>
      </c>
      <c r="Y17" s="2" t="s">
        <v>346</v>
      </c>
    </row>
    <row r="18" spans="2:25">
      <c r="B18" s="2" t="s">
        <v>387</v>
      </c>
      <c r="C18">
        <v>4.5816759038038932E-2</v>
      </c>
      <c r="D18">
        <v>7.9826106481348205E-2</v>
      </c>
      <c r="E18">
        <v>5.3843357318307901E-3</v>
      </c>
      <c r="F18">
        <v>0.20219230149288325</v>
      </c>
      <c r="G18">
        <v>1.0629515054892177E-2</v>
      </c>
      <c r="H18">
        <v>7.4508064690238601E-2</v>
      </c>
      <c r="I18">
        <f>TTEST(D18:G18,D36:G36,2,3)</f>
        <v>0.4561992307067676</v>
      </c>
      <c r="K18" s="1">
        <v>0.219</v>
      </c>
      <c r="L18">
        <v>1.5040634415693423E-2</v>
      </c>
      <c r="M18" s="1">
        <v>0.65</v>
      </c>
      <c r="N18" s="1">
        <v>1.075</v>
      </c>
      <c r="O18">
        <v>3.1322883050842491E-3</v>
      </c>
      <c r="P18" s="1">
        <v>1.075</v>
      </c>
      <c r="Q18">
        <v>1.4842291063875029E-3</v>
      </c>
      <c r="R18" s="1">
        <v>1.5</v>
      </c>
      <c r="S18">
        <v>8.6419846539795685E-3</v>
      </c>
      <c r="T18" s="1">
        <v>1.93</v>
      </c>
      <c r="U18">
        <v>8.5582110305342338E-2</v>
      </c>
      <c r="V18" s="1">
        <v>2.355</v>
      </c>
      <c r="W18">
        <v>1.5551591341001373E-2</v>
      </c>
      <c r="X18" s="1">
        <v>2.7850000000000001</v>
      </c>
      <c r="Y18">
        <v>1.1030722715282987E-2</v>
      </c>
    </row>
    <row r="19" spans="2:25">
      <c r="B19" s="2" t="s">
        <v>393</v>
      </c>
      <c r="C19">
        <v>9.0487655777681127E-4</v>
      </c>
      <c r="D19">
        <v>2.9575602534082273E-3</v>
      </c>
      <c r="E19">
        <v>2.5098060741445567E-3</v>
      </c>
      <c r="F19">
        <v>5.3306118304092187E-3</v>
      </c>
      <c r="G19">
        <v>9.5878281337971583E-4</v>
      </c>
      <c r="H19">
        <v>2.9391902428354301E-3</v>
      </c>
      <c r="I19">
        <f t="shared" ref="I19:I23" si="0">TTEST(D19:G19,D37:G37,2,3)</f>
        <v>0.72226600981133005</v>
      </c>
      <c r="K19" s="1">
        <v>0.219</v>
      </c>
      <c r="L19">
        <v>3.6010113943080388E-2</v>
      </c>
      <c r="M19" s="1">
        <v>0.65</v>
      </c>
      <c r="N19" s="1">
        <v>1.075</v>
      </c>
      <c r="O19">
        <v>4.9391943045686247E-3</v>
      </c>
      <c r="P19" s="1">
        <v>1.075</v>
      </c>
      <c r="Q19">
        <v>4.5008355709376904E-2</v>
      </c>
      <c r="R19" s="1">
        <v>1.5</v>
      </c>
      <c r="S19">
        <v>6.310019587597685E-3</v>
      </c>
      <c r="T19" s="1">
        <v>1.93</v>
      </c>
      <c r="U19">
        <v>4.6100141633703573E-2</v>
      </c>
      <c r="V19" s="1">
        <v>2.355</v>
      </c>
      <c r="W19">
        <v>8.4271279447394615E-3</v>
      </c>
      <c r="X19" s="1">
        <v>2.7850000000000001</v>
      </c>
      <c r="Y19">
        <v>1.7613935511883748E-2</v>
      </c>
    </row>
    <row r="20" spans="2:25">
      <c r="B20" s="2" t="s">
        <v>399</v>
      </c>
      <c r="C20">
        <v>4.1117770308747456E-2</v>
      </c>
      <c r="D20">
        <v>1.1450267523245607E-2</v>
      </c>
      <c r="E20">
        <v>2.1986526626905294E-2</v>
      </c>
      <c r="F20">
        <v>2.1870620151196569E-2</v>
      </c>
      <c r="G20" s="31">
        <v>0.18260989573529574</v>
      </c>
      <c r="H20">
        <v>5.9479327509160802E-2</v>
      </c>
      <c r="I20">
        <f>TTEST(D20:G20,D38:G38,2,3)</f>
        <v>0.67009020870506042</v>
      </c>
      <c r="K20" s="1">
        <v>0.219</v>
      </c>
      <c r="L20">
        <v>6.0773136455408459E-2</v>
      </c>
      <c r="M20" s="1">
        <v>0.65</v>
      </c>
      <c r="N20" s="1">
        <v>1.075</v>
      </c>
      <c r="O20">
        <v>3.7136300627285193E-3</v>
      </c>
      <c r="P20" s="1">
        <v>1.075</v>
      </c>
      <c r="Q20">
        <v>5.46807404747639E-2</v>
      </c>
      <c r="R20" s="1">
        <v>1.5</v>
      </c>
      <c r="S20">
        <v>3.0988545900309116E-3</v>
      </c>
      <c r="T20" s="1">
        <v>1.93</v>
      </c>
      <c r="U20">
        <v>7.9612155699901099E-2</v>
      </c>
      <c r="V20" s="1">
        <v>2.355</v>
      </c>
      <c r="W20">
        <v>1.3668992353580076E-2</v>
      </c>
      <c r="X20" s="1">
        <v>2.7850000000000001</v>
      </c>
      <c r="Y20">
        <v>1.3307883830540769E-2</v>
      </c>
    </row>
    <row r="21" spans="2:25">
      <c r="B21" s="2" t="s">
        <v>31</v>
      </c>
      <c r="C21">
        <v>1.3915808249714157E-3</v>
      </c>
      <c r="D21">
        <v>8.6419846539795685E-3</v>
      </c>
      <c r="E21">
        <v>6.310019587597685E-3</v>
      </c>
      <c r="F21">
        <v>3.0988545900309116E-3</v>
      </c>
      <c r="G21">
        <v>6.4256053712285627E-3</v>
      </c>
      <c r="H21">
        <v>6.1191160507091816E-3</v>
      </c>
      <c r="I21">
        <f t="shared" si="0"/>
        <v>1</v>
      </c>
      <c r="K21" s="1">
        <v>0.219</v>
      </c>
      <c r="L21">
        <v>2.8217343490658811E-2</v>
      </c>
      <c r="M21" s="1">
        <v>0.65</v>
      </c>
      <c r="N21" s="1">
        <v>1.075</v>
      </c>
      <c r="O21">
        <v>1.6645392530912741E-3</v>
      </c>
      <c r="P21" s="1">
        <v>1.075</v>
      </c>
      <c r="Q21">
        <v>5.6927165514524765E-2</v>
      </c>
      <c r="R21" s="1">
        <v>1.5</v>
      </c>
      <c r="S21">
        <v>6.4256053712285627E-3</v>
      </c>
      <c r="T21" s="1">
        <v>1.93</v>
      </c>
      <c r="U21">
        <v>8.1413536884815618E-2</v>
      </c>
      <c r="V21" s="1">
        <v>2.355</v>
      </c>
      <c r="W21">
        <v>3.8866950509624423E-2</v>
      </c>
      <c r="X21" s="1">
        <v>2.7850000000000001</v>
      </c>
      <c r="Y21">
        <v>2.172175645149943E-2</v>
      </c>
    </row>
    <row r="22" spans="2:25">
      <c r="B22" s="2" t="s">
        <v>333</v>
      </c>
      <c r="C22">
        <v>9.1117817019702192E-3</v>
      </c>
      <c r="D22">
        <v>8.5582110305342338E-2</v>
      </c>
      <c r="E22" s="31">
        <v>4.6100141633703573E-2</v>
      </c>
      <c r="F22">
        <v>7.9612155699901099E-2</v>
      </c>
      <c r="G22">
        <v>8.1413536884815618E-2</v>
      </c>
      <c r="H22">
        <v>7.3176986130940661E-2</v>
      </c>
      <c r="I22">
        <f t="shared" si="0"/>
        <v>1</v>
      </c>
    </row>
    <row r="23" spans="2:25">
      <c r="B23" s="2" t="s">
        <v>340</v>
      </c>
      <c r="C23">
        <v>6.7498536500957464E-3</v>
      </c>
      <c r="D23">
        <v>1.5551591341001373E-2</v>
      </c>
      <c r="E23">
        <v>8.4271279447394615E-3</v>
      </c>
      <c r="F23">
        <v>1.3668992353580076E-2</v>
      </c>
      <c r="G23">
        <v>3.8866950509624423E-2</v>
      </c>
      <c r="H23">
        <v>1.9128665537236335E-2</v>
      </c>
      <c r="I23">
        <f t="shared" si="0"/>
        <v>1</v>
      </c>
      <c r="K23" s="2" t="s">
        <v>874</v>
      </c>
    </row>
    <row r="24" spans="2:25">
      <c r="B24" s="2" t="s">
        <v>346</v>
      </c>
      <c r="C24">
        <v>2.3674524029672901E-3</v>
      </c>
      <c r="D24">
        <v>1.1030722715282987E-2</v>
      </c>
      <c r="E24">
        <v>1.7613935511883748E-2</v>
      </c>
      <c r="F24">
        <v>1.3307883830540769E-2</v>
      </c>
      <c r="G24">
        <v>2.172175645149943E-2</v>
      </c>
      <c r="H24">
        <v>1.5918574627301733E-2</v>
      </c>
      <c r="I24">
        <f>TTEST(D24:G24,D42:G42,2,3)</f>
        <v>1</v>
      </c>
      <c r="K24" s="1" t="s">
        <v>859</v>
      </c>
      <c r="L24" s="2" t="s">
        <v>387</v>
      </c>
      <c r="M24" s="1" t="s">
        <v>859</v>
      </c>
      <c r="N24" s="1" t="s">
        <v>859</v>
      </c>
      <c r="O24" s="2" t="s">
        <v>393</v>
      </c>
      <c r="P24" s="1" t="s">
        <v>859</v>
      </c>
      <c r="Q24" s="2" t="s">
        <v>399</v>
      </c>
      <c r="R24" s="1" t="s">
        <v>859</v>
      </c>
      <c r="S24" s="2" t="s">
        <v>31</v>
      </c>
      <c r="T24" s="1" t="s">
        <v>859</v>
      </c>
      <c r="U24" s="2" t="s">
        <v>333</v>
      </c>
      <c r="V24" s="1" t="s">
        <v>859</v>
      </c>
      <c r="W24" s="2" t="s">
        <v>340</v>
      </c>
      <c r="X24" s="1" t="s">
        <v>859</v>
      </c>
      <c r="Y24" s="2" t="s">
        <v>346</v>
      </c>
    </row>
    <row r="25" spans="2:25">
      <c r="K25" s="1">
        <v>0.219</v>
      </c>
      <c r="L25">
        <v>5.82400451015898E-3</v>
      </c>
      <c r="M25" s="1">
        <v>0.65</v>
      </c>
      <c r="N25" s="1">
        <v>1.075</v>
      </c>
      <c r="O25">
        <v>3.0967453979587195E-3</v>
      </c>
      <c r="P25" s="1">
        <v>1.075</v>
      </c>
      <c r="Q25">
        <v>5.6433642439862972E-2</v>
      </c>
      <c r="R25" s="1">
        <v>1.5</v>
      </c>
      <c r="S25">
        <v>8.6419846539795685E-3</v>
      </c>
      <c r="T25" s="1">
        <v>1.93</v>
      </c>
      <c r="U25">
        <v>8.5582110305342338E-2</v>
      </c>
      <c r="V25" s="1">
        <v>2.355</v>
      </c>
      <c r="W25">
        <v>1.5551591341001373E-2</v>
      </c>
      <c r="X25" s="1">
        <v>2.7850000000000001</v>
      </c>
      <c r="Y25">
        <v>1.1030722715282987E-2</v>
      </c>
    </row>
    <row r="26" spans="2:25">
      <c r="B26" s="2" t="s">
        <v>866</v>
      </c>
      <c r="C26" s="24" t="s">
        <v>16</v>
      </c>
      <c r="D26" s="24" t="s">
        <v>607</v>
      </c>
      <c r="E26" s="24" t="s">
        <v>608</v>
      </c>
      <c r="F26" s="24" t="s">
        <v>609</v>
      </c>
      <c r="G26" s="24" t="s">
        <v>610</v>
      </c>
      <c r="H26" s="24" t="s">
        <v>856</v>
      </c>
      <c r="I26" s="27" t="s">
        <v>873</v>
      </c>
      <c r="K26" s="1">
        <v>0.219</v>
      </c>
      <c r="L26">
        <v>3.7207016511361934E-2</v>
      </c>
      <c r="M26" s="1">
        <v>0.65</v>
      </c>
      <c r="N26" s="1">
        <v>1.075</v>
      </c>
      <c r="O26">
        <v>1.6149872100150672E-2</v>
      </c>
      <c r="P26" s="1">
        <v>1.075</v>
      </c>
      <c r="Q26">
        <v>3.549467311875628E-2</v>
      </c>
      <c r="R26" s="1">
        <v>1.5</v>
      </c>
      <c r="S26">
        <v>6.310019587597685E-3</v>
      </c>
      <c r="T26" s="1">
        <v>1.93</v>
      </c>
      <c r="U26">
        <v>4.6100141633703573E-2</v>
      </c>
      <c r="V26" s="1">
        <v>2.355</v>
      </c>
      <c r="W26">
        <v>8.4271279447394615E-3</v>
      </c>
      <c r="X26" s="1">
        <v>2.7850000000000001</v>
      </c>
      <c r="Y26">
        <v>1.7613935511883748E-2</v>
      </c>
    </row>
    <row r="27" spans="2:25">
      <c r="B27" s="2" t="s">
        <v>387</v>
      </c>
      <c r="C27">
        <v>3.0305512263294914E-3</v>
      </c>
      <c r="D27">
        <v>1.6768752492984589E-2</v>
      </c>
      <c r="E27">
        <v>1.6537821281936028E-2</v>
      </c>
      <c r="F27">
        <v>9.0501190214907767E-3</v>
      </c>
      <c r="G27">
        <v>4.3450924841771125E-3</v>
      </c>
      <c r="H27">
        <v>1.1675446320147101E-2</v>
      </c>
      <c r="I27">
        <f>TTEST(D27:G27,D45:G45,2,3)</f>
        <v>0.11394733207913549</v>
      </c>
      <c r="K27" s="1">
        <v>0.219</v>
      </c>
      <c r="L27">
        <v>6.6226015456548243E-2</v>
      </c>
      <c r="M27" s="1">
        <v>0.65</v>
      </c>
      <c r="N27" s="1">
        <v>1.075</v>
      </c>
      <c r="O27">
        <v>4.0468574913063906E-3</v>
      </c>
      <c r="P27" s="1">
        <v>1.075</v>
      </c>
      <c r="Q27">
        <v>9.5226929655530548E-2</v>
      </c>
      <c r="R27" s="1">
        <v>1.5</v>
      </c>
      <c r="S27">
        <v>3.0988545900309116E-3</v>
      </c>
      <c r="T27" s="1">
        <v>1.93</v>
      </c>
      <c r="U27">
        <v>7.9612155699901099E-2</v>
      </c>
      <c r="V27" s="1">
        <v>2.355</v>
      </c>
      <c r="W27">
        <v>1.3668992353580076E-2</v>
      </c>
      <c r="X27" s="1">
        <v>2.7850000000000001</v>
      </c>
      <c r="Y27">
        <v>1.3307883830540769E-2</v>
      </c>
    </row>
    <row r="28" spans="2:25">
      <c r="B28" s="2" t="s">
        <v>393</v>
      </c>
      <c r="C28">
        <v>1.0558403728725841E-3</v>
      </c>
      <c r="D28">
        <v>6.3775253693634532E-3</v>
      </c>
      <c r="E28">
        <v>2.8648460707200759E-3</v>
      </c>
      <c r="F28">
        <v>3.866476645675626E-3</v>
      </c>
      <c r="G28">
        <v>1.3522430143370664E-3</v>
      </c>
      <c r="H28">
        <v>3.6152727750240598E-3</v>
      </c>
      <c r="I28">
        <f t="shared" ref="I28:I33" si="1">TTEST(D28:G28,D46:G46,2,3)</f>
        <v>0.21438235172021475</v>
      </c>
      <c r="K28" s="1">
        <v>0.219</v>
      </c>
      <c r="L28">
        <v>7.538912214730864E-2</v>
      </c>
      <c r="M28" s="1">
        <v>0.65</v>
      </c>
      <c r="N28" s="1">
        <v>1.075</v>
      </c>
      <c r="O28">
        <v>1.0461366017214483E-2</v>
      </c>
      <c r="P28" s="1">
        <v>1.075</v>
      </c>
      <c r="Q28">
        <v>4.7209360519873129E-2</v>
      </c>
      <c r="R28" s="1">
        <v>1.5</v>
      </c>
      <c r="S28">
        <v>6.4256053712285627E-3</v>
      </c>
      <c r="T28" s="1">
        <v>1.93</v>
      </c>
      <c r="U28">
        <v>8.1413536884815618E-2</v>
      </c>
      <c r="V28" s="1">
        <v>2.355</v>
      </c>
      <c r="W28">
        <v>3.8866950509624423E-2</v>
      </c>
      <c r="X28" s="1">
        <v>2.7850000000000001</v>
      </c>
      <c r="Y28">
        <v>2.172175645149943E-2</v>
      </c>
    </row>
    <row r="29" spans="2:25">
      <c r="B29" s="2" t="s">
        <v>399</v>
      </c>
      <c r="C29">
        <v>5.9298480873821949E-3</v>
      </c>
      <c r="D29">
        <v>9.1849288954737561E-3</v>
      </c>
      <c r="E29">
        <v>1.1438163450737277E-2</v>
      </c>
      <c r="F29">
        <v>3.5313204316015021E-2</v>
      </c>
      <c r="G29">
        <v>2.0541641478781091E-2</v>
      </c>
      <c r="H29">
        <v>1.91194845352518E-2</v>
      </c>
      <c r="I29" s="9">
        <f>TTEST(D29:G29,D47:G47,2,3)</f>
        <v>4.7448958003140862E-2</v>
      </c>
      <c r="J29" s="28" t="s">
        <v>875</v>
      </c>
    </row>
    <row r="30" spans="2:25">
      <c r="B30" s="2" t="s">
        <v>31</v>
      </c>
      <c r="C30">
        <v>1.3915808249714157E-3</v>
      </c>
      <c r="D30">
        <v>8.6419846539795685E-3</v>
      </c>
      <c r="E30">
        <v>6.310019587597685E-3</v>
      </c>
      <c r="F30">
        <v>3.0988545900309116E-3</v>
      </c>
      <c r="G30">
        <v>6.4256053712285627E-3</v>
      </c>
      <c r="H30">
        <v>6.1191160507091816E-3</v>
      </c>
      <c r="I30">
        <f t="shared" si="1"/>
        <v>1</v>
      </c>
    </row>
    <row r="31" spans="2:25">
      <c r="B31" s="2" t="s">
        <v>333</v>
      </c>
      <c r="C31">
        <v>9.1117817019702192E-3</v>
      </c>
      <c r="D31">
        <v>8.5582110305342338E-2</v>
      </c>
      <c r="E31">
        <v>4.6100141633703573E-2</v>
      </c>
      <c r="F31">
        <v>7.9612155699901099E-2</v>
      </c>
      <c r="G31">
        <v>8.1413536884815618E-2</v>
      </c>
      <c r="H31">
        <v>7.3176986130940661E-2</v>
      </c>
      <c r="I31">
        <f t="shared" si="1"/>
        <v>1</v>
      </c>
    </row>
    <row r="32" spans="2:25">
      <c r="B32" s="2" t="s">
        <v>340</v>
      </c>
      <c r="C32">
        <v>6.7498536500957464E-3</v>
      </c>
      <c r="D32">
        <v>1.5551591341001373E-2</v>
      </c>
      <c r="E32">
        <v>8.4271279447394615E-3</v>
      </c>
      <c r="F32">
        <v>1.3668992353580076E-2</v>
      </c>
      <c r="G32">
        <v>3.8866950509624423E-2</v>
      </c>
      <c r="H32">
        <v>1.9128665537236335E-2</v>
      </c>
      <c r="I32">
        <f t="shared" si="1"/>
        <v>1</v>
      </c>
    </row>
    <row r="33" spans="2:9">
      <c r="B33" s="2" t="s">
        <v>346</v>
      </c>
      <c r="C33">
        <v>2.3674524029672901E-3</v>
      </c>
      <c r="D33">
        <v>1.1030722715282987E-2</v>
      </c>
      <c r="E33">
        <v>1.7613935511883748E-2</v>
      </c>
      <c r="F33">
        <v>1.3307883830540769E-2</v>
      </c>
      <c r="G33">
        <v>2.172175645149943E-2</v>
      </c>
      <c r="H33">
        <v>1.5918574627301733E-2</v>
      </c>
      <c r="I33">
        <f t="shared" si="1"/>
        <v>1</v>
      </c>
    </row>
    <row r="35" spans="2:9">
      <c r="B35" s="2" t="s">
        <v>872</v>
      </c>
      <c r="C35" s="24" t="s">
        <v>16</v>
      </c>
      <c r="D35" s="24" t="s">
        <v>607</v>
      </c>
      <c r="E35" s="24" t="s">
        <v>608</v>
      </c>
      <c r="F35" s="24" t="s">
        <v>609</v>
      </c>
      <c r="G35" s="24" t="s">
        <v>610</v>
      </c>
      <c r="H35" s="24" t="s">
        <v>857</v>
      </c>
    </row>
    <row r="36" spans="2:9">
      <c r="B36" s="2" t="s">
        <v>387</v>
      </c>
      <c r="C36">
        <v>9.6161980179085577E-3</v>
      </c>
      <c r="D36">
        <v>1.5040634415693423E-2</v>
      </c>
      <c r="E36">
        <v>3.6010113943080388E-2</v>
      </c>
      <c r="F36">
        <v>6.0773136455408459E-2</v>
      </c>
      <c r="G36">
        <v>2.8217343490658811E-2</v>
      </c>
      <c r="H36">
        <v>3.5010307076210265E-2</v>
      </c>
    </row>
    <row r="37" spans="2:9">
      <c r="B37" s="2" t="s">
        <v>393</v>
      </c>
      <c r="C37">
        <v>6.7978705876918575E-4</v>
      </c>
      <c r="D37">
        <v>3.1322883050842491E-3</v>
      </c>
      <c r="E37">
        <v>4.9391943045686247E-3</v>
      </c>
      <c r="F37">
        <v>3.7136300627285193E-3</v>
      </c>
      <c r="G37">
        <v>1.6645392530912741E-3</v>
      </c>
      <c r="H37">
        <v>3.3624129813681668E-3</v>
      </c>
    </row>
    <row r="38" spans="2:9">
      <c r="B38" s="2" t="s">
        <v>399</v>
      </c>
      <c r="C38">
        <v>1.2941210897390818E-2</v>
      </c>
      <c r="D38">
        <v>1.4842291063875029E-3</v>
      </c>
      <c r="E38">
        <v>4.5008355709376904E-2</v>
      </c>
      <c r="F38">
        <v>5.46807404747639E-2</v>
      </c>
      <c r="G38">
        <v>5.6927165514524765E-2</v>
      </c>
      <c r="H38">
        <v>3.9525122701263266E-2</v>
      </c>
    </row>
    <row r="39" spans="2:9">
      <c r="B39" s="2" t="s">
        <v>31</v>
      </c>
      <c r="C39">
        <v>1.3915808249714157E-3</v>
      </c>
      <c r="D39">
        <v>8.6419846539795685E-3</v>
      </c>
      <c r="E39">
        <v>6.310019587597685E-3</v>
      </c>
      <c r="F39">
        <v>3.0988545900309116E-3</v>
      </c>
      <c r="G39">
        <v>6.4256053712285627E-3</v>
      </c>
      <c r="H39">
        <v>6.1191160507091816E-3</v>
      </c>
    </row>
    <row r="40" spans="2:9">
      <c r="B40" s="2" t="s">
        <v>333</v>
      </c>
      <c r="C40">
        <v>9.1117817019702192E-3</v>
      </c>
      <c r="D40">
        <v>8.5582110305342338E-2</v>
      </c>
      <c r="E40">
        <v>4.6100141633703573E-2</v>
      </c>
      <c r="F40">
        <v>7.9612155699901099E-2</v>
      </c>
      <c r="G40">
        <v>8.1413536884815618E-2</v>
      </c>
      <c r="H40">
        <v>7.3176986130940661E-2</v>
      </c>
    </row>
    <row r="41" spans="2:9">
      <c r="B41" s="2" t="s">
        <v>340</v>
      </c>
      <c r="C41">
        <v>6.7498536500957464E-3</v>
      </c>
      <c r="D41">
        <v>1.5551591341001373E-2</v>
      </c>
      <c r="E41">
        <v>8.4271279447394615E-3</v>
      </c>
      <c r="F41">
        <v>1.3668992353580076E-2</v>
      </c>
      <c r="G41">
        <v>3.8866950509624423E-2</v>
      </c>
      <c r="H41">
        <v>1.9128665537236335E-2</v>
      </c>
    </row>
    <row r="42" spans="2:9">
      <c r="B42" s="2" t="s">
        <v>346</v>
      </c>
      <c r="C42">
        <v>2.3674524029672901E-3</v>
      </c>
      <c r="D42">
        <v>1.1030722715282987E-2</v>
      </c>
      <c r="E42">
        <v>1.7613935511883748E-2</v>
      </c>
      <c r="F42">
        <v>1.3307883830540769E-2</v>
      </c>
      <c r="G42">
        <v>2.172175645149943E-2</v>
      </c>
      <c r="H42">
        <v>1.5918574627301733E-2</v>
      </c>
    </row>
    <row r="44" spans="2:9">
      <c r="B44" s="2" t="s">
        <v>874</v>
      </c>
      <c r="C44" s="24" t="s">
        <v>16</v>
      </c>
      <c r="D44" s="24" t="s">
        <v>607</v>
      </c>
      <c r="E44" s="24" t="s">
        <v>608</v>
      </c>
      <c r="F44" s="24" t="s">
        <v>609</v>
      </c>
      <c r="G44" s="24" t="s">
        <v>610</v>
      </c>
      <c r="H44" s="24" t="s">
        <v>857</v>
      </c>
    </row>
    <row r="45" spans="2:9">
      <c r="B45" s="2" t="s">
        <v>387</v>
      </c>
      <c r="C45">
        <v>1.5716591535239795E-2</v>
      </c>
      <c r="D45">
        <v>5.82400451015898E-3</v>
      </c>
      <c r="E45">
        <v>3.7207016511361934E-2</v>
      </c>
      <c r="F45">
        <v>6.6226015456548243E-2</v>
      </c>
      <c r="G45">
        <v>7.538912214730864E-2</v>
      </c>
      <c r="H45">
        <v>4.6161539656344452E-2</v>
      </c>
    </row>
    <row r="46" spans="2:9">
      <c r="B46" s="2" t="s">
        <v>393</v>
      </c>
      <c r="C46">
        <v>3.0465569714892139E-3</v>
      </c>
      <c r="D46">
        <v>3.0967453979587195E-3</v>
      </c>
      <c r="E46">
        <v>1.6149872100150672E-2</v>
      </c>
      <c r="F46">
        <v>4.0468574913063906E-3</v>
      </c>
      <c r="G46">
        <v>1.0461366017214483E-2</v>
      </c>
      <c r="H46">
        <v>8.4387102516575649E-3</v>
      </c>
    </row>
    <row r="47" spans="2:9">
      <c r="B47" s="2" t="s">
        <v>399</v>
      </c>
      <c r="C47">
        <v>1.2941623951216412E-2</v>
      </c>
      <c r="D47">
        <v>5.6433642439862972E-2</v>
      </c>
      <c r="E47">
        <v>3.549467311875628E-2</v>
      </c>
      <c r="F47">
        <v>9.5226929655530548E-2</v>
      </c>
      <c r="G47">
        <v>4.7209360519873129E-2</v>
      </c>
      <c r="H47">
        <v>5.8591151433505725E-2</v>
      </c>
    </row>
    <row r="48" spans="2:9">
      <c r="B48" s="2" t="s">
        <v>31</v>
      </c>
      <c r="C48">
        <v>1.3915808249714157E-3</v>
      </c>
      <c r="D48">
        <v>8.6419846539795685E-3</v>
      </c>
      <c r="E48">
        <v>6.310019587597685E-3</v>
      </c>
      <c r="F48">
        <v>3.0988545900309116E-3</v>
      </c>
      <c r="G48">
        <v>6.4256053712285627E-3</v>
      </c>
      <c r="H48">
        <v>6.1191160507091816E-3</v>
      </c>
    </row>
    <row r="49" spans="2:16">
      <c r="B49" s="2" t="s">
        <v>333</v>
      </c>
      <c r="C49">
        <v>9.1117817019702192E-3</v>
      </c>
      <c r="D49">
        <v>8.5582110305342338E-2</v>
      </c>
      <c r="E49">
        <v>4.6100141633703573E-2</v>
      </c>
      <c r="F49">
        <v>7.9612155699901099E-2</v>
      </c>
      <c r="G49">
        <v>8.1413536884815618E-2</v>
      </c>
      <c r="H49">
        <v>7.3176986130940661E-2</v>
      </c>
    </row>
    <row r="50" spans="2:16">
      <c r="B50" s="2" t="s">
        <v>340</v>
      </c>
      <c r="C50">
        <v>6.7498536500957464E-3</v>
      </c>
      <c r="D50">
        <v>1.5551591341001373E-2</v>
      </c>
      <c r="E50">
        <v>8.4271279447394615E-3</v>
      </c>
      <c r="F50">
        <v>1.3668992353580076E-2</v>
      </c>
      <c r="G50">
        <v>3.8866950509624423E-2</v>
      </c>
      <c r="H50">
        <v>1.9128665537236335E-2</v>
      </c>
    </row>
    <row r="51" spans="2:16">
      <c r="B51" s="2" t="s">
        <v>346</v>
      </c>
      <c r="C51">
        <v>2.3674524029672901E-3</v>
      </c>
      <c r="D51">
        <v>1.1030722715282987E-2</v>
      </c>
      <c r="E51">
        <v>1.7613935511883748E-2</v>
      </c>
      <c r="F51">
        <v>1.3307883830540769E-2</v>
      </c>
      <c r="G51">
        <v>2.172175645149943E-2</v>
      </c>
      <c r="H51">
        <v>1.5918574627301733E-2</v>
      </c>
    </row>
    <row r="52" spans="2:16">
      <c r="P52" s="15" t="s">
        <v>876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ADD4-D552-4181-A6E8-14811750608C}">
  <dimension ref="B1:X54"/>
  <sheetViews>
    <sheetView topLeftCell="A36" zoomScale="85" zoomScaleNormal="85" workbookViewId="0">
      <selection activeCell="J51" sqref="J51"/>
    </sheetView>
  </sheetViews>
  <sheetFormatPr defaultRowHeight="14.45"/>
  <cols>
    <col min="2" max="2" width="18.140625" customWidth="1"/>
    <col min="3" max="3" width="18.5703125" customWidth="1"/>
    <col min="4" max="4" width="14.7109375" customWidth="1"/>
    <col min="5" max="5" width="14.85546875" customWidth="1"/>
    <col min="6" max="6" width="13.42578125" customWidth="1"/>
    <col min="7" max="7" width="14.7109375" customWidth="1"/>
    <col min="8" max="8" width="19.5703125" customWidth="1"/>
  </cols>
  <sheetData>
    <row r="1" spans="2:24" ht="24" thickBot="1">
      <c r="C1" s="8" t="s">
        <v>877</v>
      </c>
      <c r="D1" s="9"/>
      <c r="E1" s="9"/>
    </row>
    <row r="2" spans="2:24" ht="15" thickBot="1">
      <c r="B2" s="11" t="s">
        <v>854</v>
      </c>
      <c r="C2" s="15" t="s">
        <v>855</v>
      </c>
      <c r="D2" s="12" t="s">
        <v>856</v>
      </c>
      <c r="E2" s="13" t="s">
        <v>857</v>
      </c>
      <c r="F2" s="15" t="s">
        <v>858</v>
      </c>
      <c r="K2" s="2" t="s">
        <v>853</v>
      </c>
    </row>
    <row r="3" spans="2:24">
      <c r="B3" s="14" t="s">
        <v>860</v>
      </c>
      <c r="C3" s="1">
        <v>1.6610654386944156E-2</v>
      </c>
      <c r="D3">
        <f>0.143639694377719*(-1)</f>
        <v>-0.14363969437771901</v>
      </c>
      <c r="E3">
        <v>0.14363969437771934</v>
      </c>
      <c r="F3" s="1">
        <v>1.6610654386944156E-2</v>
      </c>
      <c r="K3" s="1" t="s">
        <v>859</v>
      </c>
      <c r="L3" s="2" t="s">
        <v>387</v>
      </c>
      <c r="M3" s="1" t="s">
        <v>859</v>
      </c>
      <c r="N3" s="2" t="s">
        <v>393</v>
      </c>
      <c r="O3" s="1" t="s">
        <v>859</v>
      </c>
      <c r="P3" s="2" t="s">
        <v>399</v>
      </c>
      <c r="Q3" s="1" t="s">
        <v>859</v>
      </c>
      <c r="R3" s="2" t="s">
        <v>31</v>
      </c>
      <c r="S3" s="1" t="s">
        <v>859</v>
      </c>
      <c r="T3" s="2" t="s">
        <v>333</v>
      </c>
      <c r="U3" s="1" t="s">
        <v>859</v>
      </c>
      <c r="V3" s="2" t="s">
        <v>340</v>
      </c>
      <c r="W3" s="1" t="s">
        <v>859</v>
      </c>
      <c r="X3" s="2" t="s">
        <v>346</v>
      </c>
    </row>
    <row r="4" spans="2:24">
      <c r="B4" s="4" t="s">
        <v>861</v>
      </c>
      <c r="C4" s="1">
        <v>5.9372700470172859E-2</v>
      </c>
      <c r="D4">
        <f>0.130893383739805*(-1)</f>
        <v>-0.130893383739805</v>
      </c>
      <c r="E4">
        <v>0.1308933837398048</v>
      </c>
      <c r="F4" s="1">
        <v>5.9372700470172859E-2</v>
      </c>
      <c r="G4" s="1"/>
      <c r="H4" s="1"/>
      <c r="I4" s="1"/>
      <c r="J4" s="1"/>
      <c r="K4" s="1">
        <v>0.219</v>
      </c>
      <c r="L4">
        <v>8.7775818002461259E-2</v>
      </c>
      <c r="M4" s="1">
        <v>0.65</v>
      </c>
      <c r="N4">
        <v>3.3184486396795415E-2</v>
      </c>
      <c r="O4" s="1">
        <v>1.075</v>
      </c>
      <c r="P4">
        <v>1.7834575582509098E-2</v>
      </c>
      <c r="Q4" s="1">
        <v>1.5</v>
      </c>
      <c r="R4">
        <v>2.3056899105932394E-3</v>
      </c>
      <c r="S4" s="1">
        <v>1.93</v>
      </c>
      <c r="T4">
        <v>0.29426571029435772</v>
      </c>
      <c r="U4" s="1">
        <v>2.355</v>
      </c>
      <c r="V4">
        <v>8.7196924807046522E-2</v>
      </c>
      <c r="W4" s="1">
        <v>2.7850000000000001</v>
      </c>
      <c r="X4">
        <v>9.8284559468470797E-2</v>
      </c>
    </row>
    <row r="5" spans="2:24">
      <c r="B5" s="4" t="s">
        <v>862</v>
      </c>
      <c r="C5" s="1">
        <v>5.1830043809924363E-2</v>
      </c>
      <c r="D5">
        <f>0.185421834058022*(-1)</f>
        <v>-0.18542183405802201</v>
      </c>
      <c r="E5">
        <v>0.18542183405802196</v>
      </c>
      <c r="F5" s="1">
        <v>5.1830043809924363E-2</v>
      </c>
      <c r="G5" s="1"/>
      <c r="H5" s="1"/>
      <c r="I5" s="1"/>
      <c r="J5" s="1"/>
      <c r="K5" s="1">
        <v>0.219</v>
      </c>
      <c r="L5">
        <v>2.9844028898579206E-2</v>
      </c>
      <c r="M5" s="1">
        <v>0.65</v>
      </c>
      <c r="N5">
        <v>1.3406421357911039E-2</v>
      </c>
      <c r="O5" s="1">
        <v>1.075</v>
      </c>
      <c r="P5">
        <v>5.8415398271393304E-2</v>
      </c>
      <c r="Q5" s="1">
        <v>1.5</v>
      </c>
      <c r="R5">
        <v>6.0855309099535244E-3</v>
      </c>
      <c r="S5" s="1">
        <v>1.93</v>
      </c>
      <c r="T5">
        <v>8.3697124517544783E-2</v>
      </c>
      <c r="U5" s="1">
        <v>2.355</v>
      </c>
      <c r="V5">
        <v>5.6443491741829069E-2</v>
      </c>
      <c r="W5" s="1">
        <v>2.7850000000000001</v>
      </c>
      <c r="X5">
        <v>0.16919468263981696</v>
      </c>
    </row>
    <row r="6" spans="2:24">
      <c r="B6" s="4" t="s">
        <v>863</v>
      </c>
      <c r="C6" s="1">
        <v>9.4632028766567682E-4</v>
      </c>
      <c r="D6">
        <f>0.00504553157091184*(-1)</f>
        <v>-5.0455315709118402E-3</v>
      </c>
      <c r="E6">
        <v>5.0455315709118402E-3</v>
      </c>
      <c r="F6" s="1">
        <v>9.4632028766567682E-4</v>
      </c>
      <c r="K6" s="1">
        <v>0.219</v>
      </c>
      <c r="L6">
        <v>2.9714736289607167E-2</v>
      </c>
      <c r="M6" s="1">
        <v>0.65</v>
      </c>
      <c r="N6">
        <v>2.1062722311641864E-2</v>
      </c>
      <c r="O6" s="1">
        <v>1.075</v>
      </c>
      <c r="P6">
        <v>8.7308241704040473E-2</v>
      </c>
      <c r="Q6" s="1">
        <v>1.5</v>
      </c>
      <c r="R6">
        <v>5.2982918927701522E-3</v>
      </c>
      <c r="S6" s="1">
        <v>1.93</v>
      </c>
      <c r="T6">
        <v>0.25262945393163161</v>
      </c>
      <c r="U6" s="1">
        <v>2.355</v>
      </c>
      <c r="V6">
        <v>7.1920035172158017E-2</v>
      </c>
      <c r="W6" s="1">
        <v>2.7850000000000001</v>
      </c>
      <c r="X6">
        <v>0.13931307661352429</v>
      </c>
    </row>
    <row r="7" spans="2:24">
      <c r="B7" s="4" t="s">
        <v>864</v>
      </c>
      <c r="C7" s="1">
        <v>7.9234195640490515E-2</v>
      </c>
      <c r="D7">
        <f>0.132462028217382*(-1)</f>
        <v>-0.13246202821738201</v>
      </c>
      <c r="E7">
        <v>2.3654756969982562E-2</v>
      </c>
      <c r="F7" s="1">
        <v>8.8829252792589283E-3</v>
      </c>
      <c r="K7" s="1">
        <v>0.219</v>
      </c>
      <c r="L7">
        <v>5.7215014918086365E-2</v>
      </c>
      <c r="M7" s="1">
        <v>0.65</v>
      </c>
      <c r="N7">
        <v>4.4122193021349579E-3</v>
      </c>
      <c r="O7" s="1">
        <v>1.075</v>
      </c>
      <c r="P7">
        <v>0.3662898973115849</v>
      </c>
      <c r="Q7" s="1">
        <v>1.5</v>
      </c>
      <c r="R7">
        <v>6.4926135703304447E-3</v>
      </c>
      <c r="S7" s="1">
        <v>1.93</v>
      </c>
      <c r="T7">
        <v>0.11109504748855371</v>
      </c>
      <c r="U7" s="1">
        <v>2.355</v>
      </c>
      <c r="V7">
        <v>0.3080130832381856</v>
      </c>
      <c r="W7" s="1">
        <v>2.7850000000000001</v>
      </c>
      <c r="X7">
        <v>0.16776645878906521</v>
      </c>
    </row>
    <row r="8" spans="2:24">
      <c r="B8" s="4" t="s">
        <v>865</v>
      </c>
      <c r="C8" s="1">
        <v>7.2260182034216636E-2</v>
      </c>
      <c r="D8">
        <f>0.188522069703614*(-1)</f>
        <v>-0.18852206970361399</v>
      </c>
      <c r="E8">
        <v>0.1808427457963451</v>
      </c>
      <c r="F8" s="1">
        <v>3.7464168304453017E-2</v>
      </c>
    </row>
    <row r="9" spans="2:24">
      <c r="B9" s="4" t="s">
        <v>867</v>
      </c>
      <c r="C9" s="1">
        <v>6.0942360752612758E-3</v>
      </c>
      <c r="D9">
        <f>0.0331844863967954*(-1)</f>
        <v>-3.3184486396795401E-2</v>
      </c>
      <c r="E9">
        <v>2.5631250754376007E-2</v>
      </c>
      <c r="F9" s="1">
        <v>1.0197714692590985E-2</v>
      </c>
      <c r="K9" s="2" t="s">
        <v>866</v>
      </c>
    </row>
    <row r="10" spans="2:24">
      <c r="B10" s="4" t="s">
        <v>868</v>
      </c>
      <c r="C10" s="1">
        <v>6.4968681890616433E-3</v>
      </c>
      <c r="D10">
        <f>0.0211350086338652*(-1)</f>
        <v>-2.11350086338652E-2</v>
      </c>
      <c r="E10">
        <v>6.5744596509791045E-2</v>
      </c>
      <c r="F10" s="1">
        <v>3.1868326051259284E-2</v>
      </c>
      <c r="K10" s="1" t="s">
        <v>859</v>
      </c>
      <c r="L10" s="2" t="s">
        <v>387</v>
      </c>
      <c r="M10" s="1" t="s">
        <v>859</v>
      </c>
      <c r="N10" s="2" t="s">
        <v>393</v>
      </c>
      <c r="O10" s="1" t="s">
        <v>859</v>
      </c>
      <c r="P10" s="2" t="s">
        <v>399</v>
      </c>
      <c r="Q10" s="1" t="s">
        <v>859</v>
      </c>
      <c r="R10" s="2" t="s">
        <v>31</v>
      </c>
      <c r="S10" s="1" t="s">
        <v>859</v>
      </c>
      <c r="T10" s="2" t="s">
        <v>333</v>
      </c>
      <c r="U10" s="1" t="s">
        <v>859</v>
      </c>
      <c r="V10" s="2" t="s">
        <v>340</v>
      </c>
      <c r="W10" s="1" t="s">
        <v>859</v>
      </c>
      <c r="X10" s="2" t="s">
        <v>346</v>
      </c>
    </row>
    <row r="11" spans="2:24">
      <c r="B11" s="4" t="s">
        <v>869</v>
      </c>
      <c r="C11">
        <v>1.3819217446871548E-2</v>
      </c>
      <c r="D11">
        <f>0.0511373995271835*(-1)</f>
        <v>-5.1137399527183498E-2</v>
      </c>
      <c r="E11">
        <v>6.6896525150111505E-2</v>
      </c>
      <c r="F11">
        <v>2.6280743264810964E-2</v>
      </c>
      <c r="K11" s="1">
        <v>0.219</v>
      </c>
      <c r="L11">
        <v>9.4342232184651917E-2</v>
      </c>
      <c r="M11" s="1">
        <v>0.65</v>
      </c>
      <c r="N11">
        <v>3.8377939102287907E-2</v>
      </c>
      <c r="O11" s="1">
        <v>1.075</v>
      </c>
      <c r="P11">
        <v>0.10642240109035384</v>
      </c>
      <c r="Q11" s="1">
        <v>1.5</v>
      </c>
      <c r="R11">
        <v>2.3056899105932394E-3</v>
      </c>
      <c r="S11" s="1">
        <v>1.93</v>
      </c>
      <c r="T11">
        <v>0.29426571029435772</v>
      </c>
      <c r="U11" s="1">
        <v>2.355</v>
      </c>
      <c r="V11">
        <v>8.7196924807046522E-2</v>
      </c>
      <c r="W11" s="1">
        <v>2.7850000000000001</v>
      </c>
      <c r="X11">
        <v>9.8284559468470797E-2</v>
      </c>
    </row>
    <row r="12" spans="2:24" ht="15" thickBot="1">
      <c r="B12" s="5" t="s">
        <v>870</v>
      </c>
      <c r="C12">
        <v>1.3364271900116499E-2</v>
      </c>
      <c r="D12">
        <f>0.0865135703832059*(-1)</f>
        <v>-8.6513570383205896E-2</v>
      </c>
      <c r="E12">
        <v>0.3678323742636746</v>
      </c>
      <c r="F12">
        <v>0.14513823037783366</v>
      </c>
      <c r="K12" s="1">
        <v>0.219</v>
      </c>
      <c r="L12">
        <v>0.11820141020422568</v>
      </c>
      <c r="M12" s="1">
        <v>0.65</v>
      </c>
      <c r="N12">
        <v>2.1523025293333616E-2</v>
      </c>
      <c r="O12" s="1">
        <v>1.075</v>
      </c>
      <c r="P12">
        <v>0.14673831410160459</v>
      </c>
      <c r="Q12" s="1">
        <v>1.5</v>
      </c>
      <c r="R12">
        <v>6.0855309099535244E-3</v>
      </c>
      <c r="S12" s="1">
        <v>1.93</v>
      </c>
      <c r="T12">
        <v>8.3697124517544783E-2</v>
      </c>
      <c r="U12" s="1">
        <v>2.355</v>
      </c>
      <c r="V12">
        <v>5.6443491741829069E-2</v>
      </c>
      <c r="W12" s="1">
        <v>2.7850000000000001</v>
      </c>
      <c r="X12">
        <v>0.16919468263981696</v>
      </c>
    </row>
    <row r="13" spans="2:24">
      <c r="K13" s="1">
        <v>0.219</v>
      </c>
      <c r="L13">
        <v>7.8942630035723799E-2</v>
      </c>
      <c r="M13" s="1">
        <v>0.65</v>
      </c>
      <c r="N13">
        <v>1.7497237205634189E-2</v>
      </c>
      <c r="O13" s="1">
        <v>1.075</v>
      </c>
      <c r="P13">
        <v>0.40294102220330175</v>
      </c>
      <c r="Q13" s="1">
        <v>1.5</v>
      </c>
      <c r="R13">
        <v>5.2982918927701522E-3</v>
      </c>
      <c r="S13" s="1">
        <v>1.93</v>
      </c>
      <c r="T13">
        <v>0.25262945393163161</v>
      </c>
      <c r="U13" s="1">
        <v>2.355</v>
      </c>
      <c r="V13">
        <v>7.1920035172158017E-2</v>
      </c>
      <c r="W13" s="1">
        <v>2.7850000000000001</v>
      </c>
      <c r="X13">
        <v>0.13931307661352429</v>
      </c>
    </row>
    <row r="14" spans="2:24">
      <c r="K14" s="1">
        <v>0.219</v>
      </c>
      <c r="L14">
        <v>5.4568009108222057E-2</v>
      </c>
      <c r="M14" s="1">
        <v>0.65</v>
      </c>
      <c r="N14">
        <v>7.1418329342052235E-3</v>
      </c>
      <c r="O14" s="1">
        <v>1.075</v>
      </c>
      <c r="P14">
        <v>9.7986541419196369E-2</v>
      </c>
      <c r="Q14" s="1">
        <v>1.5</v>
      </c>
      <c r="R14">
        <v>6.4926135703304447E-3</v>
      </c>
      <c r="S14" s="1">
        <v>1.93</v>
      </c>
      <c r="T14">
        <v>0.11109504748855371</v>
      </c>
      <c r="U14" s="1">
        <v>2.355</v>
      </c>
      <c r="V14">
        <v>0.3080130832381856</v>
      </c>
      <c r="W14" s="1">
        <v>2.7850000000000001</v>
      </c>
      <c r="X14">
        <v>0.16776645878906521</v>
      </c>
    </row>
    <row r="15" spans="2:24">
      <c r="I15" s="15" t="s">
        <v>871</v>
      </c>
    </row>
    <row r="16" spans="2:24">
      <c r="B16" s="1"/>
      <c r="C16" s="1"/>
      <c r="D16" s="1"/>
      <c r="E16" s="1"/>
      <c r="F16" s="1"/>
      <c r="G16" s="1"/>
      <c r="H16" s="24" t="s">
        <v>14</v>
      </c>
      <c r="K16" s="2" t="s">
        <v>878</v>
      </c>
    </row>
    <row r="17" spans="2:24">
      <c r="B17" s="2" t="s">
        <v>853</v>
      </c>
      <c r="C17" s="24" t="s">
        <v>16</v>
      </c>
      <c r="D17" s="24" t="s">
        <v>607</v>
      </c>
      <c r="E17" s="24" t="s">
        <v>608</v>
      </c>
      <c r="F17" s="24" t="s">
        <v>609</v>
      </c>
      <c r="G17" s="24" t="s">
        <v>610</v>
      </c>
      <c r="H17" s="24" t="s">
        <v>856</v>
      </c>
      <c r="I17" s="27" t="s">
        <v>873</v>
      </c>
      <c r="K17" s="1" t="s">
        <v>859</v>
      </c>
      <c r="L17" s="2" t="s">
        <v>387</v>
      </c>
      <c r="M17" s="1" t="s">
        <v>859</v>
      </c>
      <c r="N17" s="2" t="s">
        <v>393</v>
      </c>
      <c r="O17" s="1" t="s">
        <v>859</v>
      </c>
      <c r="P17" s="2" t="s">
        <v>399</v>
      </c>
      <c r="Q17" s="1" t="s">
        <v>859</v>
      </c>
      <c r="R17" s="2" t="s">
        <v>31</v>
      </c>
      <c r="S17" s="1" t="s">
        <v>859</v>
      </c>
      <c r="T17" s="2" t="s">
        <v>333</v>
      </c>
      <c r="U17" s="1" t="s">
        <v>859</v>
      </c>
      <c r="V17" s="2" t="s">
        <v>340</v>
      </c>
      <c r="W17" s="1" t="s">
        <v>859</v>
      </c>
      <c r="X17" s="2" t="s">
        <v>346</v>
      </c>
    </row>
    <row r="18" spans="2:24">
      <c r="B18" s="2" t="s">
        <v>387</v>
      </c>
      <c r="C18" s="3">
        <v>1.3819217446871548E-2</v>
      </c>
      <c r="D18">
        <v>8.7775818002461259E-2</v>
      </c>
      <c r="E18">
        <v>2.9844028898579206E-2</v>
      </c>
      <c r="F18">
        <v>2.9714736289607167E-2</v>
      </c>
      <c r="G18">
        <v>5.7215014918086365E-2</v>
      </c>
      <c r="H18">
        <f>0.0511373995271835</f>
        <v>5.1137399527183498E-2</v>
      </c>
      <c r="I18">
        <f>TTEST(D18:G18,D38:G38,2,3)</f>
        <v>0.62050575989433288</v>
      </c>
      <c r="K18" s="1">
        <v>0.219</v>
      </c>
      <c r="L18">
        <v>2.45850148134963E-2</v>
      </c>
      <c r="M18" s="1">
        <v>0.65</v>
      </c>
      <c r="N18">
        <v>1.5134324017444606E-2</v>
      </c>
      <c r="O18" s="1">
        <v>1.075</v>
      </c>
      <c r="P18">
        <v>9.0170725669188791E-3</v>
      </c>
      <c r="Q18" s="1">
        <v>1.5</v>
      </c>
      <c r="R18">
        <v>2.3056899105932394E-3</v>
      </c>
      <c r="S18" s="1">
        <v>1.93</v>
      </c>
      <c r="T18">
        <v>0.29426571029435772</v>
      </c>
      <c r="U18" s="1">
        <v>2.355</v>
      </c>
      <c r="V18">
        <v>8.7196924807046522E-2</v>
      </c>
      <c r="W18" s="1">
        <v>2.7850000000000001</v>
      </c>
      <c r="X18">
        <v>9.8284559468470797E-2</v>
      </c>
    </row>
    <row r="19" spans="2:24">
      <c r="B19" s="2" t="s">
        <v>393</v>
      </c>
      <c r="C19" s="2">
        <v>6.0942360752612758E-3</v>
      </c>
      <c r="D19">
        <v>3.3184486396795415E-2</v>
      </c>
      <c r="E19">
        <v>1.3406421357911039E-2</v>
      </c>
      <c r="F19">
        <v>2.1062722311641864E-2</v>
      </c>
      <c r="G19">
        <v>4.4122193021349579E-3</v>
      </c>
      <c r="H19">
        <v>1.8016462342120815E-2</v>
      </c>
      <c r="I19">
        <f t="shared" ref="I19:I24" si="0">TTEST(D19:G19,D39:G39,2,3)</f>
        <v>0.55030456348158152</v>
      </c>
      <c r="K19" s="1">
        <v>0.219</v>
      </c>
      <c r="L19">
        <v>5.3618808855012523E-2</v>
      </c>
      <c r="M19" s="1">
        <v>0.65</v>
      </c>
      <c r="N19">
        <v>1.804688150401244E-2</v>
      </c>
      <c r="O19" s="1">
        <v>1.075</v>
      </c>
      <c r="P19">
        <v>1.409565816714432E-2</v>
      </c>
      <c r="Q19" s="1">
        <v>1.5</v>
      </c>
      <c r="R19">
        <v>6.0855309099535244E-3</v>
      </c>
      <c r="S19" s="1">
        <v>1.93</v>
      </c>
      <c r="T19">
        <v>8.3697124517544783E-2</v>
      </c>
      <c r="U19" s="1">
        <v>2.355</v>
      </c>
      <c r="V19">
        <v>5.6443491741829069E-2</v>
      </c>
      <c r="W19" s="1">
        <v>2.7850000000000001</v>
      </c>
      <c r="X19">
        <v>0.16919468263981696</v>
      </c>
    </row>
    <row r="20" spans="2:24">
      <c r="B20" s="2" t="s">
        <v>399</v>
      </c>
      <c r="C20" s="2">
        <v>7.9234195640490515E-2</v>
      </c>
      <c r="D20">
        <v>1.7834575582509098E-2</v>
      </c>
      <c r="E20">
        <v>5.8415398271393304E-2</v>
      </c>
      <c r="F20">
        <v>8.7308241704040473E-2</v>
      </c>
      <c r="G20">
        <v>0.3662898973115849</v>
      </c>
      <c r="H20">
        <f>0.132462028217382</f>
        <v>0.13246202821738201</v>
      </c>
      <c r="I20">
        <f t="shared" si="0"/>
        <v>0.26362562731203476</v>
      </c>
      <c r="K20" s="1">
        <v>0.219</v>
      </c>
      <c r="L20">
        <v>0.14356079614267125</v>
      </c>
      <c r="M20" s="1">
        <v>0.65</v>
      </c>
      <c r="N20">
        <v>5.6081544462997172E-2</v>
      </c>
      <c r="O20" s="1">
        <v>1.075</v>
      </c>
      <c r="P20">
        <v>4.8953451691421769E-2</v>
      </c>
      <c r="Q20" s="1">
        <v>1.5</v>
      </c>
      <c r="R20">
        <v>5.2982918927701522E-3</v>
      </c>
      <c r="S20" s="1">
        <v>1.93</v>
      </c>
      <c r="T20">
        <v>0.25262945393163161</v>
      </c>
      <c r="U20" s="1">
        <v>2.355</v>
      </c>
      <c r="V20">
        <v>7.1920035172158017E-2</v>
      </c>
      <c r="W20" s="1">
        <v>2.7850000000000001</v>
      </c>
      <c r="X20">
        <v>0.13931307661352429</v>
      </c>
    </row>
    <row r="21" spans="2:24">
      <c r="B21" s="2" t="s">
        <v>31</v>
      </c>
      <c r="C21" s="2">
        <v>9.4632028766567682E-4</v>
      </c>
      <c r="D21">
        <v>2.3056899105932394E-3</v>
      </c>
      <c r="E21">
        <v>6.0855309099535244E-3</v>
      </c>
      <c r="F21">
        <v>5.2982918927701522E-3</v>
      </c>
      <c r="G21">
        <v>6.4926135703304447E-3</v>
      </c>
      <c r="H21">
        <v>5.0455315709118402E-3</v>
      </c>
      <c r="I21">
        <f t="shared" si="0"/>
        <v>1</v>
      </c>
      <c r="K21" s="1">
        <v>0.219</v>
      </c>
      <c r="L21">
        <v>4.5821480789265956E-2</v>
      </c>
      <c r="M21" s="1">
        <v>0.65</v>
      </c>
      <c r="N21">
        <v>1.3262253033049821E-2</v>
      </c>
      <c r="O21" s="1">
        <v>1.075</v>
      </c>
      <c r="P21">
        <v>2.2552845454445289E-2</v>
      </c>
      <c r="Q21" s="1">
        <v>1.5</v>
      </c>
      <c r="R21">
        <v>6.4926135703304447E-3</v>
      </c>
      <c r="S21" s="1">
        <v>1.93</v>
      </c>
      <c r="T21">
        <v>0.11109504748855371</v>
      </c>
      <c r="U21" s="1">
        <v>2.355</v>
      </c>
      <c r="V21">
        <v>0.3080130832381856</v>
      </c>
      <c r="W21" s="1">
        <v>2.7850000000000001</v>
      </c>
      <c r="X21">
        <v>0.16776645878906521</v>
      </c>
    </row>
    <row r="22" spans="2:24">
      <c r="B22" s="2" t="s">
        <v>333</v>
      </c>
      <c r="C22" s="2">
        <v>5.1830043809924363E-2</v>
      </c>
      <c r="D22">
        <v>0.29426571029435772</v>
      </c>
      <c r="E22">
        <v>8.3697124517544783E-2</v>
      </c>
      <c r="F22">
        <v>0.25262945393163161</v>
      </c>
      <c r="G22">
        <v>0.11109504748855371</v>
      </c>
      <c r="H22">
        <v>0.18542183405802196</v>
      </c>
      <c r="I22">
        <f t="shared" si="0"/>
        <v>1</v>
      </c>
    </row>
    <row r="23" spans="2:24">
      <c r="B23" s="2" t="s">
        <v>340</v>
      </c>
      <c r="C23" s="2">
        <v>5.9372700470172859E-2</v>
      </c>
      <c r="D23">
        <v>8.7196924807046522E-2</v>
      </c>
      <c r="E23">
        <v>5.6443491741829069E-2</v>
      </c>
      <c r="F23">
        <v>7.1920035172158017E-2</v>
      </c>
      <c r="G23" s="31">
        <v>0.3080130832381856</v>
      </c>
      <c r="H23">
        <v>0.1308933837398048</v>
      </c>
      <c r="I23">
        <f t="shared" si="0"/>
        <v>1</v>
      </c>
      <c r="K23" s="2" t="s">
        <v>879</v>
      </c>
    </row>
    <row r="24" spans="2:24">
      <c r="B24" s="2" t="s">
        <v>346</v>
      </c>
      <c r="C24" s="2">
        <v>1.6610654386944156E-2</v>
      </c>
      <c r="D24">
        <v>9.8284559468470797E-2</v>
      </c>
      <c r="E24">
        <v>0.16919468263981696</v>
      </c>
      <c r="F24">
        <v>0.13931307661352429</v>
      </c>
      <c r="G24">
        <v>0.16776645878906521</v>
      </c>
      <c r="H24">
        <v>0.14363969437771934</v>
      </c>
      <c r="I24">
        <f t="shared" si="0"/>
        <v>1</v>
      </c>
      <c r="K24" s="1" t="s">
        <v>859</v>
      </c>
      <c r="L24" s="2" t="s">
        <v>387</v>
      </c>
      <c r="M24" s="1" t="s">
        <v>859</v>
      </c>
      <c r="N24" s="2" t="s">
        <v>393</v>
      </c>
      <c r="O24" s="1" t="s">
        <v>859</v>
      </c>
      <c r="P24" s="2" t="s">
        <v>399</v>
      </c>
      <c r="Q24" s="1" t="s">
        <v>859</v>
      </c>
      <c r="R24" s="2" t="s">
        <v>31</v>
      </c>
      <c r="S24" s="1" t="s">
        <v>859</v>
      </c>
      <c r="T24" s="2" t="s">
        <v>333</v>
      </c>
      <c r="U24" s="1" t="s">
        <v>859</v>
      </c>
      <c r="V24" s="2" t="s">
        <v>340</v>
      </c>
      <c r="W24" s="1" t="s">
        <v>859</v>
      </c>
      <c r="X24" s="2" t="s">
        <v>346</v>
      </c>
    </row>
    <row r="25" spans="2:24">
      <c r="K25" s="1">
        <v>0.219</v>
      </c>
      <c r="L25">
        <v>5.2493042714624114E-2</v>
      </c>
      <c r="M25" s="1">
        <v>0.65</v>
      </c>
      <c r="N25">
        <v>2.5158389465671092E-2</v>
      </c>
      <c r="O25" s="1">
        <v>1.075</v>
      </c>
      <c r="P25">
        <v>0.11789769782744973</v>
      </c>
      <c r="Q25" s="1">
        <v>1.5</v>
      </c>
      <c r="R25">
        <v>2.3056899105932394E-3</v>
      </c>
      <c r="S25" s="1">
        <v>1.93</v>
      </c>
      <c r="T25">
        <v>0.29426571029435772</v>
      </c>
      <c r="U25" s="1">
        <v>2.355</v>
      </c>
      <c r="V25">
        <v>8.7196924807046522E-2</v>
      </c>
      <c r="W25" s="1">
        <v>2.7850000000000001</v>
      </c>
      <c r="X25">
        <v>9.8284559468470797E-2</v>
      </c>
    </row>
    <row r="26" spans="2:24">
      <c r="K26" s="1">
        <v>0.219</v>
      </c>
      <c r="L26">
        <v>0.20353302499416995</v>
      </c>
      <c r="M26" s="1">
        <v>0.65</v>
      </c>
      <c r="N26">
        <v>0.15974870198159033</v>
      </c>
      <c r="O26" s="1">
        <v>1.075</v>
      </c>
      <c r="P26">
        <v>0.11469296202063682</v>
      </c>
      <c r="Q26" s="1">
        <v>1.5</v>
      </c>
      <c r="R26">
        <v>6.0855309099535244E-3</v>
      </c>
      <c r="S26" s="1">
        <v>1.93</v>
      </c>
      <c r="T26">
        <v>8.3697124517544783E-2</v>
      </c>
      <c r="U26" s="1">
        <v>2.355</v>
      </c>
      <c r="V26">
        <v>5.6443491741829069E-2</v>
      </c>
      <c r="W26" s="1">
        <v>2.7850000000000001</v>
      </c>
      <c r="X26">
        <v>0.16919468263981696</v>
      </c>
    </row>
    <row r="27" spans="2:24">
      <c r="B27" s="2" t="s">
        <v>866</v>
      </c>
      <c r="C27" s="24" t="s">
        <v>16</v>
      </c>
      <c r="D27" s="24" t="s">
        <v>607</v>
      </c>
      <c r="E27" s="24" t="s">
        <v>608</v>
      </c>
      <c r="F27" s="24" t="s">
        <v>609</v>
      </c>
      <c r="G27" s="24" t="s">
        <v>610</v>
      </c>
      <c r="H27" s="24" t="s">
        <v>856</v>
      </c>
      <c r="I27" s="27" t="s">
        <v>873</v>
      </c>
      <c r="K27" s="1">
        <v>0.219</v>
      </c>
      <c r="L27">
        <v>0.53241386267795254</v>
      </c>
      <c r="M27" s="1">
        <v>0.65</v>
      </c>
      <c r="N27">
        <v>2.7281191125711299E-2</v>
      </c>
      <c r="O27" s="1">
        <v>1.075</v>
      </c>
      <c r="P27">
        <v>0.23611233509209081</v>
      </c>
      <c r="Q27" s="1">
        <v>1.5</v>
      </c>
      <c r="R27">
        <v>5.2982918927701522E-3</v>
      </c>
      <c r="S27" s="1">
        <v>1.93</v>
      </c>
      <c r="T27">
        <v>0.25262945393163161</v>
      </c>
      <c r="U27" s="1">
        <v>2.355</v>
      </c>
      <c r="V27">
        <v>7.1920035172158017E-2</v>
      </c>
      <c r="W27" s="1">
        <v>2.7850000000000001</v>
      </c>
      <c r="X27">
        <v>0.13931307661352429</v>
      </c>
    </row>
    <row r="28" spans="2:24">
      <c r="B28" s="2" t="s">
        <v>387</v>
      </c>
      <c r="C28" s="3">
        <v>1.3364271900116499E-2</v>
      </c>
      <c r="D28">
        <v>9.4342232184651917E-2</v>
      </c>
      <c r="E28">
        <v>0.11820141020422568</v>
      </c>
      <c r="F28">
        <v>7.8942630035723799E-2</v>
      </c>
      <c r="G28">
        <v>5.4568009108222057E-2</v>
      </c>
      <c r="H28">
        <f>0.0865135703832059</f>
        <v>8.6513570383205896E-2</v>
      </c>
      <c r="I28">
        <f t="shared" ref="I28:I33" si="1">TTEST(D28:G28,D48:G48,2,3)</f>
        <v>0.14761538791187853</v>
      </c>
      <c r="K28" s="1">
        <v>0.219</v>
      </c>
      <c r="L28">
        <v>0.68288956666795175</v>
      </c>
      <c r="M28" s="1">
        <v>0.65</v>
      </c>
      <c r="N28">
        <v>5.0790103466191429E-2</v>
      </c>
      <c r="O28" s="1">
        <v>1.075</v>
      </c>
      <c r="P28">
        <v>0.25466798824520304</v>
      </c>
      <c r="Q28" s="1">
        <v>1.5</v>
      </c>
      <c r="R28">
        <v>6.4926135703304447E-3</v>
      </c>
      <c r="S28" s="1">
        <v>1.93</v>
      </c>
      <c r="T28">
        <v>0.11109504748855371</v>
      </c>
      <c r="U28" s="1">
        <v>2.355</v>
      </c>
      <c r="V28">
        <v>0.3080130832381856</v>
      </c>
      <c r="W28" s="1">
        <v>2.7850000000000001</v>
      </c>
      <c r="X28">
        <v>0.16776645878906521</v>
      </c>
    </row>
    <row r="29" spans="2:24">
      <c r="B29" s="2" t="s">
        <v>393</v>
      </c>
      <c r="C29" s="2">
        <v>6.4968681890616433E-3</v>
      </c>
      <c r="D29">
        <v>3.8377939102287907E-2</v>
      </c>
      <c r="E29">
        <v>2.1523025293333616E-2</v>
      </c>
      <c r="F29">
        <v>1.7497237205634189E-2</v>
      </c>
      <c r="G29">
        <v>7.1418329342052235E-3</v>
      </c>
      <c r="H29">
        <f>0.0211350086338652</f>
        <v>2.11350086338652E-2</v>
      </c>
      <c r="I29">
        <f t="shared" si="1"/>
        <v>0.25724695056395164</v>
      </c>
    </row>
    <row r="30" spans="2:24">
      <c r="B30" s="2" t="s">
        <v>399</v>
      </c>
      <c r="C30" s="2">
        <v>7.2260182034216636E-2</v>
      </c>
      <c r="D30">
        <v>0.10642240109035384</v>
      </c>
      <c r="E30">
        <v>0.14673831410160459</v>
      </c>
      <c r="F30" s="31">
        <v>0.40294102220330175</v>
      </c>
      <c r="G30">
        <v>9.7986541419196369E-2</v>
      </c>
      <c r="H30">
        <f>0.188522069703614</f>
        <v>0.18852206970361399</v>
      </c>
      <c r="I30">
        <f t="shared" si="1"/>
        <v>0.92888470741075169</v>
      </c>
    </row>
    <row r="31" spans="2:24">
      <c r="B31" s="2" t="s">
        <v>31</v>
      </c>
      <c r="C31" s="2">
        <v>9.4632028766567682E-4</v>
      </c>
      <c r="D31">
        <v>2.3056899105932394E-3</v>
      </c>
      <c r="E31">
        <v>6.0855309099535244E-3</v>
      </c>
      <c r="F31">
        <v>5.2982918927701522E-3</v>
      </c>
      <c r="G31">
        <v>6.4926135703304447E-3</v>
      </c>
      <c r="H31">
        <v>5.0455315709118402E-3</v>
      </c>
      <c r="I31">
        <f t="shared" si="1"/>
        <v>1</v>
      </c>
    </row>
    <row r="32" spans="2:24">
      <c r="B32" s="2" t="s">
        <v>333</v>
      </c>
      <c r="C32" s="2">
        <v>5.1830043809924363E-2</v>
      </c>
      <c r="D32">
        <v>0.29426571029435772</v>
      </c>
      <c r="E32">
        <v>8.3697124517544783E-2</v>
      </c>
      <c r="F32">
        <v>0.25262945393163161</v>
      </c>
      <c r="G32">
        <v>0.11109504748855371</v>
      </c>
      <c r="H32">
        <v>0.18542183405802196</v>
      </c>
      <c r="I32">
        <f t="shared" si="1"/>
        <v>1</v>
      </c>
    </row>
    <row r="33" spans="2:9">
      <c r="B33" s="2" t="s">
        <v>340</v>
      </c>
      <c r="C33" s="2">
        <v>5.9372700470172859E-2</v>
      </c>
      <c r="D33">
        <v>8.7196924807046522E-2</v>
      </c>
      <c r="E33">
        <v>5.6443491741829069E-2</v>
      </c>
      <c r="F33">
        <v>7.1920035172158017E-2</v>
      </c>
      <c r="G33">
        <v>0.3080130832381856</v>
      </c>
      <c r="H33">
        <v>0.1308933837398048</v>
      </c>
      <c r="I33">
        <f t="shared" si="1"/>
        <v>1</v>
      </c>
    </row>
    <row r="34" spans="2:9">
      <c r="B34" s="2" t="s">
        <v>346</v>
      </c>
      <c r="C34" s="2">
        <v>1.6610654386944156E-2</v>
      </c>
      <c r="D34">
        <v>9.8284559468470797E-2</v>
      </c>
      <c r="E34">
        <v>0.16919468263981696</v>
      </c>
      <c r="F34">
        <v>0.13931307661352429</v>
      </c>
      <c r="G34">
        <v>0.16776645878906521</v>
      </c>
      <c r="H34">
        <v>0.14363969437771934</v>
      </c>
      <c r="I34">
        <f>TTEST(D33:G33,D53:G53,2,3)</f>
        <v>1</v>
      </c>
    </row>
    <row r="37" spans="2:9">
      <c r="B37" s="2" t="s">
        <v>878</v>
      </c>
      <c r="C37" s="24" t="s">
        <v>16</v>
      </c>
      <c r="D37" s="24" t="s">
        <v>607</v>
      </c>
      <c r="E37" s="24" t="s">
        <v>608</v>
      </c>
      <c r="F37" s="24" t="s">
        <v>609</v>
      </c>
      <c r="G37" s="24" t="s">
        <v>610</v>
      </c>
      <c r="H37" s="24" t="s">
        <v>880</v>
      </c>
    </row>
    <row r="38" spans="2:9">
      <c r="B38" s="2" t="s">
        <v>387</v>
      </c>
      <c r="C38" s="3">
        <v>2.6280743264810964E-2</v>
      </c>
      <c r="D38">
        <v>2.45850148134963E-2</v>
      </c>
      <c r="E38">
        <v>5.3618808855012523E-2</v>
      </c>
      <c r="F38">
        <v>0.14356079614267125</v>
      </c>
      <c r="G38">
        <v>4.5821480789265956E-2</v>
      </c>
      <c r="H38">
        <v>6.6896525150111505E-2</v>
      </c>
    </row>
    <row r="39" spans="2:9">
      <c r="B39" s="2" t="s">
        <v>393</v>
      </c>
      <c r="C39" s="2">
        <v>1.0197714692590985E-2</v>
      </c>
      <c r="D39">
        <v>1.5134324017444606E-2</v>
      </c>
      <c r="E39">
        <v>1.804688150401244E-2</v>
      </c>
      <c r="F39" s="31">
        <v>5.6081544462997172E-2</v>
      </c>
      <c r="G39">
        <v>1.3262253033049821E-2</v>
      </c>
      <c r="H39">
        <v>2.5631250754376007E-2</v>
      </c>
    </row>
    <row r="40" spans="2:9">
      <c r="B40" s="2" t="s">
        <v>399</v>
      </c>
      <c r="C40" s="2">
        <v>8.8829252792589283E-3</v>
      </c>
      <c r="D40">
        <v>9.0170725669188791E-3</v>
      </c>
      <c r="E40">
        <v>1.409565816714432E-2</v>
      </c>
      <c r="F40">
        <v>4.8953451691421769E-2</v>
      </c>
      <c r="G40">
        <v>2.2552845454445289E-2</v>
      </c>
      <c r="H40">
        <v>2.3654756969982562E-2</v>
      </c>
    </row>
    <row r="41" spans="2:9">
      <c r="B41" s="2" t="s">
        <v>31</v>
      </c>
      <c r="C41" s="2">
        <v>9.4632028766567682E-4</v>
      </c>
      <c r="D41">
        <v>2.3056899105932394E-3</v>
      </c>
      <c r="E41">
        <v>6.0855309099535244E-3</v>
      </c>
      <c r="F41">
        <v>5.2982918927701522E-3</v>
      </c>
      <c r="G41">
        <v>6.4926135703304447E-3</v>
      </c>
      <c r="H41">
        <v>5.0455315709118402E-3</v>
      </c>
    </row>
    <row r="42" spans="2:9">
      <c r="B42" s="2" t="s">
        <v>333</v>
      </c>
      <c r="C42" s="2">
        <v>5.1830043809924363E-2</v>
      </c>
      <c r="D42">
        <v>0.29426571029435772</v>
      </c>
      <c r="E42">
        <v>8.3697124517544783E-2</v>
      </c>
      <c r="F42">
        <v>0.25262945393163161</v>
      </c>
      <c r="G42">
        <v>0.11109504748855371</v>
      </c>
      <c r="H42">
        <v>0.18542183405802196</v>
      </c>
    </row>
    <row r="43" spans="2:9">
      <c r="B43" s="2" t="s">
        <v>340</v>
      </c>
      <c r="C43" s="2">
        <v>5.9372700470172859E-2</v>
      </c>
      <c r="D43">
        <v>8.7196924807046522E-2</v>
      </c>
      <c r="E43">
        <v>5.6443491741829069E-2</v>
      </c>
      <c r="F43">
        <v>7.1920035172158017E-2</v>
      </c>
      <c r="G43">
        <v>0.3080130832381856</v>
      </c>
      <c r="H43">
        <v>0.1308933837398048</v>
      </c>
    </row>
    <row r="44" spans="2:9">
      <c r="B44" s="2" t="s">
        <v>346</v>
      </c>
      <c r="C44" s="2">
        <v>1.6610654386944156E-2</v>
      </c>
      <c r="D44">
        <v>9.8284559468470797E-2</v>
      </c>
      <c r="E44">
        <v>0.16919468263981696</v>
      </c>
      <c r="F44">
        <v>0.13931307661352429</v>
      </c>
      <c r="G44">
        <v>0.16776645878906521</v>
      </c>
      <c r="H44">
        <v>0.14363969437771934</v>
      </c>
    </row>
    <row r="47" spans="2:9">
      <c r="B47" s="2" t="s">
        <v>879</v>
      </c>
      <c r="C47" s="24" t="s">
        <v>16</v>
      </c>
      <c r="D47" s="24" t="s">
        <v>607</v>
      </c>
      <c r="E47" s="24" t="s">
        <v>608</v>
      </c>
      <c r="F47" s="24" t="s">
        <v>609</v>
      </c>
      <c r="G47" s="24" t="s">
        <v>610</v>
      </c>
      <c r="H47" s="24" t="s">
        <v>880</v>
      </c>
    </row>
    <row r="48" spans="2:9">
      <c r="B48" s="2" t="s">
        <v>387</v>
      </c>
      <c r="C48" s="3">
        <v>0.14513823037783366</v>
      </c>
      <c r="D48">
        <v>5.2493042714624114E-2</v>
      </c>
      <c r="E48">
        <v>0.20353302499416995</v>
      </c>
      <c r="F48">
        <v>0.53241386267795254</v>
      </c>
      <c r="G48">
        <v>0.68288956666795175</v>
      </c>
      <c r="H48">
        <v>0.3678323742636746</v>
      </c>
    </row>
    <row r="49" spans="2:15">
      <c r="B49" s="2" t="s">
        <v>393</v>
      </c>
      <c r="C49" s="2">
        <v>3.1868326051259284E-2</v>
      </c>
      <c r="D49">
        <v>2.5158389465671092E-2</v>
      </c>
      <c r="E49">
        <v>0.15974870198159033</v>
      </c>
      <c r="F49">
        <v>2.7281191125711299E-2</v>
      </c>
      <c r="G49">
        <v>5.0790103466191429E-2</v>
      </c>
      <c r="H49">
        <v>6.5744596509791045E-2</v>
      </c>
    </row>
    <row r="50" spans="2:15">
      <c r="B50" s="2" t="s">
        <v>399</v>
      </c>
      <c r="C50" s="2">
        <v>3.7464168304453017E-2</v>
      </c>
      <c r="D50">
        <v>0.11789769782744973</v>
      </c>
      <c r="E50">
        <v>0.11469296202063682</v>
      </c>
      <c r="F50">
        <v>0.23611233509209081</v>
      </c>
      <c r="G50">
        <v>0.25466798824520304</v>
      </c>
      <c r="H50">
        <v>0.1808427457963451</v>
      </c>
    </row>
    <row r="51" spans="2:15">
      <c r="B51" s="2" t="s">
        <v>31</v>
      </c>
      <c r="C51" s="2">
        <v>9.4632028766567682E-4</v>
      </c>
      <c r="D51">
        <v>2.3056899105932394E-3</v>
      </c>
      <c r="E51">
        <v>6.0855309099535244E-3</v>
      </c>
      <c r="F51">
        <v>5.2982918927701522E-3</v>
      </c>
      <c r="G51">
        <v>6.4926135703304447E-3</v>
      </c>
      <c r="H51">
        <v>5.0455315709118402E-3</v>
      </c>
    </row>
    <row r="52" spans="2:15">
      <c r="B52" s="2" t="s">
        <v>333</v>
      </c>
      <c r="C52" s="2">
        <v>5.1830043809924363E-2</v>
      </c>
      <c r="D52">
        <v>0.29426571029435772</v>
      </c>
      <c r="E52">
        <v>8.3697124517544783E-2</v>
      </c>
      <c r="F52">
        <v>0.25262945393163161</v>
      </c>
      <c r="G52">
        <v>0.11109504748855371</v>
      </c>
      <c r="H52">
        <v>0.18542183405802196</v>
      </c>
      <c r="O52" s="15" t="s">
        <v>876</v>
      </c>
    </row>
    <row r="53" spans="2:15">
      <c r="B53" s="2" t="s">
        <v>340</v>
      </c>
      <c r="C53" s="2">
        <v>5.9372700470172859E-2</v>
      </c>
      <c r="D53">
        <v>8.7196924807046522E-2</v>
      </c>
      <c r="E53">
        <v>5.6443491741829069E-2</v>
      </c>
      <c r="F53">
        <v>7.1920035172158017E-2</v>
      </c>
      <c r="G53">
        <v>0.3080130832381856</v>
      </c>
      <c r="H53">
        <v>0.1308933837398048</v>
      </c>
    </row>
    <row r="54" spans="2:15">
      <c r="B54" s="2" t="s">
        <v>346</v>
      </c>
      <c r="C54" s="2">
        <v>1.6610654386944156E-2</v>
      </c>
      <c r="D54">
        <v>9.8284559468470797E-2</v>
      </c>
      <c r="E54">
        <v>0.16919468263981696</v>
      </c>
      <c r="F54">
        <v>0.13931307661352429</v>
      </c>
      <c r="G54">
        <v>0.16776645878906521</v>
      </c>
      <c r="H54">
        <v>0.14363969437771934</v>
      </c>
    </row>
  </sheetData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4EC1-899D-40A2-9309-2257B69AA60C}">
  <dimension ref="B1:W73"/>
  <sheetViews>
    <sheetView topLeftCell="A18" zoomScale="85" zoomScaleNormal="85" workbookViewId="0">
      <selection activeCell="D53" sqref="D53:G53"/>
    </sheetView>
  </sheetViews>
  <sheetFormatPr defaultRowHeight="14.45"/>
  <cols>
    <col min="2" max="2" width="19.42578125" customWidth="1"/>
    <col min="3" max="3" width="18.5703125" customWidth="1"/>
    <col min="4" max="4" width="15.85546875" customWidth="1"/>
    <col min="5" max="5" width="17.140625" customWidth="1"/>
    <col min="6" max="6" width="16.140625" customWidth="1"/>
    <col min="7" max="7" width="18.42578125" customWidth="1"/>
    <col min="8" max="8" width="20.7109375" customWidth="1"/>
    <col min="10" max="10" width="12.28515625" bestFit="1" customWidth="1"/>
  </cols>
  <sheetData>
    <row r="1" spans="2:22" ht="23.45">
      <c r="C1" s="8" t="s">
        <v>881</v>
      </c>
      <c r="D1" s="9"/>
      <c r="E1" s="9"/>
      <c r="I1" s="2" t="s">
        <v>853</v>
      </c>
    </row>
    <row r="2" spans="2:22" ht="15" thickBot="1">
      <c r="I2" s="1" t="s">
        <v>859</v>
      </c>
      <c r="J2" s="2" t="s">
        <v>387</v>
      </c>
      <c r="K2" s="1" t="s">
        <v>859</v>
      </c>
      <c r="L2" s="2" t="s">
        <v>393</v>
      </c>
      <c r="M2" s="1" t="s">
        <v>859</v>
      </c>
      <c r="N2" s="2" t="s">
        <v>399</v>
      </c>
      <c r="O2" s="1" t="s">
        <v>859</v>
      </c>
      <c r="P2" s="2" t="s">
        <v>31</v>
      </c>
      <c r="Q2" s="1" t="s">
        <v>859</v>
      </c>
      <c r="R2" s="2" t="s">
        <v>333</v>
      </c>
      <c r="S2" s="1" t="s">
        <v>859</v>
      </c>
      <c r="T2" s="2" t="s">
        <v>340</v>
      </c>
      <c r="U2" s="1" t="s">
        <v>859</v>
      </c>
      <c r="V2" s="2" t="s">
        <v>346</v>
      </c>
    </row>
    <row r="3" spans="2:22" ht="15" thickBot="1">
      <c r="B3" s="7" t="s">
        <v>854</v>
      </c>
      <c r="C3" s="15" t="s">
        <v>855</v>
      </c>
      <c r="D3" s="12" t="s">
        <v>856</v>
      </c>
      <c r="E3" s="13" t="s">
        <v>857</v>
      </c>
      <c r="F3" s="15" t="s">
        <v>858</v>
      </c>
      <c r="I3" s="1">
        <v>0.219</v>
      </c>
      <c r="J3">
        <v>0.14034275753115172</v>
      </c>
      <c r="K3" s="1">
        <v>0.65</v>
      </c>
      <c r="L3">
        <v>3.4947777681309737E-2</v>
      </c>
      <c r="M3" s="1">
        <v>1.075</v>
      </c>
      <c r="N3">
        <v>2.2888972463207209E-2</v>
      </c>
      <c r="O3" s="1">
        <v>1.5</v>
      </c>
      <c r="P3">
        <v>6.9287412697051852E-4</v>
      </c>
      <c r="Q3" s="1">
        <v>1.93</v>
      </c>
      <c r="R3">
        <v>1.091755650345385E-2</v>
      </c>
      <c r="S3" s="1">
        <v>2.355</v>
      </c>
      <c r="T3">
        <v>3.7841416593911107E-5</v>
      </c>
      <c r="U3" s="1">
        <v>2.7850000000000001</v>
      </c>
      <c r="V3">
        <v>1.8226453976381303E-5</v>
      </c>
    </row>
    <row r="4" spans="2:22">
      <c r="B4" s="6" t="s">
        <v>860</v>
      </c>
      <c r="C4" s="1">
        <v>1.5462307583915794E-5</v>
      </c>
      <c r="D4">
        <f>0.0000472248318709676*(-1)</f>
        <v>-4.7224831870967598E-5</v>
      </c>
      <c r="E4">
        <v>4.7224831870967598E-5</v>
      </c>
      <c r="F4" s="1">
        <v>1.5462307583915794E-5</v>
      </c>
      <c r="G4" s="1"/>
      <c r="H4" s="1"/>
      <c r="I4" s="1">
        <v>0.219</v>
      </c>
      <c r="J4">
        <v>0.16514944479672314</v>
      </c>
      <c r="K4" s="1">
        <v>0.65</v>
      </c>
      <c r="L4">
        <v>2.6445514592995586E-4</v>
      </c>
      <c r="M4" s="1">
        <v>1.075</v>
      </c>
      <c r="N4">
        <v>2.4009815750435613E-2</v>
      </c>
      <c r="O4" s="1">
        <v>1.5</v>
      </c>
      <c r="P4">
        <v>3.206484445715761E-4</v>
      </c>
      <c r="Q4" s="1">
        <v>1.93</v>
      </c>
      <c r="S4" s="1">
        <v>2.355</v>
      </c>
      <c r="T4">
        <v>5.816210442143545E-5</v>
      </c>
      <c r="U4" s="1">
        <v>2.7850000000000001</v>
      </c>
      <c r="V4">
        <v>4.1698625199815603E-5</v>
      </c>
    </row>
    <row r="5" spans="2:22">
      <c r="B5" s="4" t="s">
        <v>861</v>
      </c>
      <c r="C5" s="1">
        <v>4.2784495219789881E-5</v>
      </c>
      <c r="D5">
        <f>0.000085417502742015*(-1)</f>
        <v>-8.5417502742014996E-5</v>
      </c>
      <c r="E5">
        <v>8.5417502742015037E-5</v>
      </c>
      <c r="F5" s="1">
        <v>4.2784495219789881E-5</v>
      </c>
      <c r="I5" s="1">
        <v>0.219</v>
      </c>
      <c r="J5">
        <v>9.7969442919346894E-2</v>
      </c>
      <c r="K5" s="1">
        <v>0.65</v>
      </c>
      <c r="L5">
        <v>1.2706728508812515E-2</v>
      </c>
      <c r="M5" s="1">
        <v>1.075</v>
      </c>
      <c r="N5">
        <v>3.4936459650853395E-2</v>
      </c>
      <c r="O5" s="1">
        <v>1.5</v>
      </c>
      <c r="P5">
        <v>6.0643521153390942E-4</v>
      </c>
      <c r="Q5" s="1">
        <v>1.93</v>
      </c>
      <c r="R5">
        <v>1.3110618685246669E-2</v>
      </c>
      <c r="S5" s="1">
        <v>2.355</v>
      </c>
      <c r="T5">
        <v>3.2944591271153243E-5</v>
      </c>
      <c r="U5" s="1">
        <v>2.7850000000000001</v>
      </c>
      <c r="V5">
        <v>3.8014712859930067E-5</v>
      </c>
    </row>
    <row r="6" spans="2:22">
      <c r="B6" s="4" t="s">
        <v>862</v>
      </c>
      <c r="C6" s="1">
        <v>2.3137866053856936E-2</v>
      </c>
      <c r="D6">
        <f>0.0351432910403935*(-1)</f>
        <v>-3.5143291040393501E-2</v>
      </c>
      <c r="E6">
        <v>3.514329104039348E-2</v>
      </c>
      <c r="F6" s="1">
        <v>2.3137866053856936E-2</v>
      </c>
      <c r="I6" s="1">
        <v>0.219</v>
      </c>
      <c r="J6">
        <v>0.15401875858009109</v>
      </c>
      <c r="K6" s="1">
        <v>0.65</v>
      </c>
      <c r="L6">
        <v>7.1817231823545916E-3</v>
      </c>
      <c r="M6" s="1">
        <v>1.075</v>
      </c>
      <c r="N6">
        <v>4.15577832802091E-2</v>
      </c>
      <c r="O6" s="1">
        <v>1.5</v>
      </c>
      <c r="P6">
        <v>3.3751501598298728E-3</v>
      </c>
      <c r="Q6" s="1">
        <v>1.93</v>
      </c>
      <c r="R6">
        <v>8.1401697932479922E-2</v>
      </c>
      <c r="S6" s="1">
        <v>2.355</v>
      </c>
      <c r="T6">
        <v>2.1272189868156035E-4</v>
      </c>
      <c r="U6" s="1">
        <v>2.7850000000000001</v>
      </c>
      <c r="V6">
        <v>9.0959535447743416E-5</v>
      </c>
    </row>
    <row r="7" spans="2:22">
      <c r="B7" s="4" t="s">
        <v>863</v>
      </c>
      <c r="C7" s="1">
        <v>7.1323888048925436E-4</v>
      </c>
      <c r="D7">
        <f>0.00124877698572647*(-1)</f>
        <v>-1.2487769857264699E-3</v>
      </c>
      <c r="E7">
        <v>1.2487769857264693E-3</v>
      </c>
      <c r="F7" s="1">
        <v>7.1323888048925436E-4</v>
      </c>
    </row>
    <row r="8" spans="2:22">
      <c r="B8" s="4" t="s">
        <v>864</v>
      </c>
      <c r="C8" s="1">
        <v>4.4517868439528001E-3</v>
      </c>
      <c r="D8">
        <f>0.0308482577861763*(-1)</f>
        <v>-3.0848257786176302E-2</v>
      </c>
      <c r="E8">
        <v>7.8658355469024763E-3</v>
      </c>
      <c r="F8" s="1">
        <v>6.7876822396058306E-3</v>
      </c>
    </row>
    <row r="9" spans="2:22">
      <c r="B9" s="4" t="s">
        <v>865</v>
      </c>
      <c r="C9" s="1">
        <v>3.1925839382904984E-3</v>
      </c>
      <c r="D9">
        <f>0.0120183030652164*(-1)</f>
        <v>-1.2018303065216399E-2</v>
      </c>
      <c r="E9">
        <v>3.0848257786176329E-2</v>
      </c>
      <c r="F9" s="1">
        <v>4.4862924849135765E-3</v>
      </c>
    </row>
    <row r="10" spans="2:22">
      <c r="B10" s="4" t="s">
        <v>867</v>
      </c>
      <c r="C10" s="1">
        <v>7.5024098353565112E-3</v>
      </c>
      <c r="D10">
        <f>0.0349477776813097*(-1)</f>
        <v>-3.4947777681309702E-2</v>
      </c>
      <c r="E10">
        <v>1.9963384697603899E-2</v>
      </c>
      <c r="F10" s="1">
        <v>1.3937165926914351E-3</v>
      </c>
      <c r="I10" s="2" t="s">
        <v>866</v>
      </c>
    </row>
    <row r="11" spans="2:22">
      <c r="B11" s="4" t="s">
        <v>868</v>
      </c>
      <c r="C11" s="1">
        <v>1.2528298622644639E-2</v>
      </c>
      <c r="D11">
        <f>0.0754116276768433*(-1)</f>
        <v>-7.5411627676843299E-2</v>
      </c>
      <c r="E11">
        <v>0.12845905647954386</v>
      </c>
      <c r="F11">
        <v>5.0816114650393387E-2</v>
      </c>
      <c r="I11" s="1" t="s">
        <v>859</v>
      </c>
      <c r="J11" s="2" t="s">
        <v>387</v>
      </c>
      <c r="K11" s="1" t="s">
        <v>859</v>
      </c>
      <c r="L11" s="2" t="s">
        <v>393</v>
      </c>
      <c r="M11" s="1" t="s">
        <v>859</v>
      </c>
      <c r="N11" s="2" t="s">
        <v>399</v>
      </c>
      <c r="O11" s="1" t="s">
        <v>859</v>
      </c>
      <c r="P11" s="2" t="s">
        <v>31</v>
      </c>
      <c r="Q11" s="1" t="s">
        <v>859</v>
      </c>
      <c r="R11" s="2" t="s">
        <v>333</v>
      </c>
      <c r="S11" s="1" t="s">
        <v>859</v>
      </c>
      <c r="T11" s="2" t="s">
        <v>340</v>
      </c>
      <c r="U11" s="1" t="s">
        <v>859</v>
      </c>
      <c r="V11" s="2" t="s">
        <v>346</v>
      </c>
    </row>
    <row r="12" spans="2:22">
      <c r="B12" s="4" t="s">
        <v>869</v>
      </c>
      <c r="C12">
        <v>1.470294269221625E-2</v>
      </c>
      <c r="D12">
        <f>0.139370100956828*(-1)</f>
        <v>-0.139370100956828</v>
      </c>
      <c r="E12">
        <v>1.1447168973331722E-3</v>
      </c>
      <c r="F12">
        <v>4.5189957825098975E-4</v>
      </c>
      <c r="I12" s="1">
        <v>0.219</v>
      </c>
      <c r="J12">
        <v>2.0997662275796015E-2</v>
      </c>
      <c r="K12" s="1">
        <v>0.65</v>
      </c>
      <c r="L12">
        <v>0.10922060246717089</v>
      </c>
      <c r="M12" s="1">
        <v>1.075</v>
      </c>
      <c r="N12">
        <v>1.0279990505579116E-2</v>
      </c>
      <c r="O12" s="1">
        <v>1.5</v>
      </c>
      <c r="P12">
        <v>6.9287412697051852E-4</v>
      </c>
      <c r="Q12" s="1">
        <v>1.93</v>
      </c>
      <c r="R12">
        <v>1.091755650345385E-2</v>
      </c>
      <c r="S12" s="1">
        <v>2.355</v>
      </c>
      <c r="T12">
        <v>3.7841416593911107E-5</v>
      </c>
      <c r="U12" s="1">
        <v>2.7850000000000001</v>
      </c>
      <c r="V12">
        <v>1.8226453976381303E-5</v>
      </c>
    </row>
    <row r="13" spans="2:22" ht="15" thickBot="1">
      <c r="B13" s="5" t="s">
        <v>870</v>
      </c>
      <c r="C13">
        <v>5.0822706993664604E-3</v>
      </c>
      <c r="D13">
        <f>0.0179550406567462*(-1)</f>
        <v>-1.7955040656746201E-2</v>
      </c>
      <c r="E13">
        <v>0.11809115771932019</v>
      </c>
      <c r="F13">
        <v>3.6843472191311809E-2</v>
      </c>
      <c r="I13" s="1">
        <v>0.219</v>
      </c>
      <c r="J13">
        <v>3.0603430440890908E-2</v>
      </c>
      <c r="K13" s="1">
        <v>0.65</v>
      </c>
      <c r="L13">
        <v>6.099812046618884E-2</v>
      </c>
      <c r="M13" s="1">
        <v>1.075</v>
      </c>
      <c r="N13">
        <v>1.2270619764492473E-2</v>
      </c>
      <c r="O13" s="1">
        <v>1.5</v>
      </c>
      <c r="P13">
        <v>3.206484445715761E-4</v>
      </c>
      <c r="Q13" s="1">
        <v>1.93</v>
      </c>
      <c r="S13" s="1">
        <v>2.355</v>
      </c>
      <c r="T13">
        <v>5.816210442143545E-5</v>
      </c>
      <c r="U13" s="1">
        <v>2.7850000000000001</v>
      </c>
      <c r="V13">
        <v>4.1698625199815603E-5</v>
      </c>
    </row>
    <row r="14" spans="2:22">
      <c r="I14" s="1">
        <v>0.219</v>
      </c>
      <c r="J14">
        <v>1.3076897055037793E-2</v>
      </c>
      <c r="K14" s="1">
        <v>0.65</v>
      </c>
      <c r="L14">
        <v>5.2587372094539349E-2</v>
      </c>
      <c r="M14" s="1">
        <v>1.075</v>
      </c>
      <c r="N14">
        <v>2.0446404127955974E-2</v>
      </c>
      <c r="O14" s="1">
        <v>1.5</v>
      </c>
      <c r="P14">
        <v>6.0643521153390942E-4</v>
      </c>
      <c r="Q14" s="1">
        <v>1.93</v>
      </c>
      <c r="R14">
        <v>1.3110618685246669E-2</v>
      </c>
      <c r="S14" s="1">
        <v>2.355</v>
      </c>
      <c r="T14">
        <v>3.2944591271153243E-5</v>
      </c>
      <c r="U14" s="1">
        <v>2.7850000000000001</v>
      </c>
      <c r="V14">
        <v>3.8014712859930067E-5</v>
      </c>
    </row>
    <row r="15" spans="2:22">
      <c r="I15" s="1">
        <v>0.219</v>
      </c>
      <c r="J15">
        <v>7.1421728552602259E-3</v>
      </c>
      <c r="K15" s="1">
        <v>0.65</v>
      </c>
      <c r="L15">
        <v>7.8840415679474085E-2</v>
      </c>
      <c r="M15" s="1">
        <v>1.075</v>
      </c>
      <c r="N15">
        <v>5.0761978628381232E-3</v>
      </c>
      <c r="O15" s="1">
        <v>1.5</v>
      </c>
      <c r="P15">
        <v>3.3751501598298728E-3</v>
      </c>
      <c r="Q15" s="1">
        <v>1.93</v>
      </c>
      <c r="R15">
        <v>8.1401697932479922E-2</v>
      </c>
      <c r="S15" s="1">
        <v>2.355</v>
      </c>
      <c r="T15">
        <v>2.1272189868156035E-4</v>
      </c>
      <c r="U15" s="1">
        <v>2.7850000000000001</v>
      </c>
      <c r="V15">
        <v>9.0959535447743416E-5</v>
      </c>
    </row>
    <row r="20" spans="2:10">
      <c r="B20" s="1"/>
      <c r="C20" s="1"/>
      <c r="D20" s="1"/>
      <c r="E20" s="1"/>
      <c r="F20" s="1"/>
      <c r="G20" s="1"/>
      <c r="H20" s="24" t="s">
        <v>14</v>
      </c>
      <c r="J20" s="15" t="s">
        <v>871</v>
      </c>
    </row>
    <row r="21" spans="2:10">
      <c r="B21" s="2" t="s">
        <v>853</v>
      </c>
      <c r="C21" s="24" t="s">
        <v>16</v>
      </c>
      <c r="D21" s="24" t="s">
        <v>607</v>
      </c>
      <c r="E21" s="24" t="s">
        <v>608</v>
      </c>
      <c r="F21" s="24" t="s">
        <v>609</v>
      </c>
      <c r="G21" s="24" t="s">
        <v>610</v>
      </c>
      <c r="H21" s="24" t="s">
        <v>856</v>
      </c>
      <c r="I21" s="27" t="s">
        <v>873</v>
      </c>
    </row>
    <row r="22" spans="2:10">
      <c r="B22" s="2" t="s">
        <v>387</v>
      </c>
      <c r="C22" s="1">
        <v>1.470294269221625E-2</v>
      </c>
      <c r="D22" s="1">
        <v>0.14034275753115172</v>
      </c>
      <c r="E22" s="1">
        <v>0.16514944479672314</v>
      </c>
      <c r="F22" s="1">
        <v>9.7969442919346894E-2</v>
      </c>
      <c r="G22" s="1">
        <v>0.15401875858009109</v>
      </c>
      <c r="H22" s="1">
        <f>0.139370100956828</f>
        <v>0.139370100956828</v>
      </c>
      <c r="I22" s="9">
        <f>TTEST(D22:G22,D41:G41,2,3)</f>
        <v>2.5337310901139454E-3</v>
      </c>
      <c r="J22" s="28" t="s">
        <v>882</v>
      </c>
    </row>
    <row r="23" spans="2:10">
      <c r="B23" s="2" t="s">
        <v>393</v>
      </c>
      <c r="C23" s="1">
        <v>7.5024098353565112E-3</v>
      </c>
      <c r="D23" s="1">
        <v>3.4947777681309737E-2</v>
      </c>
      <c r="E23" s="1">
        <v>2.6445514592995586E-4</v>
      </c>
      <c r="F23" s="1">
        <v>1.2706728508812515E-2</v>
      </c>
      <c r="G23" s="1">
        <v>7.1817231823545916E-3</v>
      </c>
      <c r="H23" s="1">
        <v>1.3775171129601698E-2</v>
      </c>
      <c r="I23">
        <f t="shared" ref="I23:I28" si="0">TTEST(D23:G23,D42:G42,2,3)</f>
        <v>0.47323958315184994</v>
      </c>
    </row>
    <row r="24" spans="2:10">
      <c r="B24" s="2" t="s">
        <v>399</v>
      </c>
      <c r="C24" s="1">
        <v>4.4517868439528001E-3</v>
      </c>
      <c r="D24" s="1">
        <v>2.2888972463207209E-2</v>
      </c>
      <c r="E24" s="1">
        <v>2.4009815750435613E-2</v>
      </c>
      <c r="F24" s="1">
        <v>3.4936459650853395E-2</v>
      </c>
      <c r="G24" s="1">
        <v>4.15577832802091E-2</v>
      </c>
      <c r="H24" s="1">
        <f>0.0308482577861763</f>
        <v>3.0848257786176302E-2</v>
      </c>
      <c r="I24" s="9">
        <f>TTEST(D24:G24,D43:G43,2,3)</f>
        <v>3.5310576119883565E-2</v>
      </c>
      <c r="J24" s="28" t="s">
        <v>875</v>
      </c>
    </row>
    <row r="25" spans="2:10">
      <c r="B25" s="2" t="s">
        <v>31</v>
      </c>
      <c r="C25" s="1">
        <v>7.1323888048925436E-4</v>
      </c>
      <c r="D25" s="1">
        <v>6.9287412697051852E-4</v>
      </c>
      <c r="E25" s="1">
        <v>3.206484445715761E-4</v>
      </c>
      <c r="F25" s="1">
        <v>6.0643521153390942E-4</v>
      </c>
      <c r="G25" s="30">
        <v>3.3751501598298728E-3</v>
      </c>
      <c r="H25" s="1">
        <v>1.2487769857264699E-3</v>
      </c>
      <c r="I25">
        <f t="shared" si="0"/>
        <v>1</v>
      </c>
    </row>
    <row r="26" spans="2:10">
      <c r="B26" s="2" t="s">
        <v>333</v>
      </c>
      <c r="C26" s="1">
        <v>2.3137866053856936E-2</v>
      </c>
      <c r="D26" s="1">
        <v>1.091755650345385E-2</v>
      </c>
      <c r="E26" s="1"/>
      <c r="F26" s="1">
        <v>1.3110618685246669E-2</v>
      </c>
      <c r="G26" s="1">
        <v>8.1401697932479922E-2</v>
      </c>
      <c r="H26" s="1">
        <v>3.514329104039348E-2</v>
      </c>
      <c r="I26">
        <f t="shared" si="0"/>
        <v>1</v>
      </c>
    </row>
    <row r="27" spans="2:10">
      <c r="B27" s="2" t="s">
        <v>340</v>
      </c>
      <c r="C27" s="1">
        <v>4.2784495219789881E-5</v>
      </c>
      <c r="D27" s="1">
        <v>3.7841416593911107E-5</v>
      </c>
      <c r="E27" s="1">
        <v>5.816210442143545E-5</v>
      </c>
      <c r="F27" s="1">
        <v>3.2944591271153243E-5</v>
      </c>
      <c r="G27" s="30">
        <v>2.1272189868156035E-4</v>
      </c>
      <c r="H27" s="1">
        <v>8.5417502742015037E-5</v>
      </c>
      <c r="I27">
        <f t="shared" si="0"/>
        <v>1</v>
      </c>
    </row>
    <row r="28" spans="2:10">
      <c r="B28" s="2" t="s">
        <v>346</v>
      </c>
      <c r="C28" s="1">
        <v>1.5462307583915794E-5</v>
      </c>
      <c r="D28" s="1">
        <v>1.8226453976381303E-5</v>
      </c>
      <c r="E28" s="1">
        <v>4.1698625199815603E-5</v>
      </c>
      <c r="F28" s="1">
        <v>3.8014712859930067E-5</v>
      </c>
      <c r="G28" s="1">
        <v>9.0959535447743416E-5</v>
      </c>
      <c r="H28" s="1">
        <v>4.7224831870967598E-5</v>
      </c>
      <c r="I28">
        <f t="shared" si="0"/>
        <v>1</v>
      </c>
    </row>
    <row r="30" spans="2:10">
      <c r="B30" s="2" t="s">
        <v>866</v>
      </c>
      <c r="C30" s="24" t="s">
        <v>16</v>
      </c>
      <c r="D30" s="24" t="s">
        <v>607</v>
      </c>
      <c r="E30" s="24" t="s">
        <v>608</v>
      </c>
      <c r="F30" s="24" t="s">
        <v>609</v>
      </c>
      <c r="G30" s="24" t="s">
        <v>610</v>
      </c>
      <c r="H30" s="24" t="s">
        <v>856</v>
      </c>
      <c r="I30" s="27" t="s">
        <v>873</v>
      </c>
    </row>
    <row r="31" spans="2:10">
      <c r="B31" s="2" t="s">
        <v>387</v>
      </c>
      <c r="C31" s="1">
        <v>5.0822706993664604E-3</v>
      </c>
      <c r="D31" s="1">
        <v>2.0997662275796015E-2</v>
      </c>
      <c r="E31" s="1">
        <v>3.0603430440890908E-2</v>
      </c>
      <c r="F31" s="1">
        <v>1.3076897055037793E-2</v>
      </c>
      <c r="G31" s="1">
        <v>7.1421728552602259E-3</v>
      </c>
      <c r="H31" s="1">
        <f>0.0179550406567462</f>
        <v>1.7955040656746201E-2</v>
      </c>
      <c r="I31">
        <f t="shared" ref="I31:I37" si="1">TTEST(D31:G31,D51:G51,2,3)</f>
        <v>7.1327555999607856E-2</v>
      </c>
    </row>
    <row r="32" spans="2:10">
      <c r="B32" s="2" t="s">
        <v>393</v>
      </c>
      <c r="C32" s="1">
        <v>1.2528298622644639E-2</v>
      </c>
      <c r="D32" s="1">
        <v>0.10922060246717089</v>
      </c>
      <c r="E32" s="1">
        <v>6.099812046618884E-2</v>
      </c>
      <c r="F32" s="1">
        <v>5.2587372094539349E-2</v>
      </c>
      <c r="G32" s="1">
        <v>7.8840415679474085E-2</v>
      </c>
      <c r="H32" s="1">
        <f>0.0754116276768433</f>
        <v>7.5411627676843299E-2</v>
      </c>
      <c r="I32">
        <f t="shared" si="1"/>
        <v>0.37805990131826173</v>
      </c>
    </row>
    <row r="33" spans="2:13">
      <c r="B33" s="2" t="s">
        <v>399</v>
      </c>
      <c r="C33" s="1">
        <v>3.1925839382904984E-3</v>
      </c>
      <c r="D33" s="1">
        <v>1.0279990505579116E-2</v>
      </c>
      <c r="E33" s="1">
        <v>1.2270619764492473E-2</v>
      </c>
      <c r="F33" s="1">
        <v>2.0446404127955974E-2</v>
      </c>
      <c r="G33" s="1">
        <v>5.0761978628381232E-3</v>
      </c>
      <c r="H33" s="1">
        <f>0.0120183030652164</f>
        <v>1.2018303065216399E-2</v>
      </c>
      <c r="I33" s="9">
        <f t="shared" si="1"/>
        <v>1.6603310974518021E-2</v>
      </c>
      <c r="J33" s="28" t="s">
        <v>875</v>
      </c>
    </row>
    <row r="34" spans="2:13">
      <c r="B34" s="2" t="s">
        <v>31</v>
      </c>
      <c r="C34" s="1">
        <v>7.1323888048925436E-4</v>
      </c>
      <c r="D34" s="1">
        <v>6.9287412697051852E-4</v>
      </c>
      <c r="E34" s="1">
        <v>3.206484445715761E-4</v>
      </c>
      <c r="F34" s="1">
        <v>6.0643521153390942E-4</v>
      </c>
      <c r="G34" s="1">
        <v>3.3751501598298728E-3</v>
      </c>
      <c r="H34" s="1">
        <v>1.2487769857264693E-3</v>
      </c>
      <c r="I34">
        <f t="shared" si="1"/>
        <v>1</v>
      </c>
    </row>
    <row r="35" spans="2:13">
      <c r="B35" s="2" t="s">
        <v>333</v>
      </c>
      <c r="C35" s="1">
        <v>2.3137866053856936E-2</v>
      </c>
      <c r="D35" s="1">
        <v>1.091755650345385E-2</v>
      </c>
      <c r="E35" s="1"/>
      <c r="F35" s="1">
        <v>1.3110618685246669E-2</v>
      </c>
      <c r="G35" s="1">
        <v>8.1401697932479922E-2</v>
      </c>
      <c r="H35" s="1">
        <v>3.514329104039348E-2</v>
      </c>
      <c r="I35">
        <f t="shared" si="1"/>
        <v>1</v>
      </c>
    </row>
    <row r="36" spans="2:13">
      <c r="B36" s="2" t="s">
        <v>340</v>
      </c>
      <c r="C36" s="1">
        <v>4.2784495219789881E-5</v>
      </c>
      <c r="D36" s="1">
        <v>3.7841416593911107E-5</v>
      </c>
      <c r="E36" s="1">
        <v>5.816210442143545E-5</v>
      </c>
      <c r="F36" s="1">
        <v>3.2944591271153243E-5</v>
      </c>
      <c r="G36" s="1">
        <v>2.1272189868156035E-4</v>
      </c>
      <c r="H36" s="1">
        <v>8.5417502742015037E-5</v>
      </c>
      <c r="I36">
        <f t="shared" si="1"/>
        <v>1</v>
      </c>
    </row>
    <row r="37" spans="2:13">
      <c r="B37" s="2" t="s">
        <v>346</v>
      </c>
      <c r="C37" s="1">
        <v>1.5462307583915794E-5</v>
      </c>
      <c r="D37" s="1">
        <v>1.8226453976381303E-5</v>
      </c>
      <c r="E37" s="1">
        <v>4.1698625199815603E-5</v>
      </c>
      <c r="F37" s="1">
        <v>3.8014712859930067E-5</v>
      </c>
      <c r="G37" s="1">
        <v>9.0959535447743416E-5</v>
      </c>
      <c r="H37" s="1">
        <v>4.7224831870967598E-5</v>
      </c>
      <c r="I37">
        <f t="shared" si="1"/>
        <v>1</v>
      </c>
    </row>
    <row r="40" spans="2:13">
      <c r="B40" s="2" t="s">
        <v>872</v>
      </c>
      <c r="C40" s="24" t="s">
        <v>16</v>
      </c>
      <c r="D40" s="24" t="s">
        <v>607</v>
      </c>
      <c r="E40" s="24" t="s">
        <v>608</v>
      </c>
      <c r="F40" s="24" t="s">
        <v>609</v>
      </c>
      <c r="G40" s="24" t="s">
        <v>610</v>
      </c>
      <c r="H40" s="24" t="s">
        <v>880</v>
      </c>
      <c r="M40" s="15" t="s">
        <v>876</v>
      </c>
    </row>
    <row r="41" spans="2:13">
      <c r="B41" s="2" t="s">
        <v>387</v>
      </c>
      <c r="C41" s="1">
        <v>4.5189957825098975E-4</v>
      </c>
      <c r="D41" s="1">
        <v>3.5555216504964358E-4</v>
      </c>
      <c r="E41" s="1">
        <v>8.6168744602006288E-4</v>
      </c>
      <c r="F41" s="1">
        <v>9.1502292192676511E-4</v>
      </c>
      <c r="G41" s="1">
        <v>2.4466050563362166E-3</v>
      </c>
      <c r="H41" s="1">
        <v>1.1447168973331722E-3</v>
      </c>
    </row>
    <row r="42" spans="2:13">
      <c r="B42" s="2" t="s">
        <v>393</v>
      </c>
      <c r="C42" s="1">
        <v>1.3937165926914351E-3</v>
      </c>
      <c r="D42" s="1">
        <v>1.5910647933228026E-2</v>
      </c>
      <c r="E42" s="1">
        <v>2.205660426495519E-2</v>
      </c>
      <c r="F42" s="1">
        <v>2.1483168308378306E-2</v>
      </c>
      <c r="G42" s="1">
        <v>2.0403118283854074E-2</v>
      </c>
      <c r="H42" s="1">
        <v>1.9963384697603899E-2</v>
      </c>
    </row>
    <row r="43" spans="2:13">
      <c r="B43" s="2" t="s">
        <v>399</v>
      </c>
      <c r="C43" s="1">
        <v>6.7876822396058306E-3</v>
      </c>
      <c r="D43" s="1">
        <v>6.6559130605776669E-4</v>
      </c>
      <c r="E43" s="30">
        <v>2.8223350298870176E-2</v>
      </c>
      <c r="F43" s="1">
        <v>1.4334100285197566E-3</v>
      </c>
      <c r="G43" s="1">
        <v>1.1409905541622104E-3</v>
      </c>
      <c r="H43" s="1">
        <v>7.8658355469024763E-3</v>
      </c>
    </row>
    <row r="44" spans="2:13">
      <c r="B44" s="2" t="s">
        <v>31</v>
      </c>
      <c r="C44" s="1">
        <v>7.1323888048925436E-4</v>
      </c>
      <c r="D44" s="1">
        <v>6.9287412697051852E-4</v>
      </c>
      <c r="E44" s="1">
        <v>3.206484445715761E-4</v>
      </c>
      <c r="F44" s="1">
        <v>6.0643521153390942E-4</v>
      </c>
      <c r="G44" s="1">
        <v>3.3751501598298728E-3</v>
      </c>
      <c r="H44" s="1">
        <v>1.2487769857264693E-3</v>
      </c>
    </row>
    <row r="45" spans="2:13">
      <c r="B45" s="2" t="s">
        <v>333</v>
      </c>
      <c r="C45" s="1">
        <v>2.3137866053856936E-2</v>
      </c>
      <c r="D45" s="1">
        <v>1.091755650345385E-2</v>
      </c>
      <c r="E45" s="1"/>
      <c r="F45" s="1">
        <v>1.3110618685246669E-2</v>
      </c>
      <c r="G45" s="1">
        <v>8.1401697932479922E-2</v>
      </c>
      <c r="H45" s="1">
        <v>3.514329104039348E-2</v>
      </c>
    </row>
    <row r="46" spans="2:13">
      <c r="B46" s="2" t="s">
        <v>340</v>
      </c>
      <c r="C46" s="1">
        <v>4.2784495219789881E-5</v>
      </c>
      <c r="D46" s="1">
        <v>3.7841416593911107E-5</v>
      </c>
      <c r="E46" s="1">
        <v>5.816210442143545E-5</v>
      </c>
      <c r="F46" s="1">
        <v>3.2944591271153243E-5</v>
      </c>
      <c r="G46" s="1">
        <v>2.1272189868156035E-4</v>
      </c>
      <c r="H46" s="1">
        <v>8.5417502742015037E-5</v>
      </c>
    </row>
    <row r="47" spans="2:13">
      <c r="B47" s="2" t="s">
        <v>346</v>
      </c>
      <c r="C47" s="1">
        <v>1.5462307583915794E-5</v>
      </c>
      <c r="D47" s="1">
        <v>1.8226453976381303E-5</v>
      </c>
      <c r="E47" s="1">
        <v>4.1698625199815603E-5</v>
      </c>
      <c r="F47" s="1">
        <v>3.8014712859930067E-5</v>
      </c>
      <c r="G47" s="1">
        <v>9.0959535447743416E-5</v>
      </c>
      <c r="H47" s="1">
        <v>4.7224831870967598E-5</v>
      </c>
    </row>
    <row r="50" spans="2:23">
      <c r="B50" s="2" t="s">
        <v>874</v>
      </c>
      <c r="C50" s="24" t="s">
        <v>16</v>
      </c>
      <c r="D50" s="24" t="s">
        <v>607</v>
      </c>
      <c r="E50" s="24" t="s">
        <v>608</v>
      </c>
      <c r="F50" s="24" t="s">
        <v>609</v>
      </c>
      <c r="G50" s="24" t="s">
        <v>610</v>
      </c>
      <c r="H50" s="24" t="s">
        <v>857</v>
      </c>
    </row>
    <row r="51" spans="2:23">
      <c r="B51" s="2" t="s">
        <v>387</v>
      </c>
      <c r="C51" s="1">
        <v>3.6843472191311809E-2</v>
      </c>
      <c r="D51" s="1">
        <v>1.8248730261453794E-2</v>
      </c>
      <c r="E51" s="1">
        <v>0.12528026274701895</v>
      </c>
      <c r="F51" s="1">
        <v>0.1329791112089686</v>
      </c>
      <c r="G51" s="1">
        <v>0.19585652665983941</v>
      </c>
      <c r="H51" s="1">
        <v>0.11809115771932019</v>
      </c>
    </row>
    <row r="52" spans="2:23">
      <c r="B52" s="2" t="s">
        <v>393</v>
      </c>
      <c r="C52" s="1">
        <v>5.0816114650393387E-2</v>
      </c>
      <c r="D52" s="1">
        <v>4.1905033731825032E-2</v>
      </c>
      <c r="E52" s="1">
        <v>0.19539383631249374</v>
      </c>
      <c r="F52" s="1">
        <v>4.125576862437693E-2</v>
      </c>
      <c r="G52" s="1">
        <v>0.23528158724947976</v>
      </c>
      <c r="H52" s="1">
        <v>0.12845905647954386</v>
      </c>
    </row>
    <row r="53" spans="2:23">
      <c r="B53" s="2" t="s">
        <v>399</v>
      </c>
      <c r="C53" s="1">
        <v>4.4862924849135765E-3</v>
      </c>
      <c r="D53" s="1">
        <v>2.2888972463207209E-2</v>
      </c>
      <c r="E53" s="1">
        <v>2.4009815750435613E-2</v>
      </c>
      <c r="F53" s="1">
        <v>3.4936459650853395E-2</v>
      </c>
      <c r="G53" s="1">
        <v>4.15577832802091E-2</v>
      </c>
      <c r="H53" s="1">
        <v>3.0848257786176329E-2</v>
      </c>
    </row>
    <row r="54" spans="2:23">
      <c r="B54" s="2" t="s">
        <v>31</v>
      </c>
      <c r="C54" s="1">
        <v>7.1323888048925436E-4</v>
      </c>
      <c r="D54" s="1">
        <v>6.9287412697051852E-4</v>
      </c>
      <c r="E54" s="1">
        <v>3.206484445715761E-4</v>
      </c>
      <c r="F54" s="1">
        <v>6.0643521153390942E-4</v>
      </c>
      <c r="G54" s="1">
        <v>3.3751501598298728E-3</v>
      </c>
      <c r="H54" s="1">
        <v>1.2487769857264693E-3</v>
      </c>
    </row>
    <row r="55" spans="2:23">
      <c r="B55" s="2" t="s">
        <v>333</v>
      </c>
      <c r="C55" s="1">
        <v>2.3137866053856936E-2</v>
      </c>
      <c r="D55" s="1">
        <v>1.091755650345385E-2</v>
      </c>
      <c r="E55" s="1"/>
      <c r="F55" s="1">
        <v>1.3110618685246669E-2</v>
      </c>
      <c r="G55" s="1">
        <v>8.1401697932479922E-2</v>
      </c>
      <c r="H55" s="1">
        <v>3.514329104039348E-2</v>
      </c>
    </row>
    <row r="56" spans="2:23">
      <c r="B56" s="2" t="s">
        <v>340</v>
      </c>
      <c r="C56" s="1">
        <v>4.2784495219789881E-5</v>
      </c>
      <c r="D56" s="1">
        <v>3.7841416593911107E-5</v>
      </c>
      <c r="E56" s="1">
        <v>5.816210442143545E-5</v>
      </c>
      <c r="F56" s="1">
        <v>3.2944591271153243E-5</v>
      </c>
      <c r="G56" s="1">
        <v>2.1272189868156035E-4</v>
      </c>
      <c r="H56" s="1">
        <v>8.5417502742015037E-5</v>
      </c>
    </row>
    <row r="57" spans="2:23">
      <c r="B57" s="2" t="s">
        <v>346</v>
      </c>
      <c r="C57" s="1">
        <v>1.5462307583915794E-5</v>
      </c>
      <c r="D57" s="1">
        <v>1.8226453976381303E-5</v>
      </c>
      <c r="E57" s="1">
        <v>4.1698625199815603E-5</v>
      </c>
      <c r="F57" s="1">
        <v>3.8014712859930067E-5</v>
      </c>
      <c r="G57" s="1">
        <v>9.0959535447743416E-5</v>
      </c>
      <c r="H57" s="1">
        <v>4.7224831870967598E-5</v>
      </c>
    </row>
    <row r="60" spans="2:23">
      <c r="J60" s="2" t="s">
        <v>872</v>
      </c>
    </row>
    <row r="61" spans="2:23">
      <c r="J61" s="1" t="s">
        <v>859</v>
      </c>
      <c r="K61" s="2" t="s">
        <v>387</v>
      </c>
      <c r="L61" s="1" t="s">
        <v>859</v>
      </c>
      <c r="M61" s="2" t="s">
        <v>393</v>
      </c>
      <c r="N61" s="1" t="s">
        <v>859</v>
      </c>
      <c r="O61" s="2" t="s">
        <v>399</v>
      </c>
      <c r="P61" s="1" t="s">
        <v>859</v>
      </c>
      <c r="Q61" s="2" t="s">
        <v>31</v>
      </c>
      <c r="R61" s="1" t="s">
        <v>859</v>
      </c>
      <c r="S61" s="2" t="s">
        <v>333</v>
      </c>
      <c r="T61" s="1" t="s">
        <v>859</v>
      </c>
      <c r="U61" s="2" t="s">
        <v>340</v>
      </c>
      <c r="V61" s="1" t="s">
        <v>859</v>
      </c>
      <c r="W61" s="2" t="s">
        <v>346</v>
      </c>
    </row>
    <row r="62" spans="2:23">
      <c r="J62" s="1">
        <v>0.219</v>
      </c>
      <c r="K62">
        <v>3.5555216504964358E-4</v>
      </c>
      <c r="L62" s="1">
        <v>0.65</v>
      </c>
      <c r="M62">
        <v>1.5910647933228026E-2</v>
      </c>
      <c r="N62" s="1">
        <v>1.075</v>
      </c>
      <c r="O62">
        <v>6.6559130605776669E-4</v>
      </c>
      <c r="P62" s="1">
        <v>1.5</v>
      </c>
      <c r="Q62">
        <v>6.9287412697051852E-4</v>
      </c>
      <c r="R62" s="1">
        <v>1.93</v>
      </c>
      <c r="S62">
        <v>1.091755650345385E-2</v>
      </c>
      <c r="T62" s="1">
        <v>2.355</v>
      </c>
      <c r="U62">
        <v>3.7841416593911107E-5</v>
      </c>
      <c r="V62" s="1">
        <v>2.7850000000000001</v>
      </c>
      <c r="W62">
        <v>1.8226453976381303E-5</v>
      </c>
    </row>
    <row r="63" spans="2:23">
      <c r="J63" s="1">
        <v>0.219</v>
      </c>
      <c r="K63">
        <v>8.6168744602006288E-4</v>
      </c>
      <c r="L63" s="1">
        <v>0.65</v>
      </c>
      <c r="M63">
        <v>2.205660426495519E-2</v>
      </c>
      <c r="N63" s="1">
        <v>1.075</v>
      </c>
      <c r="O63">
        <v>2.8223350298870176E-2</v>
      </c>
      <c r="P63" s="1">
        <v>1.5</v>
      </c>
      <c r="Q63">
        <v>3.206484445715761E-4</v>
      </c>
      <c r="R63" s="1">
        <v>1.93</v>
      </c>
      <c r="T63" s="1">
        <v>2.355</v>
      </c>
      <c r="U63">
        <v>5.816210442143545E-5</v>
      </c>
      <c r="V63" s="1">
        <v>2.7850000000000001</v>
      </c>
      <c r="W63">
        <v>4.1698625199815603E-5</v>
      </c>
    </row>
    <row r="64" spans="2:23">
      <c r="J64" s="1">
        <v>0.219</v>
      </c>
      <c r="K64">
        <v>9.1502292192676511E-4</v>
      </c>
      <c r="L64" s="1">
        <v>0.65</v>
      </c>
      <c r="M64">
        <v>2.1483168308378306E-2</v>
      </c>
      <c r="N64" s="1">
        <v>1.075</v>
      </c>
      <c r="O64">
        <v>1.4334100285197566E-3</v>
      </c>
      <c r="P64" s="1">
        <v>1.5</v>
      </c>
      <c r="Q64">
        <v>6.0643521153390942E-4</v>
      </c>
      <c r="R64" s="1">
        <v>1.93</v>
      </c>
      <c r="S64">
        <v>1.3110618685246669E-2</v>
      </c>
      <c r="T64" s="1">
        <v>2.355</v>
      </c>
      <c r="U64">
        <v>3.2944591271153243E-5</v>
      </c>
      <c r="V64" s="1">
        <v>2.7850000000000001</v>
      </c>
      <c r="W64">
        <v>3.8014712859930067E-5</v>
      </c>
    </row>
    <row r="65" spans="10:23">
      <c r="J65" s="1">
        <v>0.219</v>
      </c>
      <c r="K65">
        <v>2.4466050563362166E-3</v>
      </c>
      <c r="L65" s="1">
        <v>0.65</v>
      </c>
      <c r="M65">
        <v>2.0403118283854074E-2</v>
      </c>
      <c r="N65" s="1">
        <v>1.075</v>
      </c>
      <c r="O65">
        <v>1.1409905541622104E-3</v>
      </c>
      <c r="P65" s="1">
        <v>1.5</v>
      </c>
      <c r="Q65">
        <v>3.3751501598298728E-3</v>
      </c>
      <c r="R65" s="1">
        <v>1.93</v>
      </c>
      <c r="S65">
        <v>8.1401697932479922E-2</v>
      </c>
      <c r="T65" s="1">
        <v>2.355</v>
      </c>
      <c r="U65">
        <v>2.1272189868156035E-4</v>
      </c>
      <c r="V65" s="1">
        <v>2.7850000000000001</v>
      </c>
      <c r="W65">
        <v>9.0959535447743416E-5</v>
      </c>
    </row>
    <row r="68" spans="10:23">
      <c r="J68" s="2" t="s">
        <v>874</v>
      </c>
    </row>
    <row r="69" spans="10:23">
      <c r="J69" s="1" t="s">
        <v>859</v>
      </c>
      <c r="K69" s="2" t="s">
        <v>387</v>
      </c>
      <c r="L69" s="1" t="s">
        <v>859</v>
      </c>
      <c r="M69" s="2" t="s">
        <v>393</v>
      </c>
      <c r="N69" s="1" t="s">
        <v>859</v>
      </c>
      <c r="O69" s="2" t="s">
        <v>399</v>
      </c>
      <c r="P69" s="1" t="s">
        <v>859</v>
      </c>
      <c r="Q69" s="2" t="s">
        <v>31</v>
      </c>
      <c r="R69" s="1" t="s">
        <v>859</v>
      </c>
      <c r="S69" s="2" t="s">
        <v>333</v>
      </c>
      <c r="T69" s="1" t="s">
        <v>859</v>
      </c>
      <c r="U69" s="2" t="s">
        <v>340</v>
      </c>
      <c r="V69" s="1" t="s">
        <v>859</v>
      </c>
      <c r="W69" s="2" t="s">
        <v>346</v>
      </c>
    </row>
    <row r="70" spans="10:23">
      <c r="J70" s="1">
        <v>0.219</v>
      </c>
      <c r="K70">
        <v>1.8248730261453794E-2</v>
      </c>
      <c r="L70" s="1">
        <v>0.65</v>
      </c>
      <c r="M70">
        <v>4.1905033731825032E-2</v>
      </c>
      <c r="N70" s="1">
        <v>1.075</v>
      </c>
      <c r="O70">
        <v>2.2888972463207209E-2</v>
      </c>
      <c r="P70" s="1">
        <v>1.5</v>
      </c>
      <c r="Q70">
        <v>6.9287412697051852E-4</v>
      </c>
      <c r="R70" s="1">
        <v>1.93</v>
      </c>
      <c r="S70">
        <v>1.091755650345385E-2</v>
      </c>
      <c r="T70" s="1">
        <v>2.355</v>
      </c>
      <c r="U70">
        <v>3.7841416593911107E-5</v>
      </c>
      <c r="V70" s="1">
        <v>2.7850000000000001</v>
      </c>
      <c r="W70">
        <v>1.8226453976381303E-5</v>
      </c>
    </row>
    <row r="71" spans="10:23">
      <c r="J71" s="1">
        <v>0.219</v>
      </c>
      <c r="K71">
        <v>0.12528026274701895</v>
      </c>
      <c r="L71" s="1">
        <v>0.65</v>
      </c>
      <c r="M71">
        <v>0.19539383631249374</v>
      </c>
      <c r="N71" s="1">
        <v>1.075</v>
      </c>
      <c r="O71">
        <v>2.4009815750435613E-2</v>
      </c>
      <c r="P71" s="1">
        <v>1.5</v>
      </c>
      <c r="Q71">
        <v>3.206484445715761E-4</v>
      </c>
      <c r="R71" s="1">
        <v>1.93</v>
      </c>
      <c r="T71" s="1">
        <v>2.355</v>
      </c>
      <c r="U71">
        <v>5.816210442143545E-5</v>
      </c>
      <c r="V71" s="1">
        <v>2.7850000000000001</v>
      </c>
      <c r="W71">
        <v>4.1698625199815603E-5</v>
      </c>
    </row>
    <row r="72" spans="10:23">
      <c r="J72" s="1">
        <v>0.219</v>
      </c>
      <c r="K72">
        <v>0.1329791112089686</v>
      </c>
      <c r="L72" s="1">
        <v>0.65</v>
      </c>
      <c r="M72">
        <v>4.125576862437693E-2</v>
      </c>
      <c r="N72" s="1">
        <v>1.075</v>
      </c>
      <c r="O72">
        <v>3.4936459650853395E-2</v>
      </c>
      <c r="P72" s="1">
        <v>1.5</v>
      </c>
      <c r="Q72">
        <v>6.0643521153390942E-4</v>
      </c>
      <c r="R72" s="1">
        <v>1.93</v>
      </c>
      <c r="S72">
        <v>1.3110618685246669E-2</v>
      </c>
      <c r="T72" s="1">
        <v>2.355</v>
      </c>
      <c r="U72">
        <v>3.2944591271153243E-5</v>
      </c>
      <c r="V72" s="1">
        <v>2.7850000000000001</v>
      </c>
      <c r="W72">
        <v>3.8014712859930067E-5</v>
      </c>
    </row>
    <row r="73" spans="10:23">
      <c r="J73" s="1">
        <v>0.219</v>
      </c>
      <c r="K73">
        <v>0.19585652665983941</v>
      </c>
      <c r="L73" s="1">
        <v>0.65</v>
      </c>
      <c r="M73">
        <v>0.23528158724947976</v>
      </c>
      <c r="N73" s="1">
        <v>1.075</v>
      </c>
      <c r="O73">
        <v>4.15577832802091E-2</v>
      </c>
      <c r="P73" s="1">
        <v>1.5</v>
      </c>
      <c r="Q73">
        <v>3.3751501598298728E-3</v>
      </c>
      <c r="R73" s="1">
        <v>1.93</v>
      </c>
      <c r="S73">
        <v>8.1401697932479922E-2</v>
      </c>
      <c r="T73" s="1">
        <v>2.355</v>
      </c>
      <c r="U73">
        <v>2.1272189868156035E-4</v>
      </c>
      <c r="V73" s="1">
        <v>2.7850000000000001</v>
      </c>
      <c r="W73">
        <v>9.0959535447743416E-5</v>
      </c>
    </row>
  </sheetData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55DD-64B6-4019-9D85-0C4A9F4BE06A}">
  <dimension ref="B1:W64"/>
  <sheetViews>
    <sheetView topLeftCell="J26" zoomScale="145" zoomScaleNormal="145" workbookViewId="0">
      <selection activeCell="K42" sqref="K42"/>
    </sheetView>
  </sheetViews>
  <sheetFormatPr defaultRowHeight="14.45"/>
  <cols>
    <col min="2" max="2" width="18.85546875" customWidth="1"/>
    <col min="3" max="3" width="13.5703125" customWidth="1"/>
    <col min="4" max="4" width="18.28515625" customWidth="1"/>
    <col min="5" max="5" width="18.7109375" customWidth="1"/>
    <col min="6" max="6" width="18.28515625" customWidth="1"/>
    <col min="7" max="7" width="16.140625" customWidth="1"/>
    <col min="8" max="8" width="17.85546875" customWidth="1"/>
    <col min="10" max="10" width="18.28515625" customWidth="1"/>
  </cols>
  <sheetData>
    <row r="1" spans="2:23" ht="21.6" thickBot="1">
      <c r="C1" s="10" t="s">
        <v>883</v>
      </c>
      <c r="D1" s="9"/>
    </row>
    <row r="2" spans="2:23" ht="15" thickBot="1">
      <c r="B2" s="17" t="s">
        <v>854</v>
      </c>
      <c r="C2" s="18" t="s">
        <v>855</v>
      </c>
      <c r="D2" s="19" t="s">
        <v>856</v>
      </c>
      <c r="E2" s="20" t="s">
        <v>857</v>
      </c>
      <c r="F2" s="18" t="s">
        <v>858</v>
      </c>
      <c r="H2" s="1" t="s">
        <v>859</v>
      </c>
      <c r="I2" s="2" t="s">
        <v>884</v>
      </c>
      <c r="J2" s="1" t="s">
        <v>859</v>
      </c>
      <c r="K2" s="2" t="s">
        <v>885</v>
      </c>
      <c r="L2" s="1" t="s">
        <v>859</v>
      </c>
      <c r="M2" s="2" t="s">
        <v>886</v>
      </c>
      <c r="N2" s="1" t="s">
        <v>859</v>
      </c>
      <c r="O2" s="2" t="s">
        <v>31</v>
      </c>
      <c r="P2" s="1" t="s">
        <v>859</v>
      </c>
      <c r="Q2" s="2" t="s">
        <v>333</v>
      </c>
      <c r="R2" s="1" t="s">
        <v>859</v>
      </c>
      <c r="S2" s="2" t="s">
        <v>340</v>
      </c>
      <c r="T2" s="1" t="s">
        <v>859</v>
      </c>
      <c r="U2" s="2" t="s">
        <v>346</v>
      </c>
      <c r="V2" s="1"/>
      <c r="W2" s="1"/>
    </row>
    <row r="3" spans="2:23">
      <c r="B3" s="21" t="s">
        <v>860</v>
      </c>
      <c r="C3" s="1">
        <v>5.7066539629600267E-4</v>
      </c>
      <c r="D3" s="1">
        <f>0.00398411456299976*(-1)</f>
        <v>-3.9841145629997601E-3</v>
      </c>
      <c r="E3" s="1">
        <v>3.9841145629997557E-3</v>
      </c>
      <c r="F3" s="1">
        <v>5.7066539629600267E-4</v>
      </c>
      <c r="H3" s="1">
        <v>0.219</v>
      </c>
      <c r="I3" s="2">
        <v>7.388134744748924E-2</v>
      </c>
      <c r="J3" s="1">
        <v>0.65</v>
      </c>
      <c r="K3" s="2">
        <v>1.3737238497244514E-4</v>
      </c>
      <c r="L3" s="1">
        <v>1.075</v>
      </c>
      <c r="M3" s="2">
        <v>1.8078070436484909E-4</v>
      </c>
      <c r="N3" s="1">
        <v>1.5</v>
      </c>
      <c r="O3" s="2">
        <v>4.6236072321487694E-2</v>
      </c>
      <c r="P3" s="1">
        <v>1.93</v>
      </c>
      <c r="Q3" s="2">
        <v>7.9032232408214522E-3</v>
      </c>
      <c r="R3" s="1">
        <v>2.355</v>
      </c>
      <c r="S3" s="2">
        <v>2.4412350674778921E-3</v>
      </c>
      <c r="T3" s="1">
        <v>2.7850000000000001</v>
      </c>
      <c r="U3" s="2">
        <v>4.8912438763216446E-3</v>
      </c>
    </row>
    <row r="4" spans="2:23">
      <c r="B4" s="22" t="s">
        <v>861</v>
      </c>
      <c r="C4" s="1">
        <v>2.3111383935737907E-3</v>
      </c>
      <c r="D4" s="1">
        <f>0.00377005754362074*(-1)</f>
        <v>-3.7700575436207398E-3</v>
      </c>
      <c r="E4" s="1">
        <v>3.7700575436207355E-3</v>
      </c>
      <c r="F4" s="1">
        <v>2.3111383935737907E-3</v>
      </c>
      <c r="H4" s="1">
        <v>0.219</v>
      </c>
      <c r="I4" s="2">
        <v>1.1695830608405811E-3</v>
      </c>
      <c r="J4" s="1">
        <v>0.65</v>
      </c>
      <c r="K4" s="2">
        <v>9.2604231213698195E-6</v>
      </c>
      <c r="L4" s="1">
        <v>1.075</v>
      </c>
      <c r="M4" s="2">
        <v>1.2513907862249826E-4</v>
      </c>
      <c r="N4" s="1">
        <v>1.5</v>
      </c>
      <c r="O4" s="2">
        <v>0.17475297249865721</v>
      </c>
      <c r="P4" s="1">
        <v>1.93</v>
      </c>
      <c r="Q4" s="2">
        <v>3.9018937203849475E-3</v>
      </c>
      <c r="R4" s="1">
        <v>2.355</v>
      </c>
      <c r="S4" s="2">
        <v>5.8299443378106921E-4</v>
      </c>
      <c r="T4" s="1">
        <v>2.7850000000000001</v>
      </c>
      <c r="U4" s="2">
        <v>4.9283859756935108E-3</v>
      </c>
      <c r="V4" s="1"/>
      <c r="W4" s="1"/>
    </row>
    <row r="5" spans="2:23">
      <c r="B5" s="22" t="s">
        <v>862</v>
      </c>
      <c r="C5" s="1">
        <v>1.0289354244090974E-3</v>
      </c>
      <c r="D5" s="1">
        <f>0.00517123999528442*(-1)</f>
        <v>-5.1712399952844202E-3</v>
      </c>
      <c r="E5" s="1">
        <v>5.1712399952844202E-3</v>
      </c>
      <c r="F5" s="1">
        <v>1.0289354244090974E-3</v>
      </c>
      <c r="H5" s="1">
        <v>0.219</v>
      </c>
      <c r="I5" s="2">
        <v>8.8241002806633637E-3</v>
      </c>
      <c r="J5" s="1">
        <v>0.65</v>
      </c>
      <c r="K5" s="2">
        <v>3.927414012162435E-4</v>
      </c>
      <c r="L5" s="1">
        <v>1.075</v>
      </c>
      <c r="M5" s="2">
        <v>1.7759660795555902E-4</v>
      </c>
      <c r="N5" s="1">
        <v>1.5</v>
      </c>
      <c r="O5" s="2">
        <v>9.7814402222765936E-3</v>
      </c>
      <c r="P5" s="1">
        <v>1.93</v>
      </c>
      <c r="Q5" s="2">
        <v>5.5712639465897214E-3</v>
      </c>
      <c r="R5" s="1">
        <v>2.355</v>
      </c>
      <c r="S5" s="2">
        <v>1.060929798787656E-2</v>
      </c>
      <c r="T5" s="1">
        <v>2.7850000000000001</v>
      </c>
      <c r="U5" s="2">
        <v>3.5480740402340956E-3</v>
      </c>
    </row>
    <row r="6" spans="2:23">
      <c r="B6" s="22" t="s">
        <v>863</v>
      </c>
      <c r="C6" s="1">
        <v>3.6023995185792634E-2</v>
      </c>
      <c r="D6" s="1">
        <f>0.0701389620428191*(-1)</f>
        <v>-7.0138962042819095E-2</v>
      </c>
      <c r="E6" s="1">
        <v>7.0138962042819053E-2</v>
      </c>
      <c r="F6" s="1">
        <v>3.6023995185792634E-2</v>
      </c>
      <c r="H6" s="1">
        <v>0.219</v>
      </c>
      <c r="I6" s="2">
        <v>2.8409595985396784E-2</v>
      </c>
      <c r="J6" s="1">
        <v>0.65</v>
      </c>
      <c r="K6" s="2">
        <v>2.3619323248409501E-4</v>
      </c>
      <c r="L6" s="1">
        <v>1.075</v>
      </c>
      <c r="M6" s="2">
        <v>9.1651815561144166E-4</v>
      </c>
      <c r="N6" s="1">
        <v>1.5</v>
      </c>
      <c r="O6" s="2">
        <v>4.9785363128854718E-2</v>
      </c>
      <c r="P6" s="1">
        <v>1.93</v>
      </c>
      <c r="Q6" s="2">
        <v>3.308579073341561E-3</v>
      </c>
      <c r="R6" s="1">
        <v>2.355</v>
      </c>
      <c r="S6" s="2">
        <v>1.4467026853474201E-3</v>
      </c>
      <c r="T6" s="1">
        <v>2.7850000000000001</v>
      </c>
      <c r="U6" s="2">
        <v>2.5687543597497724E-3</v>
      </c>
    </row>
    <row r="7" spans="2:23">
      <c r="B7" s="22" t="s">
        <v>864</v>
      </c>
      <c r="C7" s="1">
        <v>1.8926686492565825E-4</v>
      </c>
      <c r="D7" s="1">
        <f>0.00305000622648947*(-1)</f>
        <v>-3.05000622648947E-3</v>
      </c>
      <c r="E7" s="1">
        <v>2.2728714996401757E-3</v>
      </c>
      <c r="F7" s="1">
        <v>1.1489072923572323E-4</v>
      </c>
      <c r="G7" s="1"/>
      <c r="H7" s="1"/>
    </row>
    <row r="8" spans="2:23">
      <c r="B8" s="22" t="s">
        <v>865</v>
      </c>
      <c r="C8" s="1">
        <v>1.8926686492565825E-4</v>
      </c>
      <c r="D8" s="1">
        <f>0.0197940742567665*(-1)</f>
        <v>-1.9794074256766499E-2</v>
      </c>
      <c r="E8" s="1">
        <v>3.0500062264894748E-3</v>
      </c>
      <c r="F8" s="1">
        <v>7.0775884533456847E-4</v>
      </c>
      <c r="G8" s="1"/>
      <c r="H8" s="1" t="s">
        <v>859</v>
      </c>
      <c r="I8" s="2" t="s">
        <v>387</v>
      </c>
      <c r="J8" s="1" t="s">
        <v>859</v>
      </c>
      <c r="K8" s="2" t="s">
        <v>393</v>
      </c>
      <c r="L8" s="1" t="s">
        <v>859</v>
      </c>
      <c r="M8" s="2" t="s">
        <v>399</v>
      </c>
      <c r="N8" s="1" t="s">
        <v>859</v>
      </c>
      <c r="O8" s="2" t="s">
        <v>31</v>
      </c>
      <c r="P8" s="1" t="s">
        <v>859</v>
      </c>
      <c r="Q8" s="2" t="s">
        <v>333</v>
      </c>
      <c r="R8" s="1" t="s">
        <v>859</v>
      </c>
      <c r="S8" s="2" t="s">
        <v>340</v>
      </c>
      <c r="T8" s="1" t="s">
        <v>859</v>
      </c>
      <c r="U8" s="2" t="s">
        <v>346</v>
      </c>
    </row>
    <row r="9" spans="2:23">
      <c r="B9" s="22" t="s">
        <v>867</v>
      </c>
      <c r="C9" s="1">
        <v>8.0939156519576832E-5</v>
      </c>
      <c r="D9" s="1">
        <f>0.000137372384972445*(-1)</f>
        <v>-1.3737238497244501E-4</v>
      </c>
      <c r="E9" s="1">
        <v>2.9917099189462732E-3</v>
      </c>
      <c r="F9" s="1">
        <v>1.0945840141527443E-3</v>
      </c>
      <c r="G9" s="1"/>
      <c r="H9" s="1">
        <v>0.219</v>
      </c>
      <c r="I9" s="1">
        <v>3.4921176290475513E-3</v>
      </c>
      <c r="J9" s="1">
        <v>0.65</v>
      </c>
      <c r="K9" s="1">
        <v>3.4299532607490369E-3</v>
      </c>
      <c r="L9" s="1">
        <v>1.075</v>
      </c>
      <c r="M9" s="1">
        <v>3.0035647910138102E-2</v>
      </c>
      <c r="N9" s="1">
        <v>1.5</v>
      </c>
      <c r="O9" s="1">
        <v>4.6236072321487694E-2</v>
      </c>
      <c r="P9" s="1">
        <v>1.93</v>
      </c>
      <c r="Q9" s="1">
        <v>7.9032232408214522E-3</v>
      </c>
      <c r="R9" s="1">
        <v>2.355</v>
      </c>
      <c r="S9" s="1">
        <v>2.4412350674778921E-3</v>
      </c>
      <c r="T9" s="1">
        <v>2.7850000000000001</v>
      </c>
      <c r="U9" s="1">
        <v>4.8912438763216446E-3</v>
      </c>
    </row>
    <row r="10" spans="2:23">
      <c r="B10" s="22" t="s">
        <v>868</v>
      </c>
      <c r="C10" s="1">
        <v>6.2265086434621568E-4</v>
      </c>
      <c r="D10" s="1">
        <f>0.0017353298095209*(-1)</f>
        <v>-1.7353298095209E-3</v>
      </c>
      <c r="E10" s="1">
        <v>1.2193715691542078E-2</v>
      </c>
      <c r="F10" s="1">
        <v>2.8769945518426214E-3</v>
      </c>
      <c r="G10" s="1"/>
      <c r="H10" s="1">
        <v>0.219</v>
      </c>
      <c r="I10" s="1">
        <v>8.5002291710807466E-3</v>
      </c>
      <c r="J10" s="1">
        <v>0.65</v>
      </c>
      <c r="K10" s="1">
        <v>1.5288754038329422E-3</v>
      </c>
      <c r="L10" s="1">
        <v>1.075</v>
      </c>
      <c r="M10" s="1">
        <v>1.8963002317838845E-2</v>
      </c>
      <c r="N10" s="1">
        <v>1.5</v>
      </c>
      <c r="O10" s="1">
        <v>0.17475297249865721</v>
      </c>
      <c r="P10" s="1">
        <v>1.93</v>
      </c>
      <c r="Q10" s="1">
        <v>3.9018937203849475E-3</v>
      </c>
      <c r="R10" s="1">
        <v>2.355</v>
      </c>
      <c r="S10" s="1">
        <v>5.8299443378106921E-4</v>
      </c>
      <c r="T10" s="1">
        <v>2.7850000000000001</v>
      </c>
      <c r="U10" s="1">
        <v>4.9283859756935108E-3</v>
      </c>
    </row>
    <row r="11" spans="2:23">
      <c r="B11" s="22" t="s">
        <v>869</v>
      </c>
      <c r="C11" s="1">
        <v>1.6311631745841913E-2</v>
      </c>
      <c r="D11" s="1">
        <f>0.0280711566935975*(-1)</f>
        <v>-2.8071156693597499E-2</v>
      </c>
      <c r="E11" s="1">
        <v>1.1270893683522055E-3</v>
      </c>
      <c r="F11" s="1">
        <v>3.7035205905111231E-4</v>
      </c>
      <c r="G11" s="1"/>
      <c r="H11" s="1">
        <v>0.219</v>
      </c>
      <c r="I11" s="1">
        <v>4.4444133798301104E-3</v>
      </c>
      <c r="J11" s="1">
        <v>0.65</v>
      </c>
      <c r="K11" s="1">
        <v>1.5527760380551012E-3</v>
      </c>
      <c r="L11" s="1">
        <v>1.075</v>
      </c>
      <c r="M11" s="1">
        <v>8.9191506965343257E-3</v>
      </c>
      <c r="N11" s="1">
        <v>1.5</v>
      </c>
      <c r="O11" s="1">
        <v>9.7814402222765936E-3</v>
      </c>
      <c r="P11" s="1">
        <v>1.93</v>
      </c>
      <c r="Q11" s="1">
        <v>5.5712639465897214E-3</v>
      </c>
      <c r="R11" s="1">
        <v>2.355</v>
      </c>
      <c r="S11" s="1">
        <v>1.060929798787656E-2</v>
      </c>
      <c r="T11" s="1">
        <v>2.7850000000000001</v>
      </c>
      <c r="U11" s="1">
        <v>3.5480740402340956E-3</v>
      </c>
    </row>
    <row r="12" spans="2:23" ht="15" thickBot="1">
      <c r="B12" s="23" t="s">
        <v>870</v>
      </c>
      <c r="C12" s="1">
        <v>1.2854763941296092E-3</v>
      </c>
      <c r="D12" s="1">
        <f>0.00479071599609233*(-1)</f>
        <v>-4.7907159960923302E-3</v>
      </c>
      <c r="E12" s="1">
        <v>9.5854913050885306E-3</v>
      </c>
      <c r="F12" s="1">
        <v>4.8012598106517943E-4</v>
      </c>
      <c r="G12" s="1"/>
      <c r="H12" s="1">
        <v>0.219</v>
      </c>
      <c r="I12" s="1">
        <v>2.7261038044109312E-3</v>
      </c>
      <c r="J12" s="1">
        <v>0.65</v>
      </c>
      <c r="K12" s="1">
        <v>4.2971453544650494E-4</v>
      </c>
      <c r="L12" s="1">
        <v>1.075</v>
      </c>
      <c r="M12" s="1">
        <v>2.1258496102554619E-2</v>
      </c>
      <c r="N12" s="1">
        <v>1.5</v>
      </c>
      <c r="O12" s="1">
        <v>4.9785363128854718E-2</v>
      </c>
      <c r="P12" s="1">
        <v>1.93</v>
      </c>
      <c r="Q12" s="1">
        <v>3.308579073341561E-3</v>
      </c>
      <c r="R12" s="1">
        <v>2.355</v>
      </c>
      <c r="S12" s="1">
        <v>1.4467026853474201E-3</v>
      </c>
      <c r="T12" s="1">
        <v>2.7850000000000001</v>
      </c>
      <c r="U12" s="1">
        <v>2.5687543597497724E-3</v>
      </c>
    </row>
    <row r="13" spans="2:23">
      <c r="B13" s="1"/>
      <c r="C13" s="1"/>
      <c r="D13" s="1"/>
      <c r="E13" s="1"/>
      <c r="F13" s="1"/>
      <c r="G13" s="1"/>
      <c r="H13" s="1"/>
    </row>
    <row r="14" spans="2:23">
      <c r="B14" s="1"/>
      <c r="C14" s="1"/>
      <c r="D14" s="1"/>
      <c r="E14" s="1"/>
      <c r="F14" s="1"/>
      <c r="G14" s="1"/>
      <c r="H14" s="24" t="s">
        <v>14</v>
      </c>
      <c r="I14" s="27" t="s">
        <v>873</v>
      </c>
      <c r="J14" s="15" t="s">
        <v>876</v>
      </c>
    </row>
    <row r="15" spans="2:23">
      <c r="B15" s="2" t="s">
        <v>853</v>
      </c>
      <c r="C15" s="24" t="s">
        <v>16</v>
      </c>
      <c r="D15" s="24" t="s">
        <v>607</v>
      </c>
      <c r="E15" s="24" t="s">
        <v>608</v>
      </c>
      <c r="F15" s="24" t="s">
        <v>609</v>
      </c>
      <c r="G15" s="24" t="s">
        <v>610</v>
      </c>
      <c r="H15" s="24" t="s">
        <v>856</v>
      </c>
    </row>
    <row r="16" spans="2:23">
      <c r="B16" s="2" t="s">
        <v>387</v>
      </c>
      <c r="C16" s="2">
        <v>1.6311631745841913E-2</v>
      </c>
      <c r="D16" s="2">
        <v>7.388134744748924E-2</v>
      </c>
      <c r="E16" s="2">
        <v>1.1695830608405811E-3</v>
      </c>
      <c r="F16" s="2">
        <v>8.8241002806633637E-3</v>
      </c>
      <c r="G16" s="2">
        <v>2.8409595985396784E-2</v>
      </c>
      <c r="H16" s="2">
        <f>0.0280711566935975</f>
        <v>2.8071156693597499E-2</v>
      </c>
      <c r="I16">
        <f>TTEST(D16:G16,D34:G34,2,3)</f>
        <v>0.19712909285195013</v>
      </c>
    </row>
    <row r="17" spans="2:10">
      <c r="B17" s="2" t="s">
        <v>393</v>
      </c>
      <c r="C17" s="2">
        <v>8.0939156519576832E-5</v>
      </c>
      <c r="D17" s="2">
        <v>1.3737238497244514E-4</v>
      </c>
      <c r="E17" s="2">
        <v>9.2604231213698195E-6</v>
      </c>
      <c r="F17" s="2">
        <v>3.927414012162435E-4</v>
      </c>
      <c r="G17" s="2">
        <v>2.3619323248409501E-4</v>
      </c>
      <c r="H17" s="2">
        <v>1.9389186044853837E-4</v>
      </c>
      <c r="I17">
        <f t="shared" ref="I17:I22" si="0">TTEST(D17:G17,D35:G35,2,3)</f>
        <v>0.12422475236826315</v>
      </c>
    </row>
    <row r="18" spans="2:10">
      <c r="B18" s="2" t="s">
        <v>399</v>
      </c>
      <c r="C18" s="2">
        <v>1.8926686492565825E-4</v>
      </c>
      <c r="D18" s="2">
        <v>1.8078070436484909E-4</v>
      </c>
      <c r="E18" s="2">
        <v>1.2513907862249826E-4</v>
      </c>
      <c r="F18" s="2">
        <v>1.7759660795555902E-4</v>
      </c>
      <c r="G18" s="29">
        <v>9.1651815561144166E-4</v>
      </c>
      <c r="H18" s="2">
        <v>3.5000863663858702E-4</v>
      </c>
      <c r="I18" s="9">
        <f>TTEST(D18:G18,D36:G36,2,3)</f>
        <v>3.5326438087479286E-4</v>
      </c>
      <c r="J18" s="28" t="s">
        <v>887</v>
      </c>
    </row>
    <row r="19" spans="2:10">
      <c r="B19" s="2" t="s">
        <v>31</v>
      </c>
      <c r="C19" s="2">
        <v>3.6023995185792634E-2</v>
      </c>
      <c r="D19" s="2">
        <v>4.6236072321487694E-2</v>
      </c>
      <c r="E19" s="2">
        <v>0.17475297249865721</v>
      </c>
      <c r="F19" s="2">
        <v>9.7814402222765936E-3</v>
      </c>
      <c r="G19" s="2">
        <v>4.9785363128854718E-2</v>
      </c>
      <c r="H19" s="2">
        <v>7.0138962042819053E-2</v>
      </c>
      <c r="I19">
        <f t="shared" si="0"/>
        <v>1</v>
      </c>
    </row>
    <row r="20" spans="2:10">
      <c r="B20" s="2" t="s">
        <v>333</v>
      </c>
      <c r="C20" s="2">
        <v>1.0289354244090974E-3</v>
      </c>
      <c r="D20" s="2">
        <v>7.9032232408214522E-3</v>
      </c>
      <c r="E20" s="2">
        <v>3.9018937203849475E-3</v>
      </c>
      <c r="F20" s="2">
        <v>5.5712639465897214E-3</v>
      </c>
      <c r="G20" s="2">
        <v>3.308579073341561E-3</v>
      </c>
      <c r="H20" s="2">
        <v>5.1712399952844202E-3</v>
      </c>
      <c r="I20">
        <f t="shared" si="0"/>
        <v>1</v>
      </c>
    </row>
    <row r="21" spans="2:10">
      <c r="B21" s="2" t="s">
        <v>340</v>
      </c>
      <c r="C21" s="2">
        <v>2.3111383935737907E-3</v>
      </c>
      <c r="D21" s="2">
        <v>2.4412350674778921E-3</v>
      </c>
      <c r="E21" s="2">
        <v>5.8299443378106921E-4</v>
      </c>
      <c r="F21" s="2">
        <v>1.060929798787656E-2</v>
      </c>
      <c r="G21" s="2">
        <v>1.4467026853474201E-3</v>
      </c>
      <c r="H21" s="2">
        <v>3.7700575436207355E-3</v>
      </c>
      <c r="I21">
        <f t="shared" si="0"/>
        <v>1</v>
      </c>
    </row>
    <row r="22" spans="2:10">
      <c r="B22" s="2" t="s">
        <v>346</v>
      </c>
      <c r="C22" s="2">
        <v>5.7066539629600267E-4</v>
      </c>
      <c r="D22" s="2">
        <v>4.8912438763216446E-3</v>
      </c>
      <c r="E22" s="2">
        <v>4.9283859756935108E-3</v>
      </c>
      <c r="F22" s="2">
        <v>3.5480740402340956E-3</v>
      </c>
      <c r="G22" s="2">
        <v>2.5687543597497724E-3</v>
      </c>
      <c r="H22" s="2">
        <v>3.9841145629997557E-3</v>
      </c>
      <c r="I22">
        <f t="shared" si="0"/>
        <v>1</v>
      </c>
    </row>
    <row r="23" spans="2:10">
      <c r="B23" s="1"/>
      <c r="C23" s="1"/>
      <c r="D23" s="1"/>
      <c r="E23" s="1"/>
      <c r="F23" s="1"/>
      <c r="G23" s="1"/>
      <c r="H23" s="1"/>
    </row>
    <row r="24" spans="2:10">
      <c r="B24" s="1" t="s">
        <v>866</v>
      </c>
      <c r="C24" s="24" t="s">
        <v>16</v>
      </c>
      <c r="D24" s="24" t="s">
        <v>607</v>
      </c>
      <c r="E24" s="24" t="s">
        <v>608</v>
      </c>
      <c r="F24" s="24" t="s">
        <v>609</v>
      </c>
      <c r="G24" s="24" t="s">
        <v>610</v>
      </c>
      <c r="H24" s="24" t="s">
        <v>856</v>
      </c>
      <c r="I24" s="27" t="s">
        <v>873</v>
      </c>
    </row>
    <row r="25" spans="2:10">
      <c r="B25" s="2" t="s">
        <v>387</v>
      </c>
      <c r="C25" s="2">
        <v>1.2854763941296092E-3</v>
      </c>
      <c r="D25" s="2">
        <v>3.4921176290475513E-3</v>
      </c>
      <c r="E25" s="2">
        <v>8.5002291710807466E-3</v>
      </c>
      <c r="F25" s="2">
        <v>4.4444133798301104E-3</v>
      </c>
      <c r="G25" s="2">
        <v>2.7261038044109312E-3</v>
      </c>
      <c r="H25" s="2">
        <f>0.00479071599609233</f>
        <v>4.7907159960923302E-3</v>
      </c>
      <c r="I25" s="9">
        <f>TTEST(D25:G25,D43:G43,2,3)</f>
        <v>2.6953611775394917E-2</v>
      </c>
      <c r="J25" s="28" t="s">
        <v>875</v>
      </c>
    </row>
    <row r="26" spans="2:10">
      <c r="B26" s="2" t="s">
        <v>393</v>
      </c>
      <c r="C26" s="2">
        <v>6.2265086434621568E-4</v>
      </c>
      <c r="D26" s="2">
        <v>3.4299532607490369E-3</v>
      </c>
      <c r="E26" s="2">
        <v>1.5288754038329422E-3</v>
      </c>
      <c r="F26" s="2">
        <v>1.5527760380551012E-3</v>
      </c>
      <c r="G26" s="2">
        <v>4.2971453544650494E-4</v>
      </c>
      <c r="H26" s="2">
        <f>0.0017353298095209</f>
        <v>1.7353298095209E-3</v>
      </c>
      <c r="I26" s="9">
        <f>TTEST(D26:G26,D44:G44,2,3)</f>
        <v>3.2902281241831866E-2</v>
      </c>
      <c r="J26" s="28" t="s">
        <v>875</v>
      </c>
    </row>
    <row r="27" spans="2:10">
      <c r="B27" s="2" t="s">
        <v>399</v>
      </c>
      <c r="C27" s="2">
        <v>1.8926686492565825E-4</v>
      </c>
      <c r="D27" s="2">
        <v>3.0035647910138102E-2</v>
      </c>
      <c r="E27" s="2">
        <v>1.8963002317838845E-2</v>
      </c>
      <c r="F27" s="2">
        <v>8.9191506965343257E-3</v>
      </c>
      <c r="G27" s="2">
        <v>2.1258496102554619E-2</v>
      </c>
      <c r="H27" s="2">
        <f>0.0197940742567665</f>
        <v>1.9794074256766499E-2</v>
      </c>
      <c r="I27" s="9">
        <f>TTEST(D27:G27,D45:G45,2,3)</f>
        <v>2.9054452112698411E-2</v>
      </c>
      <c r="J27" s="28" t="s">
        <v>875</v>
      </c>
    </row>
    <row r="28" spans="2:10">
      <c r="B28" s="2" t="s">
        <v>31</v>
      </c>
      <c r="C28" s="2">
        <v>3.6023995185792634E-2</v>
      </c>
      <c r="D28" s="2">
        <v>4.6236072321487694E-2</v>
      </c>
      <c r="E28" s="2">
        <v>0.17475297249865721</v>
      </c>
      <c r="F28" s="2">
        <v>9.7814402222765936E-3</v>
      </c>
      <c r="G28" s="2">
        <v>4.9785363128854718E-2</v>
      </c>
      <c r="H28" s="2">
        <v>7.0138962042819053E-2</v>
      </c>
      <c r="I28">
        <f t="shared" ref="I28:I31" si="1">TTEST(D28:G28,D46:G46,2,3)</f>
        <v>1</v>
      </c>
    </row>
    <row r="29" spans="2:10">
      <c r="B29" s="2" t="s">
        <v>333</v>
      </c>
      <c r="C29" s="2">
        <v>1.0289354244090974E-3</v>
      </c>
      <c r="D29" s="2">
        <v>7.9032232408214522E-3</v>
      </c>
      <c r="E29" s="2">
        <v>3.9018937203849475E-3</v>
      </c>
      <c r="F29" s="2">
        <v>5.5712639465897214E-3</v>
      </c>
      <c r="G29" s="2">
        <v>3.308579073341561E-3</v>
      </c>
      <c r="H29" s="2">
        <v>5.1712399952844202E-3</v>
      </c>
      <c r="I29">
        <f t="shared" si="1"/>
        <v>1</v>
      </c>
    </row>
    <row r="30" spans="2:10">
      <c r="B30" s="2" t="s">
        <v>340</v>
      </c>
      <c r="C30" s="2">
        <v>2.3111383935737907E-3</v>
      </c>
      <c r="D30" s="2">
        <v>2.4412350674778921E-3</v>
      </c>
      <c r="E30" s="2">
        <v>5.8299443378106921E-4</v>
      </c>
      <c r="F30" s="2">
        <v>1.060929798787656E-2</v>
      </c>
      <c r="G30" s="2">
        <v>1.4467026853474201E-3</v>
      </c>
      <c r="H30" s="2">
        <v>3.7700575436207355E-3</v>
      </c>
      <c r="I30">
        <f t="shared" si="1"/>
        <v>1</v>
      </c>
    </row>
    <row r="31" spans="2:10">
      <c r="B31" s="2" t="s">
        <v>346</v>
      </c>
      <c r="C31" s="2">
        <v>5.7066539629600267E-4</v>
      </c>
      <c r="D31" s="2">
        <v>4.8912438763216446E-3</v>
      </c>
      <c r="E31" s="2">
        <v>4.9283859756935108E-3</v>
      </c>
      <c r="F31" s="2">
        <v>3.5480740402340956E-3</v>
      </c>
      <c r="G31" s="2">
        <v>2.5687543597497724E-3</v>
      </c>
      <c r="H31" s="2">
        <v>3.9841145629997557E-3</v>
      </c>
      <c r="I31">
        <f t="shared" si="1"/>
        <v>1</v>
      </c>
    </row>
    <row r="33" spans="2:14">
      <c r="B33" s="1" t="s">
        <v>872</v>
      </c>
      <c r="C33" s="25" t="s">
        <v>16</v>
      </c>
      <c r="D33" s="25" t="s">
        <v>607</v>
      </c>
      <c r="E33" s="25" t="s">
        <v>608</v>
      </c>
      <c r="F33" s="25" t="s">
        <v>609</v>
      </c>
      <c r="G33" s="25" t="s">
        <v>610</v>
      </c>
      <c r="H33" s="26" t="s">
        <v>857</v>
      </c>
      <c r="N33" s="15" t="s">
        <v>876</v>
      </c>
    </row>
    <row r="34" spans="2:14">
      <c r="B34" s="2" t="s">
        <v>387</v>
      </c>
      <c r="C34" s="2">
        <v>3.7035205905111231E-4</v>
      </c>
      <c r="D34" s="2">
        <v>3.6528600117148049E-4</v>
      </c>
      <c r="E34" s="2">
        <v>1.1306638001503332E-3</v>
      </c>
      <c r="F34" s="2">
        <v>8.8245907026005541E-4</v>
      </c>
      <c r="G34" s="2">
        <v>2.1299486018269533E-3</v>
      </c>
      <c r="H34" s="2">
        <v>1.1270893683522055E-3</v>
      </c>
    </row>
    <row r="35" spans="2:14">
      <c r="B35" s="2" t="s">
        <v>393</v>
      </c>
      <c r="C35" s="2">
        <v>1.0945840141527443E-3</v>
      </c>
      <c r="D35" s="2">
        <v>4.9098252418320982E-3</v>
      </c>
      <c r="E35" s="2"/>
      <c r="F35" s="2">
        <v>2.9464179266982375E-3</v>
      </c>
      <c r="G35" s="2">
        <v>1.1188865883084828E-3</v>
      </c>
      <c r="H35" s="2">
        <v>2.9917099189462732E-3</v>
      </c>
    </row>
    <row r="36" spans="2:14">
      <c r="B36" s="2" t="s">
        <v>399</v>
      </c>
      <c r="C36" s="2">
        <v>1.1489072923572323E-4</v>
      </c>
      <c r="D36" s="2">
        <v>2.254119131265719E-3</v>
      </c>
      <c r="E36" s="2">
        <v>1.9554063914330251E-3</v>
      </c>
      <c r="F36" s="2">
        <v>2.4602378850317338E-3</v>
      </c>
      <c r="G36" s="2">
        <v>2.4217225908302244E-3</v>
      </c>
      <c r="H36" s="2">
        <v>2.2728714996401757E-3</v>
      </c>
    </row>
    <row r="37" spans="2:14">
      <c r="B37" s="2" t="s">
        <v>31</v>
      </c>
      <c r="C37" s="2">
        <v>3.6023995185792634E-2</v>
      </c>
      <c r="D37" s="2">
        <v>4.6236072321487694E-2</v>
      </c>
      <c r="E37" s="2">
        <v>0.17475297249865721</v>
      </c>
      <c r="F37" s="2">
        <v>9.7814402222765936E-3</v>
      </c>
      <c r="G37" s="2">
        <v>4.9785363128854718E-2</v>
      </c>
      <c r="H37" s="2">
        <v>7.0138962042819053E-2</v>
      </c>
    </row>
    <row r="38" spans="2:14">
      <c r="B38" s="2" t="s">
        <v>333</v>
      </c>
      <c r="C38" s="2">
        <v>1.0289354244090974E-3</v>
      </c>
      <c r="D38" s="2">
        <v>7.9032232408214522E-3</v>
      </c>
      <c r="E38" s="2">
        <v>3.9018937203849475E-3</v>
      </c>
      <c r="F38" s="2">
        <v>5.5712639465897214E-3</v>
      </c>
      <c r="G38" s="2">
        <v>3.308579073341561E-3</v>
      </c>
      <c r="H38" s="2">
        <v>5.1712399952844202E-3</v>
      </c>
    </row>
    <row r="39" spans="2:14">
      <c r="B39" s="2" t="s">
        <v>340</v>
      </c>
      <c r="C39" s="2">
        <v>2.3111383935737907E-3</v>
      </c>
      <c r="D39" s="2">
        <v>2.4412350674778921E-3</v>
      </c>
      <c r="E39" s="2">
        <v>5.8299443378106921E-4</v>
      </c>
      <c r="F39" s="2">
        <v>1.060929798787656E-2</v>
      </c>
      <c r="G39" s="2">
        <v>1.4467026853474201E-3</v>
      </c>
      <c r="H39" s="2">
        <v>3.7700575436207355E-3</v>
      </c>
    </row>
    <row r="40" spans="2:14">
      <c r="B40" s="2" t="s">
        <v>346</v>
      </c>
      <c r="C40" s="2">
        <v>5.7066539629600267E-4</v>
      </c>
      <c r="D40" s="2">
        <v>4.8912438763216446E-3</v>
      </c>
      <c r="E40" s="2">
        <v>4.9283859756935108E-3</v>
      </c>
      <c r="F40" s="2">
        <v>3.5480740402340956E-3</v>
      </c>
      <c r="G40" s="2">
        <v>2.5687543597497724E-3</v>
      </c>
      <c r="H40" s="2">
        <v>3.9841145629997557E-3</v>
      </c>
    </row>
    <row r="42" spans="2:14">
      <c r="B42" s="1" t="s">
        <v>874</v>
      </c>
      <c r="C42" s="25" t="s">
        <v>16</v>
      </c>
      <c r="D42" s="25" t="s">
        <v>607</v>
      </c>
      <c r="E42" s="25" t="s">
        <v>608</v>
      </c>
      <c r="F42" s="25" t="s">
        <v>609</v>
      </c>
      <c r="G42" s="25" t="s">
        <v>610</v>
      </c>
      <c r="H42" s="26" t="s">
        <v>857</v>
      </c>
    </row>
    <row r="43" spans="2:14">
      <c r="B43" s="2" t="s">
        <v>387</v>
      </c>
      <c r="C43" s="2">
        <v>4.8012598106517943E-4</v>
      </c>
      <c r="D43" s="2">
        <v>9.957349560434146E-3</v>
      </c>
      <c r="E43" s="2">
        <v>1.0688885527031951E-2</v>
      </c>
      <c r="F43" s="2">
        <v>9.2493057129691778E-3</v>
      </c>
      <c r="G43" s="2">
        <v>8.4464244199188489E-3</v>
      </c>
      <c r="H43" s="2">
        <v>9.5854913050885306E-3</v>
      </c>
    </row>
    <row r="44" spans="2:14">
      <c r="B44" s="2" t="s">
        <v>393</v>
      </c>
      <c r="C44" s="2">
        <v>2.8769945518426214E-3</v>
      </c>
      <c r="D44" s="2">
        <v>7.4794757223273448E-3</v>
      </c>
      <c r="E44" s="2">
        <v>1.7603087151912819E-2</v>
      </c>
      <c r="F44" s="2">
        <v>6.9677173166572065E-3</v>
      </c>
      <c r="G44" s="2">
        <v>1.672458257527094E-2</v>
      </c>
      <c r="H44" s="2">
        <v>1.2193715691542078E-2</v>
      </c>
    </row>
    <row r="45" spans="2:14">
      <c r="B45" s="2" t="s">
        <v>399</v>
      </c>
      <c r="C45" s="2">
        <v>7.0775884533456847E-4</v>
      </c>
      <c r="D45" s="2">
        <v>2.5915851959738122E-3</v>
      </c>
      <c r="E45" s="2">
        <v>1.7360391311187265E-3</v>
      </c>
      <c r="F45" s="2">
        <v>2.8173321572418928E-3</v>
      </c>
      <c r="G45" s="2">
        <v>5.0550684216234681E-3</v>
      </c>
      <c r="H45" s="2">
        <v>3.0500062264894748E-3</v>
      </c>
    </row>
    <row r="46" spans="2:14">
      <c r="B46" s="2" t="s">
        <v>31</v>
      </c>
      <c r="C46" s="2">
        <v>3.6023995185792634E-2</v>
      </c>
      <c r="D46" s="2">
        <v>4.6236072321487694E-2</v>
      </c>
      <c r="E46" s="2">
        <v>0.17475297249865721</v>
      </c>
      <c r="F46" s="2">
        <v>9.7814402222765936E-3</v>
      </c>
      <c r="G46" s="2">
        <v>4.9785363128854718E-2</v>
      </c>
      <c r="H46" s="2">
        <v>7.0138962042819053E-2</v>
      </c>
    </row>
    <row r="47" spans="2:14">
      <c r="B47" s="2" t="s">
        <v>333</v>
      </c>
      <c r="C47" s="2">
        <v>1.0289354244090974E-3</v>
      </c>
      <c r="D47" s="2">
        <v>7.9032232408214522E-3</v>
      </c>
      <c r="E47" s="2">
        <v>3.9018937203849475E-3</v>
      </c>
      <c r="F47" s="2">
        <v>5.5712639465897214E-3</v>
      </c>
      <c r="G47" s="2">
        <v>3.308579073341561E-3</v>
      </c>
      <c r="H47" s="2">
        <v>5.1712399952844202E-3</v>
      </c>
    </row>
    <row r="48" spans="2:14">
      <c r="B48" s="2" t="s">
        <v>340</v>
      </c>
      <c r="C48" s="2">
        <v>2.3111383935737907E-3</v>
      </c>
      <c r="D48" s="2">
        <v>2.4412350674778921E-3</v>
      </c>
      <c r="E48" s="2">
        <v>5.8299443378106921E-4</v>
      </c>
      <c r="F48" s="2">
        <v>1.060929798787656E-2</v>
      </c>
      <c r="G48" s="2">
        <v>1.4467026853474201E-3</v>
      </c>
      <c r="H48" s="2">
        <v>3.7700575436207355E-3</v>
      </c>
    </row>
    <row r="49" spans="2:21">
      <c r="B49" s="2" t="s">
        <v>346</v>
      </c>
      <c r="C49" s="2">
        <v>5.7066539629600267E-4</v>
      </c>
      <c r="D49" s="2">
        <v>4.8912438763216446E-3</v>
      </c>
      <c r="E49" s="2">
        <v>4.9283859756935108E-3</v>
      </c>
      <c r="F49" s="2">
        <v>3.5480740402340956E-3</v>
      </c>
      <c r="G49" s="2">
        <v>2.5687543597497724E-3</v>
      </c>
      <c r="H49" s="2">
        <v>3.9841145629997557E-3</v>
      </c>
    </row>
    <row r="53" spans="2:21">
      <c r="H53" s="1" t="s">
        <v>859</v>
      </c>
      <c r="I53" s="2" t="s">
        <v>387</v>
      </c>
      <c r="J53" s="1" t="s">
        <v>859</v>
      </c>
      <c r="K53" s="2" t="s">
        <v>393</v>
      </c>
      <c r="L53" s="1" t="s">
        <v>859</v>
      </c>
      <c r="M53" s="2" t="s">
        <v>399</v>
      </c>
      <c r="N53" s="1" t="s">
        <v>859</v>
      </c>
      <c r="O53" s="2" t="s">
        <v>31</v>
      </c>
      <c r="P53" s="1" t="s">
        <v>859</v>
      </c>
      <c r="Q53" s="2" t="s">
        <v>333</v>
      </c>
      <c r="R53" s="1" t="s">
        <v>859</v>
      </c>
      <c r="S53" s="2" t="s">
        <v>340</v>
      </c>
      <c r="T53" s="1" t="s">
        <v>859</v>
      </c>
      <c r="U53" s="2" t="s">
        <v>346</v>
      </c>
    </row>
    <row r="54" spans="2:21">
      <c r="H54" s="1">
        <v>0.219</v>
      </c>
      <c r="I54" s="1">
        <v>3.6528600117148049E-4</v>
      </c>
      <c r="J54" s="1">
        <v>0.65</v>
      </c>
      <c r="K54" s="1">
        <v>4.9098252418320982E-3</v>
      </c>
      <c r="L54" s="1">
        <v>1.075</v>
      </c>
      <c r="M54" s="1">
        <v>2.254119131265719E-3</v>
      </c>
      <c r="N54" s="1">
        <v>1.5</v>
      </c>
      <c r="O54" s="1">
        <v>4.6236072321487694E-2</v>
      </c>
      <c r="P54" s="1">
        <v>1.93</v>
      </c>
      <c r="Q54" s="1">
        <v>7.9032232408214522E-3</v>
      </c>
      <c r="R54" s="1">
        <v>2.355</v>
      </c>
      <c r="S54" s="1">
        <v>2.4412350674778921E-3</v>
      </c>
      <c r="T54" s="1">
        <v>2.7850000000000001</v>
      </c>
      <c r="U54" s="1">
        <v>4.8912438763216446E-3</v>
      </c>
    </row>
    <row r="55" spans="2:21">
      <c r="H55" s="1">
        <v>0.219</v>
      </c>
      <c r="I55" s="1">
        <v>1.1306638001503332E-3</v>
      </c>
      <c r="J55" s="1">
        <v>0.65</v>
      </c>
      <c r="K55" s="1"/>
      <c r="L55" s="1">
        <v>1.075</v>
      </c>
      <c r="M55" s="1">
        <v>1.9554063914330251E-3</v>
      </c>
      <c r="N55" s="1">
        <v>1.5</v>
      </c>
      <c r="O55" s="1">
        <v>0.17475297249865721</v>
      </c>
      <c r="P55" s="1">
        <v>1.93</v>
      </c>
      <c r="Q55" s="1">
        <v>3.9018937203849475E-3</v>
      </c>
      <c r="R55" s="1">
        <v>2.355</v>
      </c>
      <c r="S55" s="1">
        <v>5.8299443378106921E-4</v>
      </c>
      <c r="T55" s="1">
        <v>2.7850000000000001</v>
      </c>
      <c r="U55" s="1">
        <v>4.9283859756935108E-3</v>
      </c>
    </row>
    <row r="56" spans="2:21">
      <c r="H56" s="1">
        <v>0.219</v>
      </c>
      <c r="I56" s="1">
        <v>8.8245907026005541E-4</v>
      </c>
      <c r="J56" s="1">
        <v>0.65</v>
      </c>
      <c r="K56" s="1">
        <v>2.9464179266982375E-3</v>
      </c>
      <c r="L56" s="1">
        <v>1.075</v>
      </c>
      <c r="M56" s="1">
        <v>2.4602378850317338E-3</v>
      </c>
      <c r="N56" s="1">
        <v>1.5</v>
      </c>
      <c r="O56" s="1">
        <v>9.7814402222765936E-3</v>
      </c>
      <c r="P56" s="1">
        <v>1.93</v>
      </c>
      <c r="Q56" s="1">
        <v>5.5712639465897214E-3</v>
      </c>
      <c r="R56" s="1">
        <v>2.355</v>
      </c>
      <c r="S56" s="1">
        <v>1.060929798787656E-2</v>
      </c>
      <c r="T56" s="1">
        <v>2.7850000000000001</v>
      </c>
      <c r="U56" s="1">
        <v>3.5480740402340956E-3</v>
      </c>
    </row>
    <row r="57" spans="2:21">
      <c r="H57" s="1">
        <v>0.219</v>
      </c>
      <c r="I57" s="1">
        <v>2.1299486018269533E-3</v>
      </c>
      <c r="J57" s="1">
        <v>0.65</v>
      </c>
      <c r="K57" s="1">
        <v>1.1188865883084828E-3</v>
      </c>
      <c r="L57" s="1">
        <v>1.075</v>
      </c>
      <c r="M57" s="1">
        <v>2.4217225908302244E-3</v>
      </c>
      <c r="N57" s="1">
        <v>1.5</v>
      </c>
      <c r="O57" s="1">
        <v>4.9785363128854718E-2</v>
      </c>
      <c r="P57" s="1">
        <v>1.93</v>
      </c>
      <c r="Q57" s="1">
        <v>3.308579073341561E-3</v>
      </c>
      <c r="R57" s="1">
        <v>2.355</v>
      </c>
      <c r="S57" s="1">
        <v>1.4467026853474201E-3</v>
      </c>
      <c r="T57" s="1">
        <v>2.7850000000000001</v>
      </c>
      <c r="U57" s="1">
        <v>2.5687543597497724E-3</v>
      </c>
    </row>
    <row r="60" spans="2:21">
      <c r="H60" s="1" t="s">
        <v>859</v>
      </c>
      <c r="I60" s="2" t="s">
        <v>387</v>
      </c>
      <c r="J60" s="1" t="s">
        <v>859</v>
      </c>
      <c r="K60" s="2" t="s">
        <v>393</v>
      </c>
      <c r="L60" s="1" t="s">
        <v>859</v>
      </c>
      <c r="M60" s="2" t="s">
        <v>399</v>
      </c>
      <c r="N60" s="1" t="s">
        <v>859</v>
      </c>
      <c r="O60" s="2" t="s">
        <v>31</v>
      </c>
      <c r="P60" s="1" t="s">
        <v>859</v>
      </c>
      <c r="Q60" s="2" t="s">
        <v>333</v>
      </c>
      <c r="R60" s="1" t="s">
        <v>859</v>
      </c>
      <c r="S60" s="2" t="s">
        <v>340</v>
      </c>
      <c r="T60" s="1" t="s">
        <v>859</v>
      </c>
      <c r="U60" s="2" t="s">
        <v>346</v>
      </c>
    </row>
    <row r="61" spans="2:21">
      <c r="H61" s="1">
        <v>0.219</v>
      </c>
      <c r="I61" s="1">
        <v>9.957349560434146E-3</v>
      </c>
      <c r="J61" s="1">
        <v>0.65</v>
      </c>
      <c r="K61" s="1">
        <v>7.4794757223273448E-3</v>
      </c>
      <c r="L61" s="1">
        <v>1.075</v>
      </c>
      <c r="M61" s="1">
        <v>2.5915851959738122E-3</v>
      </c>
      <c r="N61" s="1">
        <v>1.5</v>
      </c>
      <c r="O61" s="1">
        <v>4.6236072321487694E-2</v>
      </c>
      <c r="P61" s="1">
        <v>1.93</v>
      </c>
      <c r="Q61" s="1">
        <v>7.9032232408214522E-3</v>
      </c>
      <c r="R61" s="1">
        <v>2.355</v>
      </c>
      <c r="S61" s="1">
        <v>2.4412350674778921E-3</v>
      </c>
      <c r="T61" s="1">
        <v>2.7850000000000001</v>
      </c>
      <c r="U61" s="1">
        <v>4.8912438763216446E-3</v>
      </c>
    </row>
    <row r="62" spans="2:21">
      <c r="H62" s="1">
        <v>0.219</v>
      </c>
      <c r="I62" s="1">
        <v>1.0688885527031951E-2</v>
      </c>
      <c r="J62" s="1">
        <v>0.65</v>
      </c>
      <c r="K62" s="1">
        <v>1.7603087151912819E-2</v>
      </c>
      <c r="L62" s="1">
        <v>1.075</v>
      </c>
      <c r="M62" s="1">
        <v>1.7360391311187265E-3</v>
      </c>
      <c r="N62" s="1">
        <v>1.5</v>
      </c>
      <c r="O62" s="1">
        <v>0.17475297249865721</v>
      </c>
      <c r="P62" s="1">
        <v>1.93</v>
      </c>
      <c r="Q62" s="1">
        <v>3.9018937203849475E-3</v>
      </c>
      <c r="R62" s="1">
        <v>2.355</v>
      </c>
      <c r="S62" s="1">
        <v>5.8299443378106921E-4</v>
      </c>
      <c r="T62" s="1">
        <v>2.7850000000000001</v>
      </c>
      <c r="U62" s="1">
        <v>4.9283859756935108E-3</v>
      </c>
    </row>
    <row r="63" spans="2:21">
      <c r="H63" s="1">
        <v>0.219</v>
      </c>
      <c r="I63" s="1">
        <v>9.2493057129691778E-3</v>
      </c>
      <c r="J63" s="1">
        <v>0.65</v>
      </c>
      <c r="K63" s="1">
        <v>6.9677173166572065E-3</v>
      </c>
      <c r="L63" s="1">
        <v>1.075</v>
      </c>
      <c r="M63" s="1">
        <v>2.8173321572418928E-3</v>
      </c>
      <c r="N63" s="1">
        <v>1.5</v>
      </c>
      <c r="O63" s="1">
        <v>9.7814402222765936E-3</v>
      </c>
      <c r="P63" s="1">
        <v>1.93</v>
      </c>
      <c r="Q63" s="1">
        <v>5.5712639465897214E-3</v>
      </c>
      <c r="R63" s="1">
        <v>2.355</v>
      </c>
      <c r="S63" s="1">
        <v>1.060929798787656E-2</v>
      </c>
      <c r="T63" s="1">
        <v>2.7850000000000001</v>
      </c>
      <c r="U63" s="1">
        <v>3.5480740402340956E-3</v>
      </c>
    </row>
    <row r="64" spans="2:21">
      <c r="H64" s="1">
        <v>0.219</v>
      </c>
      <c r="I64" s="1">
        <v>8.4464244199188489E-3</v>
      </c>
      <c r="J64" s="1">
        <v>0.65</v>
      </c>
      <c r="K64" s="1">
        <v>1.672458257527094E-2</v>
      </c>
      <c r="L64" s="1">
        <v>1.075</v>
      </c>
      <c r="M64" s="1">
        <v>5.0550684216234681E-3</v>
      </c>
      <c r="N64" s="1">
        <v>1.5</v>
      </c>
      <c r="O64" s="1">
        <v>4.9785363128854718E-2</v>
      </c>
      <c r="P64" s="1">
        <v>1.93</v>
      </c>
      <c r="Q64" s="1">
        <v>3.308579073341561E-3</v>
      </c>
      <c r="R64" s="1">
        <v>2.355</v>
      </c>
      <c r="S64" s="1">
        <v>1.4467026853474201E-3</v>
      </c>
      <c r="T64" s="1">
        <v>2.7850000000000001</v>
      </c>
      <c r="U64" s="1">
        <v>2.5687543597497724E-3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8A01-B3BB-4793-BEE3-BCDAC3603297}">
  <dimension ref="B1:Z144"/>
  <sheetViews>
    <sheetView topLeftCell="H105" zoomScale="70" zoomScaleNormal="70" workbookViewId="0">
      <selection activeCell="Q149" sqref="Q149"/>
    </sheetView>
  </sheetViews>
  <sheetFormatPr defaultRowHeight="14.45"/>
  <cols>
    <col min="2" max="2" width="18.140625" customWidth="1"/>
    <col min="3" max="3" width="18.5703125" customWidth="1"/>
    <col min="4" max="4" width="14.7109375" customWidth="1"/>
    <col min="5" max="5" width="14.85546875" customWidth="1"/>
    <col min="6" max="6" width="27.140625" customWidth="1"/>
    <col min="7" max="7" width="14.7109375" customWidth="1"/>
    <col min="8" max="8" width="19.5703125" customWidth="1"/>
    <col min="9" max="9" width="15.28515625" customWidth="1"/>
    <col min="10" max="10" width="18.28515625" customWidth="1"/>
    <col min="15" max="15" width="23.7109375" customWidth="1"/>
    <col min="16" max="16" width="26.5703125" customWidth="1"/>
    <col min="17" max="17" width="20.85546875" customWidth="1"/>
    <col min="18" max="18" width="21.140625" customWidth="1"/>
    <col min="19" max="19" width="18" customWidth="1"/>
    <col min="20" max="20" width="15.42578125" customWidth="1"/>
    <col min="21" max="21" width="20.42578125" customWidth="1"/>
    <col min="22" max="22" width="18.42578125" customWidth="1"/>
    <col min="23" max="23" width="22.7109375" customWidth="1"/>
  </cols>
  <sheetData>
    <row r="1" spans="2:26" ht="23.45">
      <c r="C1" s="37"/>
    </row>
    <row r="2" spans="2:26" ht="15" thickBot="1">
      <c r="B2" s="15"/>
      <c r="C2" s="15"/>
      <c r="D2" s="131" t="s">
        <v>888</v>
      </c>
      <c r="E2" s="131"/>
      <c r="F2" s="131"/>
      <c r="M2" s="1"/>
    </row>
    <row r="3" spans="2:26" ht="18.600000000000001" thickBot="1">
      <c r="B3" s="47" t="s">
        <v>6</v>
      </c>
      <c r="M3" s="1"/>
      <c r="N3" s="1"/>
      <c r="O3" s="47" t="s">
        <v>34</v>
      </c>
      <c r="X3" s="1"/>
      <c r="Y3" s="1"/>
      <c r="Z3" s="1"/>
    </row>
    <row r="4" spans="2:26">
      <c r="M4" s="1"/>
      <c r="Y4" s="1"/>
    </row>
    <row r="5" spans="2:26">
      <c r="B5" s="49" t="s">
        <v>889</v>
      </c>
      <c r="C5" s="24" t="s">
        <v>16</v>
      </c>
      <c r="D5" s="24" t="s">
        <v>355</v>
      </c>
      <c r="E5" s="24" t="s">
        <v>356</v>
      </c>
      <c r="F5" s="24" t="s">
        <v>357</v>
      </c>
      <c r="G5" s="24" t="s">
        <v>358</v>
      </c>
      <c r="H5" s="24" t="s">
        <v>14</v>
      </c>
      <c r="I5" s="24" t="s">
        <v>873</v>
      </c>
      <c r="J5" s="1"/>
      <c r="M5" s="1"/>
      <c r="O5" s="49" t="s">
        <v>889</v>
      </c>
      <c r="P5" s="24" t="s">
        <v>16</v>
      </c>
      <c r="Q5" s="24" t="s">
        <v>355</v>
      </c>
      <c r="R5" s="24" t="s">
        <v>356</v>
      </c>
      <c r="S5" s="24" t="s">
        <v>357</v>
      </c>
      <c r="T5" s="24" t="s">
        <v>358</v>
      </c>
      <c r="U5" s="24" t="s">
        <v>14</v>
      </c>
      <c r="V5" s="26" t="s">
        <v>873</v>
      </c>
      <c r="W5" s="36"/>
      <c r="Y5" s="1"/>
    </row>
    <row r="6" spans="2:26">
      <c r="B6" s="2" t="s">
        <v>31</v>
      </c>
      <c r="C6" s="2">
        <v>9.4632028766567682E-4</v>
      </c>
      <c r="D6" s="2">
        <v>2.3056899105932394E-3</v>
      </c>
      <c r="E6" s="2">
        <v>6.0855309099535244E-3</v>
      </c>
      <c r="F6" s="2">
        <v>5.2982918927701522E-3</v>
      </c>
      <c r="G6" s="2">
        <v>6.4926135703304447E-3</v>
      </c>
      <c r="H6" s="2">
        <f>AVERAGEA(D6:G6)</f>
        <v>5.0455315709118402E-3</v>
      </c>
      <c r="I6" s="2">
        <v>1</v>
      </c>
      <c r="J6" s="1"/>
      <c r="M6" s="1"/>
      <c r="O6" s="2" t="s">
        <v>31</v>
      </c>
      <c r="P6" s="42">
        <v>1.3915808249714157E-3</v>
      </c>
      <c r="Q6" s="42">
        <v>8.6419846539795685E-3</v>
      </c>
      <c r="R6" s="42">
        <v>6.310019587597685E-3</v>
      </c>
      <c r="S6" s="42">
        <v>3.0988545900309116E-3</v>
      </c>
      <c r="T6" s="42">
        <v>6.4256053712285627E-3</v>
      </c>
      <c r="U6" s="42">
        <v>6.1191160507091816E-3</v>
      </c>
      <c r="V6" s="42">
        <v>1</v>
      </c>
      <c r="W6" s="36"/>
      <c r="Y6" s="1"/>
    </row>
    <row r="7" spans="2:26">
      <c r="B7" s="2" t="s">
        <v>333</v>
      </c>
      <c r="C7" s="2">
        <v>5.1830043809924363E-2</v>
      </c>
      <c r="D7" s="2">
        <v>0.29426571029435772</v>
      </c>
      <c r="E7" s="2">
        <v>8.3697124517544783E-2</v>
      </c>
      <c r="F7" s="2">
        <v>0.25262945393163161</v>
      </c>
      <c r="G7" s="2">
        <v>0.11109504748855371</v>
      </c>
      <c r="H7" s="2">
        <f>AVERAGEA(D7:G7)</f>
        <v>0.18542183405802196</v>
      </c>
      <c r="I7" s="2">
        <v>1</v>
      </c>
      <c r="J7" s="1"/>
      <c r="M7" s="1"/>
      <c r="O7" s="2" t="s">
        <v>333</v>
      </c>
      <c r="P7" s="42">
        <v>9.1117817019702192E-3</v>
      </c>
      <c r="Q7" s="42">
        <v>8.5582110305342338E-2</v>
      </c>
      <c r="R7" s="42">
        <v>4.6100141633703573E-2</v>
      </c>
      <c r="S7" s="42">
        <v>7.9612155699901099E-2</v>
      </c>
      <c r="T7" s="42">
        <v>8.1413536884815618E-2</v>
      </c>
      <c r="U7" s="42">
        <v>7.3176986130940661E-2</v>
      </c>
      <c r="V7" s="42">
        <v>1</v>
      </c>
      <c r="W7" s="36"/>
      <c r="Y7" s="1"/>
    </row>
    <row r="8" spans="2:26">
      <c r="B8" s="2" t="s">
        <v>340</v>
      </c>
      <c r="C8" s="2">
        <v>5.9372700470172859E-2</v>
      </c>
      <c r="D8" s="2">
        <v>8.7196924807046522E-2</v>
      </c>
      <c r="E8" s="2">
        <v>5.6443491741829069E-2</v>
      </c>
      <c r="F8" s="2">
        <v>7.1920035172158017E-2</v>
      </c>
      <c r="G8" s="2">
        <v>0.3080130832381856</v>
      </c>
      <c r="H8" s="2">
        <f>AVERAGEA(D8:G8)</f>
        <v>0.1308933837398048</v>
      </c>
      <c r="I8" s="2">
        <v>1</v>
      </c>
      <c r="J8" s="1"/>
      <c r="M8" s="1"/>
      <c r="O8" s="2" t="s">
        <v>340</v>
      </c>
      <c r="P8" s="42">
        <v>6.7498536500957464E-3</v>
      </c>
      <c r="Q8" s="42">
        <v>1.5551591341001373E-2</v>
      </c>
      <c r="R8" s="42">
        <v>8.4271279447394615E-3</v>
      </c>
      <c r="S8" s="42">
        <v>1.3668992353580076E-2</v>
      </c>
      <c r="T8" s="42">
        <v>3.8866950509624423E-2</v>
      </c>
      <c r="U8" s="42">
        <v>1.91286655372363E-2</v>
      </c>
      <c r="V8" s="42">
        <v>1</v>
      </c>
      <c r="W8" s="36"/>
    </row>
    <row r="9" spans="2:26">
      <c r="B9" s="2" t="s">
        <v>346</v>
      </c>
      <c r="C9" s="2">
        <v>1.6610654386944156E-2</v>
      </c>
      <c r="D9" s="2">
        <v>9.8284559468470797E-2</v>
      </c>
      <c r="E9" s="2">
        <v>0.16919468263981696</v>
      </c>
      <c r="F9" s="2">
        <v>0.13931307661352429</v>
      </c>
      <c r="G9" s="2">
        <v>0.16776645878906521</v>
      </c>
      <c r="H9" s="2">
        <f>AVERAGEA(D9:G9)</f>
        <v>0.14363969437771934</v>
      </c>
      <c r="I9" s="2">
        <v>1</v>
      </c>
      <c r="J9" s="1"/>
      <c r="M9" s="1"/>
      <c r="O9" s="2" t="s">
        <v>346</v>
      </c>
      <c r="P9" s="42">
        <v>2.3674524029672901E-3</v>
      </c>
      <c r="Q9" s="42">
        <v>1.1030722715282987E-2</v>
      </c>
      <c r="R9" s="42">
        <v>1.7613935511883748E-2</v>
      </c>
      <c r="S9" s="42">
        <v>1.3307883830540769E-2</v>
      </c>
      <c r="T9" s="42">
        <v>2.172175645149943E-2</v>
      </c>
      <c r="U9" s="42">
        <v>1.5918574627301733E-2</v>
      </c>
      <c r="V9" s="42">
        <v>1</v>
      </c>
      <c r="W9" s="36"/>
    </row>
    <row r="10" spans="2:26">
      <c r="B10" s="1"/>
      <c r="C10" s="1"/>
      <c r="D10" s="1"/>
      <c r="E10" s="1"/>
      <c r="F10" s="1"/>
      <c r="G10" s="1"/>
      <c r="H10" s="1"/>
      <c r="I10" s="1"/>
      <c r="J10" s="1"/>
      <c r="M10" s="1"/>
      <c r="N10" s="1"/>
      <c r="O10" s="36"/>
      <c r="P10" s="36"/>
      <c r="Q10" s="36"/>
      <c r="R10" s="36"/>
      <c r="S10" s="36"/>
      <c r="T10" s="36"/>
      <c r="U10" s="36"/>
      <c r="V10" s="36"/>
      <c r="W10" s="36"/>
      <c r="X10" s="1"/>
      <c r="Y10" s="1"/>
      <c r="Z10" s="1"/>
    </row>
    <row r="11" spans="2:26">
      <c r="B11" s="1"/>
      <c r="C11" s="1"/>
      <c r="D11" s="1"/>
      <c r="E11" s="1"/>
      <c r="F11" s="1"/>
      <c r="G11" s="1"/>
      <c r="H11" s="1"/>
      <c r="I11" s="1"/>
      <c r="J11" s="1"/>
      <c r="M11" s="1"/>
      <c r="O11" s="36"/>
      <c r="P11" s="36"/>
      <c r="Q11" s="36"/>
      <c r="R11" s="36"/>
      <c r="S11" s="36"/>
      <c r="T11" s="36"/>
      <c r="U11" s="36"/>
      <c r="V11" s="38"/>
      <c r="W11" s="36"/>
      <c r="Y11" s="1"/>
    </row>
    <row r="12" spans="2:26">
      <c r="B12" s="2" t="s">
        <v>890</v>
      </c>
      <c r="C12" s="24" t="s">
        <v>16</v>
      </c>
      <c r="D12" s="24" t="s">
        <v>355</v>
      </c>
      <c r="E12" s="24" t="s">
        <v>356</v>
      </c>
      <c r="F12" s="24" t="s">
        <v>357</v>
      </c>
      <c r="G12" s="24" t="s">
        <v>358</v>
      </c>
      <c r="H12" s="24" t="s">
        <v>386</v>
      </c>
      <c r="I12" s="24" t="s">
        <v>14</v>
      </c>
      <c r="J12" s="24" t="s">
        <v>873</v>
      </c>
      <c r="M12" s="1"/>
      <c r="O12" s="2" t="s">
        <v>890</v>
      </c>
      <c r="P12" s="24" t="s">
        <v>16</v>
      </c>
      <c r="Q12" s="24" t="s">
        <v>355</v>
      </c>
      <c r="R12" s="24" t="s">
        <v>356</v>
      </c>
      <c r="S12" s="24" t="s">
        <v>357</v>
      </c>
      <c r="T12" s="24" t="s">
        <v>358</v>
      </c>
      <c r="U12" s="24" t="s">
        <v>386</v>
      </c>
      <c r="V12" s="24" t="s">
        <v>14</v>
      </c>
      <c r="W12" s="26" t="s">
        <v>873</v>
      </c>
      <c r="Y12" s="1"/>
    </row>
    <row r="13" spans="2:26">
      <c r="B13" s="2" t="s">
        <v>387</v>
      </c>
      <c r="C13" s="2">
        <v>1.5828774398595653E-2</v>
      </c>
      <c r="D13" s="2">
        <v>8.8832342846704215E-2</v>
      </c>
      <c r="E13" s="2">
        <v>3.5329781965115548E-2</v>
      </c>
      <c r="F13" s="39">
        <v>5.9311263696174857E-2</v>
      </c>
      <c r="G13" s="2">
        <v>0.13002216190072485</v>
      </c>
      <c r="H13" s="39">
        <v>7.3643692728190491E-2</v>
      </c>
      <c r="I13" s="2">
        <f>AVERAGEA(D13:H13)</f>
        <v>7.7427848627381987E-2</v>
      </c>
      <c r="J13" s="2">
        <f>TTEST(D13:H13,D25:G25,2,3)</f>
        <v>0.7451700732497355</v>
      </c>
      <c r="M13" s="1"/>
      <c r="O13" s="2" t="s">
        <v>387</v>
      </c>
      <c r="P13" s="42">
        <v>3.9953089229423531E-3</v>
      </c>
      <c r="Q13" s="42">
        <v>6.3366039727044158E-3</v>
      </c>
      <c r="R13" s="42">
        <v>3.3993996489839746E-3</v>
      </c>
      <c r="S13" s="42">
        <v>9.8553386043322023E-3</v>
      </c>
      <c r="T13" s="42">
        <v>2.6081730886511209E-2</v>
      </c>
      <c r="U13" s="43">
        <v>1.5236713111714636E-2</v>
      </c>
      <c r="V13" s="42">
        <v>1.2181957244849301E-2</v>
      </c>
      <c r="W13" s="42">
        <f>TTEST(Q13:U13,Q25:T25,2,3)</f>
        <v>9.2867309692114153E-2</v>
      </c>
      <c r="Y13" s="1"/>
    </row>
    <row r="14" spans="2:26">
      <c r="B14" s="2" t="s">
        <v>393</v>
      </c>
      <c r="C14" s="2">
        <v>6.0942360752612758E-3</v>
      </c>
      <c r="D14" s="2">
        <v>3.3184486396795415E-2</v>
      </c>
      <c r="E14" s="2">
        <v>1.3406421357911039E-2</v>
      </c>
      <c r="F14" s="39">
        <v>2.1062722311641864E-2</v>
      </c>
      <c r="G14" s="2">
        <v>4.4122193021349579E-3</v>
      </c>
      <c r="H14" s="1"/>
      <c r="I14" s="2">
        <f>AVERAGEA(D14:G14)</f>
        <v>1.8016462342120815E-2</v>
      </c>
      <c r="J14" s="2">
        <f>TTEST(D14:G14,D26:G26,2,3)</f>
        <v>0.55030456348158152</v>
      </c>
      <c r="M14" s="1"/>
      <c r="O14" s="2" t="s">
        <v>393</v>
      </c>
      <c r="P14" s="42">
        <v>9.0487655777681127E-4</v>
      </c>
      <c r="Q14" s="42">
        <v>2.9575602534082273E-3</v>
      </c>
      <c r="R14" s="42">
        <v>2.5098060741445567E-3</v>
      </c>
      <c r="S14" s="42">
        <v>5.3306118304092187E-3</v>
      </c>
      <c r="T14" s="42">
        <v>9.5878281337971583E-4</v>
      </c>
      <c r="U14" s="36"/>
      <c r="V14" s="42">
        <v>2.9391902428354301E-3</v>
      </c>
      <c r="W14" s="42">
        <f>TTEST(Q14:T14,Q26:T26,2,3)</f>
        <v>0.72226600981133005</v>
      </c>
      <c r="Y14" s="1"/>
    </row>
    <row r="15" spans="2:26">
      <c r="B15" s="2" t="s">
        <v>399</v>
      </c>
      <c r="C15" s="2">
        <v>6.8618826273091002E-2</v>
      </c>
      <c r="D15" s="2">
        <v>1.7834575582509098E-2</v>
      </c>
      <c r="E15" s="2">
        <v>5.8415398271393304E-2</v>
      </c>
      <c r="F15" s="39">
        <v>8.7308241704040473E-2</v>
      </c>
      <c r="G15" s="2">
        <v>0.3662898973115849</v>
      </c>
      <c r="H15" s="1"/>
      <c r="I15" s="2">
        <f>AVERAGEA(D15:G15)</f>
        <v>0.13246202821738196</v>
      </c>
      <c r="J15" s="2">
        <f>TTEST(D15:G15,D27:G27,2,3)</f>
        <v>0.26362562731203476</v>
      </c>
      <c r="O15" s="2" t="s">
        <v>399</v>
      </c>
      <c r="P15" s="42">
        <v>3.5609033634348815E-2</v>
      </c>
      <c r="Q15" s="42">
        <v>1.1450267523245607E-2</v>
      </c>
      <c r="R15" s="42">
        <v>2.1986526626905294E-2</v>
      </c>
      <c r="S15" s="42">
        <v>2.1870620151196569E-2</v>
      </c>
      <c r="T15" s="42">
        <v>0.18260989573529574</v>
      </c>
      <c r="U15" s="36"/>
      <c r="V15" s="42">
        <f>AVERAGEA(Q15:T15)</f>
        <v>5.9479327509160802E-2</v>
      </c>
      <c r="W15" s="42">
        <f>TTEST(Q15:T15,Q27:T27,2,3)</f>
        <v>0.67009020870506042</v>
      </c>
    </row>
    <row r="16" spans="2:26">
      <c r="B16" s="1"/>
      <c r="C16" s="1"/>
      <c r="D16" s="1"/>
      <c r="E16" s="1"/>
      <c r="F16" s="1"/>
      <c r="G16" s="1"/>
      <c r="H16" s="1"/>
      <c r="I16" s="1"/>
      <c r="J16" s="1"/>
      <c r="M16" s="1"/>
      <c r="O16" s="36"/>
      <c r="P16" s="36"/>
      <c r="Q16" s="36"/>
      <c r="R16" s="36"/>
      <c r="S16" s="36"/>
      <c r="T16" s="36"/>
      <c r="U16" s="36"/>
      <c r="V16" s="36"/>
      <c r="W16" s="36"/>
    </row>
    <row r="17" spans="2:26">
      <c r="B17" s="1"/>
      <c r="C17" s="1"/>
      <c r="D17" s="1"/>
      <c r="E17" s="1"/>
      <c r="F17" s="1"/>
      <c r="G17" s="1"/>
      <c r="H17" s="1"/>
      <c r="I17" s="1"/>
      <c r="J17" s="1"/>
      <c r="M17" s="1"/>
      <c r="N17" s="1"/>
      <c r="O17" s="36"/>
      <c r="P17" s="36"/>
      <c r="Q17" s="36"/>
      <c r="R17" s="36"/>
      <c r="S17" s="36"/>
      <c r="T17" s="36"/>
      <c r="U17" s="36"/>
      <c r="V17" s="36"/>
      <c r="W17" s="36"/>
      <c r="X17" s="1"/>
      <c r="Y17" s="1"/>
      <c r="Z17" s="1"/>
    </row>
    <row r="18" spans="2:26">
      <c r="B18" s="2" t="s">
        <v>891</v>
      </c>
      <c r="C18" s="24" t="s">
        <v>16</v>
      </c>
      <c r="D18" s="24" t="s">
        <v>355</v>
      </c>
      <c r="E18" s="24" t="s">
        <v>356</v>
      </c>
      <c r="F18" s="24" t="s">
        <v>357</v>
      </c>
      <c r="G18" s="24" t="s">
        <v>358</v>
      </c>
      <c r="H18" s="24" t="s">
        <v>14</v>
      </c>
      <c r="I18" s="24" t="s">
        <v>873</v>
      </c>
      <c r="J18" s="1"/>
      <c r="M18" s="1"/>
      <c r="O18" s="2" t="s">
        <v>891</v>
      </c>
      <c r="P18" s="24" t="s">
        <v>16</v>
      </c>
      <c r="Q18" s="24" t="s">
        <v>355</v>
      </c>
      <c r="R18" s="24" t="s">
        <v>356</v>
      </c>
      <c r="S18" s="24" t="s">
        <v>357</v>
      </c>
      <c r="T18" s="24" t="s">
        <v>358</v>
      </c>
      <c r="U18" s="24" t="s">
        <v>14</v>
      </c>
      <c r="V18" s="26" t="s">
        <v>873</v>
      </c>
      <c r="W18" s="36"/>
      <c r="Y18" s="1"/>
    </row>
    <row r="19" spans="2:26">
      <c r="B19" s="2" t="s">
        <v>387</v>
      </c>
      <c r="C19" s="2">
        <v>1.3364271900116499E-2</v>
      </c>
      <c r="D19" s="2">
        <v>9.4342232184651917E-2</v>
      </c>
      <c r="E19" s="2">
        <v>0.11820141020422568</v>
      </c>
      <c r="F19" s="2">
        <v>7.8942630035723799E-2</v>
      </c>
      <c r="G19" s="2">
        <v>5.4568009108222057E-2</v>
      </c>
      <c r="H19" s="2">
        <f>0.0865135703832059</f>
        <v>8.6513570383205896E-2</v>
      </c>
      <c r="I19" s="2">
        <f>TTEST(D19:G19,D31:G31,2,3)</f>
        <v>0.14761538791187853</v>
      </c>
      <c r="J19" s="1"/>
      <c r="M19" s="1"/>
      <c r="O19" s="2" t="s">
        <v>387</v>
      </c>
      <c r="P19" s="42">
        <v>3.0305512263294914E-3</v>
      </c>
      <c r="Q19" s="42">
        <v>1.6768752492984589E-2</v>
      </c>
      <c r="R19" s="42">
        <v>1.6537821281936028E-2</v>
      </c>
      <c r="S19" s="42">
        <v>9.0501190214907767E-3</v>
      </c>
      <c r="T19" s="42">
        <v>4.3450924841771125E-3</v>
      </c>
      <c r="U19" s="42">
        <v>1.1675446320147101E-2</v>
      </c>
      <c r="V19" s="42">
        <f>TTEST(Q19:T19,Q32:T32,2,3)</f>
        <v>0.11394733207913549</v>
      </c>
      <c r="W19" s="36"/>
      <c r="Y19" s="1"/>
    </row>
    <row r="20" spans="2:26">
      <c r="B20" s="2" t="s">
        <v>393</v>
      </c>
      <c r="C20" s="2">
        <v>6.4968681890616433E-3</v>
      </c>
      <c r="D20" s="2">
        <v>3.8377939102287907E-2</v>
      </c>
      <c r="E20" s="2">
        <v>2.1523025293333616E-2</v>
      </c>
      <c r="F20" s="2">
        <v>1.7497237205634189E-2</v>
      </c>
      <c r="G20" s="2">
        <v>7.1418329342052235E-3</v>
      </c>
      <c r="H20" s="2">
        <f>0.0211350086338652</f>
        <v>2.11350086338652E-2</v>
      </c>
      <c r="I20" s="2">
        <f>TTEST(D20:G20,D32:G32,2,3)</f>
        <v>0.25724695056395164</v>
      </c>
      <c r="J20" s="1"/>
      <c r="M20" s="1"/>
      <c r="O20" s="2" t="s">
        <v>393</v>
      </c>
      <c r="P20" s="42">
        <v>1.0558403728725841E-3</v>
      </c>
      <c r="Q20" s="42">
        <v>6.3775253693634532E-3</v>
      </c>
      <c r="R20" s="42">
        <v>2.8648460707200759E-3</v>
      </c>
      <c r="S20" s="42">
        <v>3.866476645675626E-3</v>
      </c>
      <c r="T20" s="42">
        <v>1.3522430143370664E-3</v>
      </c>
      <c r="U20" s="42">
        <v>3.6152727750240598E-3</v>
      </c>
      <c r="V20" s="42">
        <f>TTEST(Q20:T20,Q33:T33,2,3)</f>
        <v>0.21438235172021475</v>
      </c>
      <c r="W20" s="36"/>
      <c r="Y20" s="1"/>
    </row>
    <row r="21" spans="2:26">
      <c r="B21" s="2" t="s">
        <v>399</v>
      </c>
      <c r="C21" s="2">
        <v>7.2260182034216636E-2</v>
      </c>
      <c r="D21" s="2">
        <v>0.10642240109035384</v>
      </c>
      <c r="E21" s="2">
        <v>0.14673831410160459</v>
      </c>
      <c r="F21" s="2">
        <v>0.40294102220330202</v>
      </c>
      <c r="G21" s="2">
        <v>9.7986541419196369E-2</v>
      </c>
      <c r="H21" s="2">
        <f>0.188522069703614</f>
        <v>0.18852206970361399</v>
      </c>
      <c r="I21" s="2">
        <f>TTEST(D21:G21,D33:G33,2,3)</f>
        <v>0.9288847074107518</v>
      </c>
      <c r="J21" s="1"/>
      <c r="M21" s="1"/>
      <c r="O21" s="2" t="s">
        <v>399</v>
      </c>
      <c r="P21" s="42">
        <v>5.9298480873821949E-3</v>
      </c>
      <c r="Q21" s="42">
        <v>9.1849288954737561E-3</v>
      </c>
      <c r="R21" s="42">
        <v>1.1438163450737277E-2</v>
      </c>
      <c r="S21" s="42">
        <v>3.5313204316015021E-2</v>
      </c>
      <c r="T21" s="42">
        <v>2.0541641478781091E-2</v>
      </c>
      <c r="U21" s="42">
        <v>1.91194845352518E-2</v>
      </c>
      <c r="V21" s="44">
        <f>TTEST(Q21:T21,Q34:T34,2,3)</f>
        <v>4.7448958003140862E-2</v>
      </c>
      <c r="W21" s="28" t="s">
        <v>875</v>
      </c>
      <c r="Y21" s="1"/>
    </row>
    <row r="22" spans="2:26">
      <c r="B22" s="1"/>
      <c r="C22" s="1"/>
      <c r="D22" s="1"/>
      <c r="E22" s="1"/>
      <c r="F22" s="1"/>
      <c r="G22" s="1"/>
      <c r="H22" s="1"/>
      <c r="I22" s="1"/>
      <c r="J22" s="1"/>
      <c r="O22" s="36"/>
      <c r="P22" s="36"/>
      <c r="Q22" s="36"/>
      <c r="R22" s="36"/>
      <c r="S22" s="36"/>
      <c r="T22" s="36"/>
      <c r="U22" s="36"/>
      <c r="V22" s="36"/>
      <c r="W22" s="36"/>
    </row>
    <row r="23" spans="2:26">
      <c r="B23" s="1"/>
      <c r="C23" s="1"/>
      <c r="D23" s="1"/>
      <c r="E23" s="1"/>
      <c r="F23" s="1"/>
      <c r="G23" s="1"/>
      <c r="H23" s="1"/>
      <c r="I23" s="1"/>
      <c r="J23" s="1"/>
      <c r="M23" s="1"/>
      <c r="O23" s="36"/>
      <c r="P23" s="36"/>
      <c r="Q23" s="36"/>
      <c r="R23" s="36"/>
      <c r="S23" s="36"/>
      <c r="T23" s="36"/>
      <c r="U23" s="36"/>
      <c r="V23" s="36"/>
      <c r="W23" s="36"/>
    </row>
    <row r="24" spans="2:26">
      <c r="B24" s="2" t="s">
        <v>892</v>
      </c>
      <c r="C24" s="24" t="s">
        <v>16</v>
      </c>
      <c r="D24" s="24" t="s">
        <v>355</v>
      </c>
      <c r="E24" s="24" t="s">
        <v>356</v>
      </c>
      <c r="F24" s="24" t="s">
        <v>357</v>
      </c>
      <c r="G24" s="24" t="s">
        <v>358</v>
      </c>
      <c r="H24" s="24" t="s">
        <v>14</v>
      </c>
      <c r="I24" s="1"/>
      <c r="J24" s="1"/>
      <c r="M24" s="1"/>
      <c r="N24" s="1"/>
      <c r="O24" s="2" t="s">
        <v>892</v>
      </c>
      <c r="P24" s="24" t="s">
        <v>16</v>
      </c>
      <c r="Q24" s="24" t="s">
        <v>355</v>
      </c>
      <c r="R24" s="24" t="s">
        <v>356</v>
      </c>
      <c r="S24" s="24" t="s">
        <v>357</v>
      </c>
      <c r="T24" s="24" t="s">
        <v>358</v>
      </c>
      <c r="U24" s="24" t="s">
        <v>14</v>
      </c>
      <c r="V24" s="36"/>
      <c r="W24" s="36"/>
      <c r="X24" s="1"/>
      <c r="Y24" s="1"/>
      <c r="Z24" s="1"/>
    </row>
    <row r="25" spans="2:26">
      <c r="B25" s="2" t="s">
        <v>387</v>
      </c>
      <c r="C25" s="2">
        <v>2.6280743264810964E-2</v>
      </c>
      <c r="D25" s="2">
        <v>2.45850148134963E-2</v>
      </c>
      <c r="E25" s="2">
        <v>5.3618808855012523E-2</v>
      </c>
      <c r="F25" s="2">
        <v>0.14356079614267125</v>
      </c>
      <c r="G25" s="2">
        <v>4.5821480789265956E-2</v>
      </c>
      <c r="H25" s="2">
        <v>6.6896525150111505E-2</v>
      </c>
      <c r="I25" s="1"/>
      <c r="J25" s="1"/>
      <c r="M25" s="1"/>
      <c r="O25" s="2" t="s">
        <v>387</v>
      </c>
      <c r="P25" s="42">
        <v>9.6161980179085577E-3</v>
      </c>
      <c r="Q25" s="42">
        <v>1.5040634415693423E-2</v>
      </c>
      <c r="R25" s="42">
        <v>3.6010113943080388E-2</v>
      </c>
      <c r="S25" s="42">
        <v>6.0773136455408459E-2</v>
      </c>
      <c r="T25" s="42">
        <v>2.8217343490658811E-2</v>
      </c>
      <c r="U25" s="42">
        <v>3.5010307076210265E-2</v>
      </c>
      <c r="V25" s="36"/>
      <c r="W25" s="36"/>
      <c r="Y25" s="1"/>
    </row>
    <row r="26" spans="2:26">
      <c r="B26" s="2" t="s">
        <v>393</v>
      </c>
      <c r="C26" s="2">
        <v>1.0197714692590985E-2</v>
      </c>
      <c r="D26" s="2">
        <v>1.5134324017444606E-2</v>
      </c>
      <c r="E26" s="2">
        <v>1.804688150401244E-2</v>
      </c>
      <c r="F26" s="2">
        <v>5.6081544462997172E-2</v>
      </c>
      <c r="G26" s="2">
        <v>1.3262253033049821E-2</v>
      </c>
      <c r="H26" s="2">
        <v>2.5631250754376007E-2</v>
      </c>
      <c r="I26" s="1"/>
      <c r="J26" s="1"/>
      <c r="M26" s="1"/>
      <c r="O26" s="2" t="s">
        <v>393</v>
      </c>
      <c r="P26" s="42">
        <v>6.7978705876918575E-4</v>
      </c>
      <c r="Q26" s="42">
        <v>3.1322883050842491E-3</v>
      </c>
      <c r="R26" s="42">
        <v>4.9391943045686247E-3</v>
      </c>
      <c r="S26" s="42">
        <v>3.7136300627285193E-3</v>
      </c>
      <c r="T26" s="42">
        <v>1.6645392530912741E-3</v>
      </c>
      <c r="U26" s="42">
        <v>3.3624129813681668E-3</v>
      </c>
      <c r="V26" s="36"/>
      <c r="W26" s="36"/>
      <c r="Y26" s="1"/>
    </row>
    <row r="27" spans="2:26">
      <c r="B27" s="2" t="s">
        <v>399</v>
      </c>
      <c r="C27" s="2">
        <v>8.8829252792589283E-3</v>
      </c>
      <c r="D27" s="2">
        <v>9.0170725669188791E-3</v>
      </c>
      <c r="E27" s="2">
        <v>1.409565816714432E-2</v>
      </c>
      <c r="F27" s="2">
        <v>4.8953451691421769E-2</v>
      </c>
      <c r="G27" s="2">
        <v>2.2552845454445289E-2</v>
      </c>
      <c r="H27" s="2">
        <v>2.3654756969982562E-2</v>
      </c>
      <c r="I27" s="1"/>
      <c r="J27" s="1"/>
      <c r="M27" s="1"/>
      <c r="O27" s="2" t="s">
        <v>399</v>
      </c>
      <c r="P27" s="42">
        <v>1.2941210897390818E-2</v>
      </c>
      <c r="Q27" s="42">
        <v>1.4842291063875029E-3</v>
      </c>
      <c r="R27" s="42">
        <v>4.5008355709376904E-2</v>
      </c>
      <c r="S27" s="42">
        <v>5.46807404747639E-2</v>
      </c>
      <c r="T27" s="42">
        <v>5.6927165514524765E-2</v>
      </c>
      <c r="U27" s="42">
        <v>3.9525122701263266E-2</v>
      </c>
      <c r="V27" s="36"/>
      <c r="W27" s="36"/>
      <c r="Y27" s="1"/>
    </row>
    <row r="28" spans="2:26">
      <c r="B28" s="1"/>
      <c r="C28" s="1"/>
      <c r="D28" s="1"/>
      <c r="E28" s="1"/>
      <c r="F28" s="1"/>
      <c r="G28" s="1"/>
      <c r="H28" s="1"/>
      <c r="I28" s="1"/>
      <c r="J28" s="1"/>
      <c r="M28" s="1"/>
      <c r="O28" s="40"/>
      <c r="P28" s="36"/>
      <c r="Q28" s="36"/>
      <c r="R28" s="36"/>
      <c r="S28" s="36"/>
      <c r="T28" s="36"/>
      <c r="U28" s="36"/>
      <c r="V28" s="36"/>
      <c r="W28" s="36"/>
      <c r="Y28" s="1"/>
    </row>
    <row r="29" spans="2:26">
      <c r="B29" s="1"/>
      <c r="C29" s="1"/>
      <c r="D29" s="1"/>
      <c r="E29" s="1"/>
      <c r="F29" s="1"/>
      <c r="G29" s="1"/>
      <c r="H29" s="1"/>
      <c r="I29" s="1"/>
      <c r="J29" s="1"/>
      <c r="O29" s="36"/>
      <c r="P29" s="36"/>
      <c r="Q29" s="36"/>
      <c r="R29" s="36"/>
      <c r="S29" s="36"/>
      <c r="T29" s="36"/>
      <c r="U29" s="36"/>
      <c r="V29" s="36"/>
      <c r="W29" s="36"/>
    </row>
    <row r="30" spans="2:26">
      <c r="B30" s="2" t="s">
        <v>893</v>
      </c>
      <c r="C30" s="24" t="s">
        <v>16</v>
      </c>
      <c r="D30" s="24" t="s">
        <v>355</v>
      </c>
      <c r="E30" s="24" t="s">
        <v>356</v>
      </c>
      <c r="F30" s="24" t="s">
        <v>357</v>
      </c>
      <c r="G30" s="24" t="s">
        <v>358</v>
      </c>
      <c r="H30" s="24" t="s">
        <v>14</v>
      </c>
      <c r="I30" s="1"/>
      <c r="J30" s="1"/>
      <c r="V30" s="36"/>
      <c r="W30" s="36"/>
    </row>
    <row r="31" spans="2:26">
      <c r="B31" s="2" t="s">
        <v>387</v>
      </c>
      <c r="C31" s="2">
        <v>0.14513823037783366</v>
      </c>
      <c r="D31" s="2">
        <v>5.2493042714624114E-2</v>
      </c>
      <c r="E31" s="2">
        <v>0.20353302499416995</v>
      </c>
      <c r="F31" s="2">
        <v>0.53241386267795254</v>
      </c>
      <c r="G31" s="2">
        <v>0.68288956666795175</v>
      </c>
      <c r="H31" s="2">
        <v>0.3678323742636746</v>
      </c>
      <c r="I31" s="1"/>
      <c r="J31" s="1"/>
      <c r="O31" s="2" t="s">
        <v>893</v>
      </c>
      <c r="P31" s="24" t="s">
        <v>16</v>
      </c>
      <c r="Q31" s="24" t="s">
        <v>355</v>
      </c>
      <c r="R31" s="24" t="s">
        <v>356</v>
      </c>
      <c r="S31" s="24" t="s">
        <v>357</v>
      </c>
      <c r="T31" s="24" t="s">
        <v>358</v>
      </c>
      <c r="U31" s="24" t="s">
        <v>14</v>
      </c>
      <c r="V31" s="36"/>
      <c r="W31" s="36"/>
    </row>
    <row r="32" spans="2:26">
      <c r="B32" s="2" t="s">
        <v>393</v>
      </c>
      <c r="C32" s="2">
        <v>3.1868326051259284E-2</v>
      </c>
      <c r="D32" s="2">
        <v>2.5158389465671092E-2</v>
      </c>
      <c r="E32" s="2">
        <v>0.15974870198159033</v>
      </c>
      <c r="F32" s="2">
        <v>2.7281191125711299E-2</v>
      </c>
      <c r="G32" s="2">
        <v>5.0790103466191429E-2</v>
      </c>
      <c r="H32" s="2">
        <v>6.5744596509791045E-2</v>
      </c>
      <c r="I32" s="1"/>
      <c r="J32" s="1"/>
      <c r="O32" s="2" t="s">
        <v>387</v>
      </c>
      <c r="P32" s="42">
        <v>1.5716591535239795E-2</v>
      </c>
      <c r="Q32" s="42">
        <v>5.82400451015898E-3</v>
      </c>
      <c r="R32" s="42">
        <v>3.7207016511361934E-2</v>
      </c>
      <c r="S32" s="42">
        <v>6.6226015456548243E-2</v>
      </c>
      <c r="T32" s="42">
        <v>7.538912214730864E-2</v>
      </c>
      <c r="U32" s="42">
        <v>4.6161539656344452E-2</v>
      </c>
      <c r="V32" s="36"/>
      <c r="W32" s="36"/>
    </row>
    <row r="33" spans="2:24">
      <c r="B33" s="2" t="s">
        <v>399</v>
      </c>
      <c r="C33" s="2">
        <v>3.7464168304453017E-2</v>
      </c>
      <c r="D33" s="2">
        <v>0.11789769782744973</v>
      </c>
      <c r="E33" s="2">
        <v>0.11469296202063682</v>
      </c>
      <c r="F33" s="2">
        <v>0.23611233509209081</v>
      </c>
      <c r="G33" s="2">
        <v>0.25466798824520304</v>
      </c>
      <c r="H33" s="2">
        <v>0.1808427457963451</v>
      </c>
      <c r="I33" s="1"/>
      <c r="J33" s="1"/>
      <c r="O33" s="2" t="s">
        <v>393</v>
      </c>
      <c r="P33" s="42">
        <v>3.0465569714892139E-3</v>
      </c>
      <c r="Q33" s="42">
        <v>3.0967453979587195E-3</v>
      </c>
      <c r="R33" s="42">
        <v>1.6149872100150672E-2</v>
      </c>
      <c r="S33" s="42">
        <v>4.0468574913063906E-3</v>
      </c>
      <c r="T33" s="42">
        <v>1.0461366017214483E-2</v>
      </c>
      <c r="U33" s="42">
        <v>8.4387102516575649E-3</v>
      </c>
      <c r="V33" s="36"/>
      <c r="W33" s="36"/>
    </row>
    <row r="34" spans="2:24">
      <c r="O34" s="2" t="s">
        <v>399</v>
      </c>
      <c r="P34" s="42">
        <v>1.2941623951216412E-2</v>
      </c>
      <c r="Q34" s="42">
        <v>5.6433642439862972E-2</v>
      </c>
      <c r="R34" s="42">
        <v>3.549467311875628E-2</v>
      </c>
      <c r="S34" s="42">
        <v>9.5226929655530548E-2</v>
      </c>
      <c r="T34" s="42">
        <v>4.7209360519873129E-2</v>
      </c>
      <c r="U34" s="42">
        <v>5.8591151433505725E-2</v>
      </c>
    </row>
    <row r="37" spans="2:24" ht="15" thickBot="1"/>
    <row r="38" spans="2:24" ht="18.600000000000001" thickBot="1">
      <c r="B38" s="48" t="s">
        <v>37</v>
      </c>
      <c r="O38" s="48" t="s">
        <v>35</v>
      </c>
      <c r="P38" s="1"/>
      <c r="Q38" s="1"/>
      <c r="R38" s="1"/>
      <c r="S38" s="1"/>
      <c r="W38" s="1"/>
    </row>
    <row r="39" spans="2:24">
      <c r="O39" s="1"/>
      <c r="P39" s="1"/>
      <c r="Q39" s="1"/>
      <c r="R39" s="1"/>
      <c r="S39" s="1"/>
      <c r="W39" s="1"/>
    </row>
    <row r="40" spans="2:24">
      <c r="B40" s="2" t="s">
        <v>889</v>
      </c>
      <c r="C40" s="24" t="s">
        <v>16</v>
      </c>
      <c r="D40" s="24" t="s">
        <v>355</v>
      </c>
      <c r="E40" s="24" t="s">
        <v>356</v>
      </c>
      <c r="F40" s="24" t="s">
        <v>357</v>
      </c>
      <c r="G40" s="24" t="s">
        <v>358</v>
      </c>
      <c r="H40" s="24" t="s">
        <v>14</v>
      </c>
      <c r="I40" s="24" t="s">
        <v>873</v>
      </c>
      <c r="J40" s="1"/>
      <c r="K40" s="1"/>
      <c r="O40" s="2" t="s">
        <v>889</v>
      </c>
      <c r="P40" s="24" t="s">
        <v>16</v>
      </c>
      <c r="Q40" s="24" t="s">
        <v>355</v>
      </c>
      <c r="R40" s="24" t="s">
        <v>356</v>
      </c>
      <c r="S40" s="24" t="s">
        <v>357</v>
      </c>
      <c r="T40" s="24" t="s">
        <v>358</v>
      </c>
      <c r="U40" s="24" t="s">
        <v>14</v>
      </c>
      <c r="V40" s="24" t="s">
        <v>873</v>
      </c>
      <c r="W40" s="1"/>
      <c r="X40" s="1"/>
    </row>
    <row r="41" spans="2:24">
      <c r="B41" s="2" t="s">
        <v>31</v>
      </c>
      <c r="C41" s="2">
        <v>7.1323888048925436E-4</v>
      </c>
      <c r="D41" s="2">
        <v>6.9287412697051852E-4</v>
      </c>
      <c r="E41" s="2">
        <v>3.206484445715761E-4</v>
      </c>
      <c r="F41" s="2">
        <v>6.0643521153390942E-4</v>
      </c>
      <c r="G41" s="2">
        <v>3.3751501598298728E-3</v>
      </c>
      <c r="H41" s="2">
        <v>1.2487769857264699E-3</v>
      </c>
      <c r="I41" s="2">
        <v>1</v>
      </c>
      <c r="J41" s="1"/>
      <c r="K41" s="1"/>
      <c r="O41" s="2" t="s">
        <v>31</v>
      </c>
      <c r="P41" s="2">
        <v>3.6023995185792634E-2</v>
      </c>
      <c r="Q41" s="2">
        <v>4.6236072321487694E-2</v>
      </c>
      <c r="R41" s="2">
        <v>0.17475297249865721</v>
      </c>
      <c r="S41" s="2">
        <v>9.7814402222765936E-3</v>
      </c>
      <c r="T41" s="2">
        <v>4.9785363128854718E-2</v>
      </c>
      <c r="U41" s="2">
        <v>7.0138962042819053E-2</v>
      </c>
      <c r="V41" s="2">
        <v>1</v>
      </c>
      <c r="W41" s="1"/>
      <c r="X41" s="1"/>
    </row>
    <row r="42" spans="2:24">
      <c r="B42" s="2" t="s">
        <v>333</v>
      </c>
      <c r="C42" s="2">
        <v>2.3137866053856936E-2</v>
      </c>
      <c r="D42" s="2">
        <v>1.091755650345385E-2</v>
      </c>
      <c r="E42" s="2"/>
      <c r="F42" s="2">
        <v>1.3110618685246669E-2</v>
      </c>
      <c r="G42" s="2">
        <v>8.1401697932479922E-2</v>
      </c>
      <c r="H42" s="2">
        <v>3.514329104039348E-2</v>
      </c>
      <c r="I42" s="2">
        <v>1</v>
      </c>
      <c r="J42" s="1"/>
      <c r="K42" s="1"/>
      <c r="O42" s="2" t="s">
        <v>333</v>
      </c>
      <c r="P42" s="2">
        <v>1.0289354244090974E-3</v>
      </c>
      <c r="Q42" s="2">
        <v>7.9032232408214522E-3</v>
      </c>
      <c r="R42" s="2">
        <v>3.9018937203849475E-3</v>
      </c>
      <c r="S42" s="2">
        <v>5.5712639465897214E-3</v>
      </c>
      <c r="T42" s="2">
        <v>3.308579073341561E-3</v>
      </c>
      <c r="U42" s="2">
        <v>5.1712399952844202E-3</v>
      </c>
      <c r="V42" s="2">
        <v>1</v>
      </c>
      <c r="W42" s="1"/>
      <c r="X42" s="1"/>
    </row>
    <row r="43" spans="2:24">
      <c r="B43" s="2" t="s">
        <v>340</v>
      </c>
      <c r="C43" s="2">
        <v>4.2784495219789881E-5</v>
      </c>
      <c r="D43" s="2">
        <v>3.7841416593911107E-5</v>
      </c>
      <c r="E43" s="2">
        <v>5.816210442143545E-5</v>
      </c>
      <c r="F43" s="2">
        <v>3.2944591271153243E-5</v>
      </c>
      <c r="G43" s="2">
        <v>2.1272189868156035E-4</v>
      </c>
      <c r="H43" s="2">
        <v>8.5417502742015037E-5</v>
      </c>
      <c r="I43" s="2">
        <v>1</v>
      </c>
      <c r="J43" s="1"/>
      <c r="K43" s="1"/>
      <c r="O43" s="2" t="s">
        <v>340</v>
      </c>
      <c r="P43" s="2">
        <v>2.3111383935737907E-3</v>
      </c>
      <c r="Q43" s="2">
        <v>2.4412350674778921E-3</v>
      </c>
      <c r="R43" s="2">
        <v>5.8299443378106921E-4</v>
      </c>
      <c r="S43" s="2">
        <v>1.060929798787656E-2</v>
      </c>
      <c r="T43" s="2">
        <v>1.4467026853474201E-3</v>
      </c>
      <c r="U43" s="2">
        <v>3.7700575436207355E-3</v>
      </c>
      <c r="V43" s="2">
        <v>1</v>
      </c>
      <c r="W43" s="1"/>
      <c r="X43" s="1"/>
    </row>
    <row r="44" spans="2:24">
      <c r="B44" s="2" t="s">
        <v>346</v>
      </c>
      <c r="C44" s="2">
        <v>1.5462307583915794E-5</v>
      </c>
      <c r="D44" s="2">
        <v>1.8226453976381303E-5</v>
      </c>
      <c r="E44" s="2">
        <v>4.1698625199815603E-5</v>
      </c>
      <c r="F44" s="2">
        <v>3.8014712859930067E-5</v>
      </c>
      <c r="G44" s="2">
        <v>9.0959535447743416E-5</v>
      </c>
      <c r="H44" s="2">
        <v>4.7224831870967598E-5</v>
      </c>
      <c r="I44" s="2">
        <v>1</v>
      </c>
      <c r="J44" s="1"/>
      <c r="K44" s="1"/>
      <c r="O44" s="2" t="s">
        <v>346</v>
      </c>
      <c r="P44" s="2">
        <v>5.7066539629600267E-4</v>
      </c>
      <c r="Q44" s="2">
        <v>4.8912438763216446E-3</v>
      </c>
      <c r="R44" s="2">
        <v>4.9283859756935108E-3</v>
      </c>
      <c r="S44" s="2">
        <v>3.5480740402340956E-3</v>
      </c>
      <c r="T44" s="2">
        <v>2.5687543597497724E-3</v>
      </c>
      <c r="U44" s="2">
        <v>3.9841145629997557E-3</v>
      </c>
      <c r="V44" s="2">
        <v>1</v>
      </c>
      <c r="W44" s="1"/>
      <c r="X44" s="1"/>
    </row>
    <row r="45" spans="2:24">
      <c r="B45" s="1"/>
      <c r="C45" s="1"/>
      <c r="D45" s="1"/>
      <c r="E45" s="1"/>
      <c r="F45" s="1"/>
      <c r="G45" s="1"/>
      <c r="H45" s="1"/>
      <c r="I45" s="1"/>
      <c r="J45" s="1"/>
      <c r="K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2:24">
      <c r="B46" s="1"/>
      <c r="C46" s="1"/>
      <c r="D46" s="1"/>
      <c r="E46" s="1"/>
      <c r="F46" s="1"/>
      <c r="G46" s="1"/>
      <c r="H46" s="1"/>
      <c r="I46" s="18"/>
      <c r="J46" s="1"/>
      <c r="K46" s="18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2:24">
      <c r="B47" s="2" t="s">
        <v>890</v>
      </c>
      <c r="C47" s="24" t="s">
        <v>16</v>
      </c>
      <c r="D47" s="24" t="s">
        <v>355</v>
      </c>
      <c r="E47" s="24" t="s">
        <v>356</v>
      </c>
      <c r="F47" s="24" t="s">
        <v>357</v>
      </c>
      <c r="G47" s="24" t="s">
        <v>358</v>
      </c>
      <c r="H47" s="24" t="s">
        <v>386</v>
      </c>
      <c r="I47" s="24" t="s">
        <v>14</v>
      </c>
      <c r="J47" s="24" t="s">
        <v>873</v>
      </c>
      <c r="K47" s="1"/>
      <c r="O47" s="2" t="s">
        <v>890</v>
      </c>
      <c r="P47" s="24" t="s">
        <v>16</v>
      </c>
      <c r="Q47" s="24" t="s">
        <v>355</v>
      </c>
      <c r="R47" s="24" t="s">
        <v>356</v>
      </c>
      <c r="S47" s="24" t="s">
        <v>357</v>
      </c>
      <c r="T47" s="24" t="s">
        <v>358</v>
      </c>
      <c r="U47" s="24" t="s">
        <v>386</v>
      </c>
      <c r="V47" s="24" t="s">
        <v>14</v>
      </c>
      <c r="W47" s="24" t="s">
        <v>873</v>
      </c>
      <c r="X47" s="1"/>
    </row>
    <row r="48" spans="2:24">
      <c r="B48" s="2" t="s">
        <v>387</v>
      </c>
      <c r="C48" s="2">
        <v>3.6503398364967701E-3</v>
      </c>
      <c r="D48" s="2">
        <v>1.9728666095236054E-2</v>
      </c>
      <c r="E48" s="2">
        <v>1.1131735125418452E-2</v>
      </c>
      <c r="F48" s="2">
        <v>1.0273945338716296E-4</v>
      </c>
      <c r="G48" s="2">
        <v>4.949287128708323E-4</v>
      </c>
      <c r="H48" s="2">
        <v>8.6636169966131538E-3</v>
      </c>
      <c r="I48" s="2">
        <v>8.0243372767051305E-3</v>
      </c>
      <c r="J48" s="2">
        <f>TTEST(D48:H48,D60:G60,2,3)</f>
        <v>0.13265062029820471</v>
      </c>
      <c r="K48" s="18"/>
      <c r="O48" s="2" t="s">
        <v>387</v>
      </c>
      <c r="P48" s="2">
        <v>4.2230947991881969E-4</v>
      </c>
      <c r="Q48" s="2">
        <v>1.6207367327753814E-3</v>
      </c>
      <c r="R48" s="2">
        <v>2.9351933977077986E-3</v>
      </c>
      <c r="S48" s="2">
        <v>4.808297295726427E-4</v>
      </c>
      <c r="T48" s="2">
        <v>2.2195905441934069E-3</v>
      </c>
      <c r="U48" s="2">
        <v>1.1712093249968505E-3</v>
      </c>
      <c r="V48" s="2">
        <v>1.685511945849216E-3</v>
      </c>
      <c r="W48" s="2">
        <f>TTEST(Q48:U48,Q60:T60,2,3)</f>
        <v>0.35326215718967369</v>
      </c>
      <c r="X48" s="1"/>
    </row>
    <row r="49" spans="2:24">
      <c r="B49" s="2" t="s">
        <v>393</v>
      </c>
      <c r="C49" s="2">
        <v>7.5024098353565112E-3</v>
      </c>
      <c r="D49" s="2">
        <v>3.4947777681309737E-2</v>
      </c>
      <c r="E49" s="2">
        <v>2.6445514592995586E-4</v>
      </c>
      <c r="F49" s="2">
        <v>1.2706728508812515E-2</v>
      </c>
      <c r="G49" s="2">
        <v>7.1817231823545916E-3</v>
      </c>
      <c r="H49" s="1"/>
      <c r="I49" s="2">
        <v>1.3775171129601698E-2</v>
      </c>
      <c r="J49" s="2">
        <f>TTEST(D49:G49,D61:G61,2,3)</f>
        <v>0.47323958315184994</v>
      </c>
      <c r="K49" s="1"/>
      <c r="O49" s="2" t="s">
        <v>393</v>
      </c>
      <c r="P49" s="2">
        <v>8.0939156519576832E-5</v>
      </c>
      <c r="Q49" s="2">
        <v>1.3737238497244514E-4</v>
      </c>
      <c r="R49" s="2">
        <v>9.2604231213698195E-6</v>
      </c>
      <c r="S49" s="2">
        <v>3.927414012162435E-4</v>
      </c>
      <c r="T49" s="2">
        <v>2.3619323248409501E-4</v>
      </c>
      <c r="U49" s="1"/>
      <c r="V49" s="2">
        <v>1.9389186044853837E-4</v>
      </c>
      <c r="W49" s="2">
        <f>TTEST(Q49:T49,Q61:T61,2,3)</f>
        <v>8.5002559038934847E-2</v>
      </c>
      <c r="X49" s="1"/>
    </row>
    <row r="50" spans="2:24">
      <c r="B50" s="2" t="s">
        <v>399</v>
      </c>
      <c r="C50" s="2">
        <v>4.4517868439528001E-3</v>
      </c>
      <c r="D50" s="2">
        <v>2.2888972463207209E-2</v>
      </c>
      <c r="E50" s="2">
        <v>2.4009815750435613E-2</v>
      </c>
      <c r="F50" s="2">
        <v>3.4936459650853395E-2</v>
      </c>
      <c r="G50" s="2">
        <v>4.15577832802091E-2</v>
      </c>
      <c r="H50" s="1"/>
      <c r="I50" s="2">
        <f>0.0308482577861763</f>
        <v>3.0848257786176302E-2</v>
      </c>
      <c r="J50" s="34">
        <f>TTEST(D50:G50,D62:G62,2,3)</f>
        <v>3.5310576119883565E-2</v>
      </c>
      <c r="K50" s="46" t="s">
        <v>875</v>
      </c>
      <c r="O50" s="2" t="s">
        <v>399</v>
      </c>
      <c r="P50" s="2">
        <v>1.8926686492565825E-4</v>
      </c>
      <c r="Q50" s="2">
        <v>1.8078070436484909E-4</v>
      </c>
      <c r="R50" s="2">
        <v>1.2513907862249826E-4</v>
      </c>
      <c r="S50" s="2">
        <v>1.7759660795555902E-4</v>
      </c>
      <c r="T50" s="2">
        <v>9.1651815561144166E-4</v>
      </c>
      <c r="U50" s="1"/>
      <c r="V50" s="2">
        <v>3.5000863663858702E-4</v>
      </c>
      <c r="W50" s="34">
        <f>TTEST(Q50:T50,Q62:T62,2,3)</f>
        <v>3.5326438087479286E-4</v>
      </c>
      <c r="X50" s="46" t="s">
        <v>887</v>
      </c>
    </row>
    <row r="51" spans="2:24">
      <c r="B51" s="1"/>
      <c r="C51" s="1"/>
      <c r="D51" s="1"/>
      <c r="E51" s="1"/>
      <c r="F51" s="1"/>
      <c r="G51" s="1"/>
      <c r="H51" s="1"/>
      <c r="I51" s="1"/>
      <c r="J51" s="1"/>
      <c r="K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>
      <c r="B52" s="1"/>
      <c r="C52" s="1"/>
      <c r="D52" s="1"/>
      <c r="E52" s="1"/>
      <c r="F52" s="1"/>
      <c r="G52" s="1"/>
      <c r="H52" s="1"/>
      <c r="I52" s="1"/>
      <c r="J52" s="1"/>
      <c r="K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>
      <c r="B53" s="2" t="s">
        <v>891</v>
      </c>
      <c r="C53" s="45" t="s">
        <v>16</v>
      </c>
      <c r="D53" s="24" t="s">
        <v>355</v>
      </c>
      <c r="E53" s="24" t="s">
        <v>356</v>
      </c>
      <c r="F53" s="24" t="s">
        <v>357</v>
      </c>
      <c r="G53" s="24" t="s">
        <v>358</v>
      </c>
      <c r="H53" s="24" t="s">
        <v>14</v>
      </c>
      <c r="I53" s="24" t="s">
        <v>873</v>
      </c>
      <c r="J53" s="1"/>
      <c r="K53" s="1"/>
      <c r="O53" s="2" t="s">
        <v>891</v>
      </c>
      <c r="P53" s="24" t="s">
        <v>16</v>
      </c>
      <c r="Q53" s="24" t="s">
        <v>355</v>
      </c>
      <c r="R53" s="24" t="s">
        <v>356</v>
      </c>
      <c r="S53" s="24" t="s">
        <v>357</v>
      </c>
      <c r="T53" s="24" t="s">
        <v>358</v>
      </c>
      <c r="U53" s="24" t="s">
        <v>14</v>
      </c>
      <c r="V53" s="24" t="s">
        <v>873</v>
      </c>
      <c r="W53" s="1"/>
      <c r="X53" s="1"/>
    </row>
    <row r="54" spans="2:24">
      <c r="B54" s="2" t="s">
        <v>387</v>
      </c>
      <c r="C54" s="2">
        <v>5.0822706993664604E-3</v>
      </c>
      <c r="D54" s="2">
        <v>2.0997662275796015E-2</v>
      </c>
      <c r="E54" s="2">
        <v>3.0603430440890908E-2</v>
      </c>
      <c r="F54" s="2">
        <v>1.3076897055037793E-2</v>
      </c>
      <c r="G54" s="2">
        <v>7.1421728552602259E-3</v>
      </c>
      <c r="H54" s="2">
        <f>0.0179550406567462</f>
        <v>1.7955040656746201E-2</v>
      </c>
      <c r="I54" s="2">
        <f>TTEST(D54:G54,D67:G67,2,3)</f>
        <v>7.1327555999607856E-2</v>
      </c>
      <c r="J54" s="1"/>
      <c r="K54" s="1"/>
      <c r="O54" s="2" t="s">
        <v>387</v>
      </c>
      <c r="P54" s="2">
        <v>1.2854763941296092E-3</v>
      </c>
      <c r="Q54" s="2">
        <v>3.4921176290475513E-3</v>
      </c>
      <c r="R54" s="2">
        <v>8.5002291710807466E-3</v>
      </c>
      <c r="S54" s="2">
        <v>4.4444133798301104E-3</v>
      </c>
      <c r="T54" s="2">
        <v>2.7261038044109312E-3</v>
      </c>
      <c r="U54" s="2">
        <f>0.00479071599609233</f>
        <v>4.7907159960923302E-3</v>
      </c>
      <c r="V54" s="34">
        <f>TTEST(Q54:T54,Q66:T66,2,3)</f>
        <v>2.6953611775394917E-2</v>
      </c>
      <c r="W54" s="46" t="s">
        <v>875</v>
      </c>
      <c r="X54" s="1"/>
    </row>
    <row r="55" spans="2:24">
      <c r="B55" s="2" t="s">
        <v>393</v>
      </c>
      <c r="C55" s="2">
        <v>1.2528298622644639E-2</v>
      </c>
      <c r="D55" s="2">
        <v>0.10922060246717089</v>
      </c>
      <c r="E55" s="2">
        <v>6.099812046618884E-2</v>
      </c>
      <c r="F55" s="2">
        <v>5.2587372094539349E-2</v>
      </c>
      <c r="G55" s="2">
        <v>7.8840415679474085E-2</v>
      </c>
      <c r="H55" s="2">
        <f>0.0754116276768433</f>
        <v>7.5411627676843299E-2</v>
      </c>
      <c r="I55" s="2">
        <f>TTEST(D55:G55,D68:G68,2,3)</f>
        <v>0.37805990131826173</v>
      </c>
      <c r="J55" s="1"/>
      <c r="K55" s="1"/>
      <c r="O55" s="2" t="s">
        <v>393</v>
      </c>
      <c r="P55" s="2">
        <v>6.2265086434621568E-4</v>
      </c>
      <c r="Q55" s="2">
        <v>3.4299532607490369E-3</v>
      </c>
      <c r="R55" s="2">
        <v>1.5288754038329422E-3</v>
      </c>
      <c r="S55" s="2">
        <v>1.5527760380551012E-3</v>
      </c>
      <c r="T55" s="2">
        <v>4.2971453544650494E-4</v>
      </c>
      <c r="U55" s="2">
        <f>0.0017353298095209</f>
        <v>1.7353298095209E-3</v>
      </c>
      <c r="V55" s="34">
        <f>TTEST(Q55:T55,Q67:T67,2,3)</f>
        <v>3.2902281241831866E-2</v>
      </c>
      <c r="W55" s="46" t="s">
        <v>875</v>
      </c>
      <c r="X55" s="1"/>
    </row>
    <row r="56" spans="2:24">
      <c r="B56" s="2" t="s">
        <v>399</v>
      </c>
      <c r="C56" s="2">
        <v>3.1925839382904984E-3</v>
      </c>
      <c r="D56" s="2">
        <v>1.0279990505579116E-2</v>
      </c>
      <c r="E56" s="2">
        <v>1.2270619764492473E-2</v>
      </c>
      <c r="F56" s="2">
        <v>2.0446404127955974E-2</v>
      </c>
      <c r="G56" s="2">
        <v>5.0761978628381232E-3</v>
      </c>
      <c r="H56" s="2">
        <f>0.0120183030652164</f>
        <v>1.2018303065216399E-2</v>
      </c>
      <c r="I56" s="34">
        <f>TTEST(D56:G56,D69:G69,2,3)</f>
        <v>1.6603310974518021E-2</v>
      </c>
      <c r="J56" s="46" t="s">
        <v>875</v>
      </c>
      <c r="K56" s="1"/>
      <c r="O56" s="2" t="s">
        <v>399</v>
      </c>
      <c r="P56" s="2">
        <v>3.7582326734818374E-3</v>
      </c>
      <c r="Q56" s="2">
        <v>3.0035647910138102E-2</v>
      </c>
      <c r="R56" s="2">
        <v>1.8963002317838845E-2</v>
      </c>
      <c r="S56" s="2">
        <v>8.9191506965343257E-3</v>
      </c>
      <c r="T56" s="2">
        <v>2.1258496102554619E-2</v>
      </c>
      <c r="U56" s="2">
        <f>0.0197940742567665</f>
        <v>1.9794074256766499E-2</v>
      </c>
      <c r="V56" s="34">
        <f>TTEST(Q56:T56,Q68:T68,2,3)</f>
        <v>2.9054452112698411E-2</v>
      </c>
      <c r="W56" s="46" t="s">
        <v>875</v>
      </c>
      <c r="X56" s="1"/>
    </row>
    <row r="57" spans="2:24">
      <c r="B57" s="1"/>
      <c r="C57" s="1"/>
      <c r="D57" s="1"/>
      <c r="E57" s="1"/>
      <c r="F57" s="1"/>
      <c r="G57" s="1"/>
      <c r="H57" s="1"/>
      <c r="I57" s="1"/>
      <c r="J57" s="1"/>
      <c r="K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>
      <c r="B58" s="1"/>
      <c r="C58" s="1"/>
      <c r="D58" s="1"/>
      <c r="E58" s="1"/>
      <c r="F58" s="1"/>
      <c r="G58" s="1"/>
      <c r="H58" s="1"/>
      <c r="I58" s="1"/>
      <c r="J58" s="1"/>
      <c r="K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>
      <c r="B59" s="2" t="s">
        <v>892</v>
      </c>
      <c r="C59" s="24" t="s">
        <v>16</v>
      </c>
      <c r="D59" s="24" t="s">
        <v>355</v>
      </c>
      <c r="E59" s="24" t="s">
        <v>356</v>
      </c>
      <c r="F59" s="24" t="s">
        <v>357</v>
      </c>
      <c r="G59" s="24" t="s">
        <v>358</v>
      </c>
      <c r="H59" s="24" t="s">
        <v>14</v>
      </c>
      <c r="I59" s="1"/>
      <c r="J59" s="1"/>
      <c r="K59" s="1"/>
      <c r="O59" s="2" t="s">
        <v>892</v>
      </c>
      <c r="P59" s="24" t="s">
        <v>16</v>
      </c>
      <c r="Q59" s="24" t="s">
        <v>355</v>
      </c>
      <c r="R59" s="24" t="s">
        <v>356</v>
      </c>
      <c r="S59" s="24" t="s">
        <v>357</v>
      </c>
      <c r="T59" s="24" t="s">
        <v>358</v>
      </c>
      <c r="U59" s="24" t="s">
        <v>14</v>
      </c>
      <c r="V59" s="1"/>
      <c r="W59" s="1"/>
      <c r="X59" s="1"/>
    </row>
    <row r="60" spans="2:24">
      <c r="B60" s="2" t="s">
        <v>387</v>
      </c>
      <c r="C60" s="2">
        <v>4.5189957825098975E-4</v>
      </c>
      <c r="D60" s="2">
        <v>3.5555216504964358E-4</v>
      </c>
      <c r="E60" s="2">
        <v>8.6168744602006288E-4</v>
      </c>
      <c r="F60" s="2">
        <v>9.1502292192676511E-4</v>
      </c>
      <c r="G60" s="2">
        <v>2.4466050563362166E-3</v>
      </c>
      <c r="H60" s="2">
        <v>1.1447168973331722E-3</v>
      </c>
      <c r="I60" s="1"/>
      <c r="J60" s="1"/>
      <c r="K60" s="1"/>
      <c r="O60" s="2" t="s">
        <v>387</v>
      </c>
      <c r="P60" s="2">
        <v>3.7035205905111231E-4</v>
      </c>
      <c r="Q60" s="2">
        <v>3.6528600117148049E-4</v>
      </c>
      <c r="R60" s="2">
        <v>1.1306638001503332E-3</v>
      </c>
      <c r="S60" s="2">
        <v>8.8245907026005541E-4</v>
      </c>
      <c r="T60" s="2">
        <v>2.1299486018269533E-3</v>
      </c>
      <c r="U60" s="2">
        <v>1.1270893683522055E-3</v>
      </c>
      <c r="V60" s="1"/>
      <c r="W60" s="1"/>
      <c r="X60" s="1"/>
    </row>
    <row r="61" spans="2:24">
      <c r="B61" s="2" t="s">
        <v>393</v>
      </c>
      <c r="C61" s="2">
        <v>1.3937165926914351E-3</v>
      </c>
      <c r="D61" s="2">
        <v>1.5910647933228026E-2</v>
      </c>
      <c r="E61" s="2">
        <v>2.205660426495519E-2</v>
      </c>
      <c r="F61" s="2">
        <v>2.1483168308378306E-2</v>
      </c>
      <c r="G61" s="2">
        <v>2.0403118283854074E-2</v>
      </c>
      <c r="H61" s="2">
        <v>1.9963384697603899E-2</v>
      </c>
      <c r="I61" s="1"/>
      <c r="J61" s="1"/>
      <c r="K61" s="1"/>
      <c r="O61" s="2" t="s">
        <v>393</v>
      </c>
      <c r="P61" s="2">
        <v>8.2762509338668154E-4</v>
      </c>
      <c r="Q61" s="2">
        <v>9.4020122904099038E-4</v>
      </c>
      <c r="R61" s="2">
        <v>4.4342539295549807E-3</v>
      </c>
      <c r="S61" s="2">
        <v>2.7397179694206887E-3</v>
      </c>
      <c r="T61" s="2">
        <v>1.0260262383266178E-3</v>
      </c>
      <c r="U61" s="2">
        <v>2.2850498415858192E-3</v>
      </c>
      <c r="V61" s="1"/>
      <c r="W61" s="1"/>
      <c r="X61" s="1"/>
    </row>
    <row r="62" spans="2:24">
      <c r="B62" s="2" t="s">
        <v>399</v>
      </c>
      <c r="C62" s="2">
        <v>6.7876822396058306E-3</v>
      </c>
      <c r="D62" s="2">
        <v>6.6559130605776669E-4</v>
      </c>
      <c r="E62" s="2">
        <v>2.8223350298870176E-2</v>
      </c>
      <c r="F62" s="2">
        <v>1.4334100285197566E-3</v>
      </c>
      <c r="G62" s="2">
        <v>1.1409905541622104E-3</v>
      </c>
      <c r="H62" s="2">
        <v>7.8658355469024763E-3</v>
      </c>
      <c r="I62" s="1"/>
      <c r="J62" s="1"/>
      <c r="K62" s="1"/>
      <c r="O62" s="2" t="s">
        <v>399</v>
      </c>
      <c r="P62" s="2">
        <v>1.1489072923572323E-4</v>
      </c>
      <c r="Q62" s="2">
        <v>2.254119131265719E-3</v>
      </c>
      <c r="R62" s="2">
        <v>1.9554063914330251E-3</v>
      </c>
      <c r="S62" s="2">
        <v>2.4602378850317338E-3</v>
      </c>
      <c r="T62" s="2">
        <v>2.4217225908302244E-3</v>
      </c>
      <c r="U62" s="2">
        <v>2.2728714996401757E-3</v>
      </c>
      <c r="V62" s="1"/>
      <c r="W62" s="1"/>
      <c r="X62" s="1"/>
    </row>
    <row r="63" spans="2:24">
      <c r="B63" s="2"/>
      <c r="C63" s="1"/>
      <c r="D63" s="1"/>
      <c r="E63" s="1"/>
      <c r="F63" s="1"/>
      <c r="G63" s="1"/>
      <c r="H63" s="1"/>
      <c r="I63" s="1"/>
      <c r="J63" s="1"/>
      <c r="K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>
      <c r="B64" s="1"/>
      <c r="C64" s="1"/>
      <c r="D64" s="1"/>
      <c r="E64" s="1"/>
      <c r="F64" s="1"/>
      <c r="G64" s="1"/>
      <c r="H64" s="1"/>
      <c r="I64" s="1"/>
      <c r="J64" s="1"/>
      <c r="K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>
      <c r="I65" s="1"/>
      <c r="J65" s="1"/>
      <c r="K65" s="1"/>
      <c r="O65" s="2" t="s">
        <v>893</v>
      </c>
      <c r="P65" s="24" t="s">
        <v>16</v>
      </c>
      <c r="Q65" s="24" t="s">
        <v>355</v>
      </c>
      <c r="R65" s="24" t="s">
        <v>356</v>
      </c>
      <c r="S65" s="24" t="s">
        <v>357</v>
      </c>
      <c r="T65" s="24" t="s">
        <v>358</v>
      </c>
      <c r="U65" s="24" t="s">
        <v>14</v>
      </c>
      <c r="V65" s="1"/>
      <c r="W65" s="1"/>
      <c r="X65" s="1"/>
    </row>
    <row r="66" spans="2:24">
      <c r="B66" s="2" t="s">
        <v>893</v>
      </c>
      <c r="C66" s="24" t="s">
        <v>16</v>
      </c>
      <c r="D66" s="24" t="s">
        <v>355</v>
      </c>
      <c r="E66" s="24" t="s">
        <v>356</v>
      </c>
      <c r="F66" s="24" t="s">
        <v>357</v>
      </c>
      <c r="G66" s="24" t="s">
        <v>358</v>
      </c>
      <c r="H66" s="24" t="s">
        <v>14</v>
      </c>
      <c r="I66" s="1"/>
      <c r="J66" s="1"/>
      <c r="K66" s="1"/>
      <c r="O66" s="2" t="s">
        <v>387</v>
      </c>
      <c r="P66" s="2">
        <v>4.8012598106517943E-4</v>
      </c>
      <c r="Q66" s="2">
        <v>9.957349560434146E-3</v>
      </c>
      <c r="R66" s="2">
        <v>1.0688885527031951E-2</v>
      </c>
      <c r="S66" s="2">
        <v>9.2493057129691778E-3</v>
      </c>
      <c r="T66" s="2">
        <v>8.4464244199188489E-3</v>
      </c>
      <c r="U66" s="2">
        <v>9.5854913050885306E-3</v>
      </c>
      <c r="V66" s="1"/>
      <c r="W66" s="1"/>
      <c r="X66" s="1"/>
    </row>
    <row r="67" spans="2:24">
      <c r="B67" s="2" t="s">
        <v>387</v>
      </c>
      <c r="C67" s="2">
        <v>3.6843472191311809E-2</v>
      </c>
      <c r="D67" s="2">
        <v>1.8248730261453794E-2</v>
      </c>
      <c r="E67" s="2">
        <v>0.12528026274701895</v>
      </c>
      <c r="F67" s="2">
        <v>0.1329791112089686</v>
      </c>
      <c r="G67" s="2">
        <v>0.19585652665983941</v>
      </c>
      <c r="H67" s="2">
        <v>0.11809115771932019</v>
      </c>
      <c r="I67" s="1"/>
      <c r="J67" s="1"/>
      <c r="K67" s="1"/>
      <c r="O67" s="2" t="s">
        <v>393</v>
      </c>
      <c r="P67" s="2">
        <v>2.8769945518426214E-3</v>
      </c>
      <c r="Q67" s="2">
        <v>7.4794757223273448E-3</v>
      </c>
      <c r="R67" s="2">
        <v>1.7603087151912819E-2</v>
      </c>
      <c r="S67" s="2">
        <v>6.9677173166572065E-3</v>
      </c>
      <c r="T67" s="2">
        <v>1.672458257527094E-2</v>
      </c>
      <c r="U67" s="2">
        <v>1.2193715691542078E-2</v>
      </c>
      <c r="V67" s="1"/>
      <c r="W67" s="1"/>
      <c r="X67" s="1"/>
    </row>
    <row r="68" spans="2:24">
      <c r="B68" s="2" t="s">
        <v>393</v>
      </c>
      <c r="C68" s="2">
        <v>5.0816114650393387E-2</v>
      </c>
      <c r="D68" s="2">
        <v>4.1905033731825032E-2</v>
      </c>
      <c r="E68" s="2">
        <v>0.19539383631249374</v>
      </c>
      <c r="F68" s="2">
        <v>4.125576862437693E-2</v>
      </c>
      <c r="G68" s="2">
        <v>0.23528158724947976</v>
      </c>
      <c r="H68" s="2">
        <v>0.12845905647954386</v>
      </c>
      <c r="I68" s="1"/>
      <c r="J68" s="1"/>
      <c r="K68" s="1"/>
      <c r="O68" s="2" t="s">
        <v>399</v>
      </c>
      <c r="P68" s="2">
        <v>7.0775884533456847E-4</v>
      </c>
      <c r="Q68" s="2">
        <v>2.5915851959738122E-3</v>
      </c>
      <c r="R68" s="2">
        <v>1.7360391311187265E-3</v>
      </c>
      <c r="S68" s="2">
        <v>2.8173321572418928E-3</v>
      </c>
      <c r="T68" s="2">
        <v>5.0550684216234681E-3</v>
      </c>
      <c r="U68" s="2">
        <v>3.0500062264894748E-3</v>
      </c>
      <c r="V68" s="1"/>
      <c r="W68" s="1"/>
      <c r="X68" s="1"/>
    </row>
    <row r="69" spans="2:24">
      <c r="B69" s="2" t="s">
        <v>399</v>
      </c>
      <c r="C69" s="2">
        <v>4.4862924849135765E-3</v>
      </c>
      <c r="D69" s="2">
        <v>2.2888972463207209E-2</v>
      </c>
      <c r="E69" s="2">
        <v>2.4009815750435613E-2</v>
      </c>
      <c r="F69" s="2">
        <v>3.4936459650853395E-2</v>
      </c>
      <c r="G69" s="2">
        <v>4.15577832802091E-2</v>
      </c>
      <c r="H69" s="2">
        <v>3.0848257786176329E-2</v>
      </c>
      <c r="I69" s="1"/>
      <c r="J69" s="1"/>
      <c r="K69" s="1"/>
      <c r="V69" s="1"/>
      <c r="W69" s="1"/>
      <c r="X69" s="1"/>
    </row>
    <row r="73" spans="2:24" ht="15" thickBot="1"/>
    <row r="74" spans="2:24" ht="18.600000000000001" thickBot="1">
      <c r="B74" s="48" t="s">
        <v>36</v>
      </c>
      <c r="O74" s="48" t="s">
        <v>39</v>
      </c>
    </row>
    <row r="76" spans="2:24">
      <c r="B76" s="2" t="s">
        <v>889</v>
      </c>
      <c r="C76" s="24" t="s">
        <v>16</v>
      </c>
      <c r="D76" s="24" t="s">
        <v>355</v>
      </c>
      <c r="E76" s="24" t="s">
        <v>356</v>
      </c>
      <c r="F76" s="24" t="s">
        <v>357</v>
      </c>
      <c r="G76" s="24" t="s">
        <v>358</v>
      </c>
      <c r="H76" s="24" t="s">
        <v>14</v>
      </c>
      <c r="I76" s="24" t="s">
        <v>873</v>
      </c>
      <c r="J76" s="1"/>
      <c r="O76" s="2" t="s">
        <v>889</v>
      </c>
      <c r="P76" s="24" t="s">
        <v>16</v>
      </c>
      <c r="Q76" s="24" t="s">
        <v>355</v>
      </c>
      <c r="R76" s="24" t="s">
        <v>356</v>
      </c>
      <c r="S76" s="24" t="s">
        <v>357</v>
      </c>
      <c r="T76" s="24" t="s">
        <v>358</v>
      </c>
      <c r="U76" s="24" t="s">
        <v>14</v>
      </c>
      <c r="V76" s="24" t="s">
        <v>873</v>
      </c>
    </row>
    <row r="77" spans="2:24">
      <c r="B77" s="2" t="s">
        <v>31</v>
      </c>
      <c r="C77" s="126">
        <v>3.9533788739862474E-5</v>
      </c>
      <c r="D77">
        <v>7.0570693676649983E-4</v>
      </c>
      <c r="E77">
        <v>7.5441773634891756E-4</v>
      </c>
      <c r="F77" s="1">
        <v>5.6834974742074444E-4</v>
      </c>
      <c r="G77">
        <v>6.8955963780501189E-4</v>
      </c>
      <c r="H77" s="2">
        <f>AVERAGE(D77:G77)</f>
        <v>6.7950851458529332E-4</v>
      </c>
      <c r="I77" s="2">
        <v>1</v>
      </c>
      <c r="J77" s="1"/>
      <c r="O77" s="2" t="s">
        <v>31</v>
      </c>
      <c r="P77" s="2">
        <v>1.3316285047103816E-3</v>
      </c>
      <c r="Q77" s="1">
        <v>7.9143065641637811E-3</v>
      </c>
      <c r="R77" s="1">
        <v>1.125277324813834E-2</v>
      </c>
      <c r="S77" s="1">
        <v>8.697932047087898E-3</v>
      </c>
      <c r="T77" s="1">
        <v>1.378771002417682E-2</v>
      </c>
      <c r="U77" s="2">
        <f>AVERAGE(Q77:T77)</f>
        <v>1.041318047089171E-2</v>
      </c>
      <c r="V77" s="2">
        <v>1</v>
      </c>
    </row>
    <row r="78" spans="2:24">
      <c r="B78" s="2" t="s">
        <v>333</v>
      </c>
      <c r="C78" s="2">
        <v>9.2346801451599608E-3</v>
      </c>
      <c r="D78">
        <v>2.6225675044978573E-2</v>
      </c>
      <c r="E78">
        <v>2.8480295801005813E-2</v>
      </c>
      <c r="F78" s="1">
        <v>6.6316872932262627E-2</v>
      </c>
      <c r="G78">
        <v>4.3744305353512147E-2</v>
      </c>
      <c r="H78" s="2">
        <f t="shared" ref="H78:H79" si="0">AVERAGE(D78:G78)</f>
        <v>4.119178728293979E-2</v>
      </c>
      <c r="I78" s="2">
        <v>1</v>
      </c>
      <c r="J78" s="1"/>
      <c r="O78" s="2" t="s">
        <v>333</v>
      </c>
      <c r="P78" s="2">
        <v>2.6085065676031791E-2</v>
      </c>
      <c r="Q78" s="1">
        <v>0.2626738295465883</v>
      </c>
      <c r="R78" s="1">
        <v>0.15546081384119378</v>
      </c>
      <c r="S78" s="1">
        <v>0.18618836467549479</v>
      </c>
      <c r="T78" s="1">
        <v>0.25396259187483922</v>
      </c>
      <c r="U78" s="2">
        <f t="shared" ref="U78:U80" si="1">AVERAGE(Q78:T78)</f>
        <v>0.21457139998452901</v>
      </c>
      <c r="V78" s="2">
        <v>1</v>
      </c>
    </row>
    <row r="79" spans="2:24">
      <c r="B79" s="2" t="s">
        <v>340</v>
      </c>
      <c r="C79" s="2">
        <v>2.617885991055086E-3</v>
      </c>
      <c r="D79">
        <v>3.5454995441861495E-2</v>
      </c>
      <c r="E79">
        <v>3.2152160488706165E-2</v>
      </c>
      <c r="F79" s="1">
        <v>2.6124661739295875E-2</v>
      </c>
      <c r="G79">
        <v>2.4175222937672131E-2</v>
      </c>
      <c r="H79" s="2">
        <f t="shared" si="0"/>
        <v>2.9476760151883913E-2</v>
      </c>
      <c r="I79" s="2">
        <v>1</v>
      </c>
      <c r="J79" s="1"/>
      <c r="O79" s="2" t="s">
        <v>340</v>
      </c>
      <c r="P79" s="2">
        <v>1.7880589128123979E-2</v>
      </c>
      <c r="Q79" s="1">
        <v>2.9852000073823756E-2</v>
      </c>
      <c r="R79" s="1">
        <v>7.0376611009390785E-2</v>
      </c>
      <c r="S79" s="1">
        <v>0.11563297230087996</v>
      </c>
      <c r="T79" s="1">
        <v>8.6267790745053641E-2</v>
      </c>
      <c r="U79" s="2">
        <f t="shared" si="1"/>
        <v>7.5532343532287036E-2</v>
      </c>
      <c r="V79" s="2">
        <v>1</v>
      </c>
    </row>
    <row r="80" spans="2:24">
      <c r="B80" s="2" t="s">
        <v>346</v>
      </c>
      <c r="C80" s="2">
        <v>5.1660312970467385E-3</v>
      </c>
      <c r="D80">
        <v>1.8449982522857344E-2</v>
      </c>
      <c r="E80">
        <v>1.6913922544094843E-2</v>
      </c>
      <c r="F80" s="1">
        <v>3.2268117045663111E-2</v>
      </c>
      <c r="G80">
        <v>7.1714192667359919E-3</v>
      </c>
      <c r="H80" s="2">
        <f>AVERAGE(D80:G80)</f>
        <v>1.8700860344837821E-2</v>
      </c>
      <c r="I80" s="2">
        <v>1</v>
      </c>
      <c r="J80" s="1"/>
      <c r="O80" s="2" t="s">
        <v>346</v>
      </c>
      <c r="P80" s="2">
        <v>1.2074163318094298E-2</v>
      </c>
      <c r="Q80" s="1">
        <v>8.8411371254160737E-2</v>
      </c>
      <c r="R80" s="1">
        <v>4.1631691558411801E-2</v>
      </c>
      <c r="S80" s="1">
        <v>3.9035704312305193E-2</v>
      </c>
      <c r="T80" s="1">
        <v>3.9823553700849772E-2</v>
      </c>
      <c r="U80" s="2">
        <f t="shared" si="1"/>
        <v>5.2225580206431879E-2</v>
      </c>
      <c r="V80" s="2">
        <v>1</v>
      </c>
    </row>
    <row r="81" spans="2:23">
      <c r="B81" s="1"/>
      <c r="C81" s="1"/>
      <c r="D81" s="1"/>
      <c r="E81" s="1"/>
      <c r="F81" s="1"/>
      <c r="G81" s="1"/>
      <c r="H81" s="1"/>
      <c r="I81" s="1"/>
      <c r="J81" s="1"/>
      <c r="O81" s="1"/>
      <c r="P81" s="1"/>
      <c r="Q81" s="1"/>
      <c r="R81" s="1"/>
      <c r="S81" s="1"/>
      <c r="T81" s="1"/>
      <c r="U81" s="1"/>
      <c r="V81" s="1"/>
    </row>
    <row r="82" spans="2:23">
      <c r="B82" s="1"/>
      <c r="C82" s="1"/>
      <c r="D82" s="1"/>
      <c r="E82" s="1"/>
      <c r="F82" s="1"/>
      <c r="G82" s="1"/>
      <c r="H82" s="1"/>
      <c r="J82" s="1"/>
      <c r="O82" s="1"/>
      <c r="P82" s="1"/>
      <c r="Q82" s="1"/>
      <c r="R82" s="1"/>
      <c r="S82" s="1"/>
      <c r="T82" s="1"/>
      <c r="U82" s="1"/>
    </row>
    <row r="83" spans="2:23">
      <c r="B83" s="2" t="s">
        <v>890</v>
      </c>
      <c r="C83" s="24" t="s">
        <v>16</v>
      </c>
      <c r="D83" s="24" t="s">
        <v>355</v>
      </c>
      <c r="E83" s="24" t="s">
        <v>356</v>
      </c>
      <c r="F83" s="24" t="s">
        <v>357</v>
      </c>
      <c r="G83" s="24" t="s">
        <v>358</v>
      </c>
      <c r="H83" s="24" t="s">
        <v>14</v>
      </c>
      <c r="I83" s="24" t="s">
        <v>873</v>
      </c>
      <c r="O83" s="2" t="s">
        <v>890</v>
      </c>
      <c r="P83" s="24" t="s">
        <v>16</v>
      </c>
      <c r="Q83" s="24" t="s">
        <v>355</v>
      </c>
      <c r="R83" s="24" t="s">
        <v>356</v>
      </c>
      <c r="S83" s="24" t="s">
        <v>357</v>
      </c>
      <c r="T83" s="24" t="s">
        <v>358</v>
      </c>
      <c r="U83" s="24" t="s">
        <v>14</v>
      </c>
      <c r="V83" s="24" t="s">
        <v>873</v>
      </c>
    </row>
    <row r="84" spans="2:23">
      <c r="B84" s="2" t="s">
        <v>387</v>
      </c>
      <c r="C84" s="2">
        <v>1.1837351521284033E-2</v>
      </c>
      <c r="D84">
        <v>8.5489498208149231E-3</v>
      </c>
      <c r="E84">
        <v>1.3489200082640429E-2</v>
      </c>
      <c r="F84" s="1">
        <v>2.8190645464498204E-2</v>
      </c>
      <c r="G84">
        <v>6.10554045790151E-2</v>
      </c>
      <c r="H84" s="2">
        <f t="shared" ref="H84:H86" si="2">AVERAGE(D84:G84)</f>
        <v>2.7821049986742164E-2</v>
      </c>
      <c r="I84" s="2">
        <f>TTEST(D84:G84,D96:G96,2,3)</f>
        <v>0.24007204384576419</v>
      </c>
      <c r="O84" s="2" t="s">
        <v>387</v>
      </c>
      <c r="P84" s="2">
        <v>0.18765557947441636</v>
      </c>
      <c r="Q84" s="1">
        <v>0.12941882597068988</v>
      </c>
      <c r="R84" s="1">
        <v>0.19475732925044573</v>
      </c>
      <c r="S84" s="1">
        <v>0.8670170277922018</v>
      </c>
      <c r="T84" s="1">
        <v>0.74184958650435751</v>
      </c>
      <c r="U84" s="2">
        <f>AVERAGE(Q84:T84)</f>
        <v>0.48326069237942376</v>
      </c>
      <c r="V84" s="2">
        <f>TTEST(Q84:T84,Q96:T96,2,3)</f>
        <v>0.43748262442350511</v>
      </c>
    </row>
    <row r="85" spans="2:23">
      <c r="B85" s="2" t="s">
        <v>393</v>
      </c>
      <c r="C85" s="2">
        <v>4.600881012586296E-3</v>
      </c>
      <c r="D85">
        <v>6.1351557689204245E-3</v>
      </c>
      <c r="E85">
        <v>1.7228690709445736E-2</v>
      </c>
      <c r="F85" s="1">
        <v>2.6911144043212962E-2</v>
      </c>
      <c r="G85">
        <v>9.6529734934577682E-3</v>
      </c>
      <c r="H85" s="2">
        <f t="shared" si="2"/>
        <v>1.4981991003759222E-2</v>
      </c>
      <c r="I85" s="2">
        <f>TTEST(D85:G85,D97:G97,2,3)</f>
        <v>0.68174186679189619</v>
      </c>
      <c r="O85" s="2" t="s">
        <v>393</v>
      </c>
      <c r="P85" s="2">
        <v>1.7761932193332636E-2</v>
      </c>
      <c r="Q85" s="1">
        <v>8.0153939317179609E-2</v>
      </c>
      <c r="R85" s="1">
        <v>0.10859355760007633</v>
      </c>
      <c r="S85" s="1">
        <v>0.10677374042422946</v>
      </c>
      <c r="T85" s="1">
        <v>3.2386761056347836E-2</v>
      </c>
      <c r="U85" s="2">
        <f t="shared" ref="U85:U86" si="3">AVERAGE(Q85:T85)</f>
        <v>8.1976999599458311E-2</v>
      </c>
      <c r="V85" s="2">
        <f>TTEST(Q85:T85,Q97:T97,2,3)</f>
        <v>5.899274093964902E-2</v>
      </c>
    </row>
    <row r="86" spans="2:23">
      <c r="B86" s="2" t="s">
        <v>399</v>
      </c>
      <c r="C86" s="2">
        <v>2.4725707377585508E-2</v>
      </c>
      <c r="D86">
        <v>0.11279344572421275</v>
      </c>
      <c r="E86">
        <v>8.4455083793076952E-2</v>
      </c>
      <c r="F86" s="1">
        <v>8.6764430128731182E-2</v>
      </c>
      <c r="G86">
        <v>0.1901768358198829</v>
      </c>
      <c r="H86" s="2">
        <f t="shared" si="2"/>
        <v>0.11854744886647595</v>
      </c>
      <c r="I86" s="2">
        <f>TTEST(D86:G86,D98:G98,2,3)</f>
        <v>0.69070055876861347</v>
      </c>
      <c r="O86" s="2" t="s">
        <v>399</v>
      </c>
      <c r="P86" s="2">
        <v>0.3514651545274477</v>
      </c>
      <c r="Q86" s="1">
        <v>0.84867871810463857</v>
      </c>
      <c r="R86" s="1">
        <v>0.45730094967912749</v>
      </c>
      <c r="S86" s="1">
        <v>0.68507157428397691</v>
      </c>
      <c r="T86" s="1">
        <v>2.0324099779046478</v>
      </c>
      <c r="U86" s="2">
        <f t="shared" si="3"/>
        <v>1.0058653049930977</v>
      </c>
      <c r="V86" s="2">
        <f>TTEST(Q86:T86,Q98:T98,2,3)</f>
        <v>0.94078267363241896</v>
      </c>
    </row>
    <row r="87" spans="2:23">
      <c r="B87" s="1"/>
      <c r="C87" s="1"/>
      <c r="D87" s="1"/>
      <c r="E87" s="1"/>
      <c r="F87" s="1"/>
      <c r="G87" s="1"/>
      <c r="H87" s="1"/>
      <c r="I87" s="1"/>
      <c r="J87" s="1"/>
      <c r="O87" s="1"/>
      <c r="P87" s="1"/>
      <c r="Q87" s="1"/>
      <c r="R87" s="1"/>
      <c r="S87" s="1"/>
      <c r="T87" s="1"/>
      <c r="U87" s="1"/>
      <c r="V87" s="1"/>
    </row>
    <row r="88" spans="2:23">
      <c r="B88" s="1"/>
      <c r="C88" s="1"/>
      <c r="D88" s="1"/>
      <c r="E88" s="1"/>
      <c r="F88" s="1"/>
      <c r="G88" s="1"/>
      <c r="H88" s="1"/>
      <c r="I88" s="1"/>
      <c r="J88" s="1"/>
      <c r="O88" s="1"/>
      <c r="P88" s="1"/>
      <c r="Q88" s="1"/>
      <c r="R88" s="1"/>
      <c r="S88" s="1"/>
      <c r="T88" s="1"/>
      <c r="U88" s="1"/>
      <c r="V88" s="1"/>
    </row>
    <row r="89" spans="2:23">
      <c r="B89" s="2" t="s">
        <v>891</v>
      </c>
      <c r="C89" s="24" t="s">
        <v>16</v>
      </c>
      <c r="D89" s="24" t="s">
        <v>355</v>
      </c>
      <c r="E89" s="24" t="s">
        <v>356</v>
      </c>
      <c r="F89" s="24" t="s">
        <v>357</v>
      </c>
      <c r="G89" s="24" t="s">
        <v>358</v>
      </c>
      <c r="H89" s="24" t="s">
        <v>14</v>
      </c>
      <c r="I89" s="24" t="s">
        <v>873</v>
      </c>
      <c r="J89" s="1"/>
      <c r="O89" s="2" t="s">
        <v>891</v>
      </c>
      <c r="P89" s="24" t="s">
        <v>16</v>
      </c>
      <c r="Q89" s="24" t="s">
        <v>355</v>
      </c>
      <c r="R89" s="24" t="s">
        <v>356</v>
      </c>
      <c r="S89" s="24" t="s">
        <v>357</v>
      </c>
      <c r="T89" s="24" t="s">
        <v>358</v>
      </c>
      <c r="U89" s="24" t="s">
        <v>14</v>
      </c>
      <c r="V89" s="24" t="s">
        <v>873</v>
      </c>
    </row>
    <row r="90" spans="2:23">
      <c r="B90" s="2" t="s">
        <v>387</v>
      </c>
      <c r="C90" s="2">
        <v>5.5806578457906399E-3</v>
      </c>
      <c r="D90">
        <v>8.6581208509763138E-3</v>
      </c>
      <c r="E90">
        <v>3.3324294071509435E-2</v>
      </c>
      <c r="F90" s="1">
        <v>2.1582664120526996E-2</v>
      </c>
      <c r="G90">
        <v>1.1577141288438062E-2</v>
      </c>
      <c r="H90" s="2">
        <f t="shared" ref="H90:H92" si="4">AVERAGE(D90:G90)</f>
        <v>1.8785555082862702E-2</v>
      </c>
      <c r="I90" s="2">
        <f>TTEST(D90:G90,D103:G103,2,3)</f>
        <v>0.14345261831910794</v>
      </c>
      <c r="J90" s="1"/>
      <c r="O90" s="2" t="s">
        <v>387</v>
      </c>
      <c r="P90" s="2">
        <v>4.2167343680915969E-3</v>
      </c>
      <c r="Q90" s="1">
        <v>1.4015660923713954E-3</v>
      </c>
      <c r="R90" s="1">
        <v>1.8816010143102777E-2</v>
      </c>
      <c r="S90" s="1">
        <v>1.893587134349222E-3</v>
      </c>
      <c r="T90" s="1">
        <v>2.6451737428848866E-3</v>
      </c>
      <c r="U90" s="2">
        <f>AVERAGE(Q90:T90)</f>
        <v>6.18908427817707E-3</v>
      </c>
      <c r="V90" s="2">
        <f>TTEST(Q90:T90,Q103:T103,2,3)</f>
        <v>0.20465752475021901</v>
      </c>
    </row>
    <row r="91" spans="2:23">
      <c r="B91" s="2" t="s">
        <v>393</v>
      </c>
      <c r="C91" s="2">
        <v>1.6472237067215528E-4</v>
      </c>
      <c r="D91">
        <v>5.5159082631659412E-3</v>
      </c>
      <c r="E91">
        <v>5.4353951857789807E-3</v>
      </c>
      <c r="F91" s="1">
        <v>5.3117861492280377E-3</v>
      </c>
      <c r="G91">
        <v>4.7838914190589119E-3</v>
      </c>
      <c r="H91" s="2">
        <f t="shared" si="4"/>
        <v>5.2617452543079679E-3</v>
      </c>
      <c r="I91" s="34">
        <f>TTEST(D91:G91,D104:G104,2,3)</f>
        <v>5.7766469564834761E-4</v>
      </c>
      <c r="J91" s="46" t="s">
        <v>887</v>
      </c>
      <c r="O91" s="2" t="s">
        <v>393</v>
      </c>
      <c r="P91" s="2">
        <v>3.1619195310075198E-4</v>
      </c>
      <c r="Q91" s="1">
        <v>1.1599080564877304E-3</v>
      </c>
      <c r="R91" s="1">
        <v>1.9303804044838513E-3</v>
      </c>
      <c r="S91" s="1">
        <v>2.0663751317986367E-3</v>
      </c>
      <c r="T91" s="1">
        <v>7.3787254443134634E-4</v>
      </c>
      <c r="U91" s="2">
        <f t="shared" ref="U91:U92" si="5">AVERAGE(Q91:T91)</f>
        <v>1.4736340343003912E-3</v>
      </c>
      <c r="V91" s="2">
        <f>TTEST(Q91:T91,Q104:T104,2,3)</f>
        <v>0.10769267442047599</v>
      </c>
    </row>
    <row r="92" spans="2:23">
      <c r="B92" s="2" t="s">
        <v>399</v>
      </c>
      <c r="C92" s="2">
        <v>2.3888484278211958E-3</v>
      </c>
      <c r="D92">
        <v>4.693416996124164E-2</v>
      </c>
      <c r="E92">
        <v>3.8964034976959917E-2</v>
      </c>
      <c r="F92" s="1">
        <v>3.8131636612335311E-2</v>
      </c>
      <c r="G92">
        <v>4.6665642278988756E-2</v>
      </c>
      <c r="H92" s="2">
        <f t="shared" si="4"/>
        <v>4.2673870957381406E-2</v>
      </c>
      <c r="I92" s="34">
        <f>TTEST(D92:G92,D105:G105,2,3)</f>
        <v>1.8786412168480079E-2</v>
      </c>
      <c r="J92" s="46" t="s">
        <v>875</v>
      </c>
      <c r="O92" s="2" t="s">
        <v>399</v>
      </c>
      <c r="P92" s="2">
        <v>2.190204543279119E-3</v>
      </c>
      <c r="Q92" s="1">
        <v>1.0170679800375072E-2</v>
      </c>
      <c r="R92" s="1">
        <v>7.6582451207293321E-3</v>
      </c>
      <c r="S92" s="1">
        <v>1.718006097739179E-2</v>
      </c>
      <c r="T92" s="1">
        <v>1.5106916954801049E-2</v>
      </c>
      <c r="U92" s="2">
        <f t="shared" si="5"/>
        <v>1.2528975713324311E-2</v>
      </c>
      <c r="V92" s="34">
        <f>TTEST(Q92:T92,Q105:T105,2,3)</f>
        <v>2.3904139464004565E-2</v>
      </c>
      <c r="W92" s="46" t="s">
        <v>875</v>
      </c>
    </row>
    <row r="93" spans="2:23">
      <c r="B93" s="1"/>
      <c r="C93" s="1"/>
      <c r="D93" s="1"/>
      <c r="E93" s="1"/>
      <c r="F93" s="1"/>
      <c r="G93" s="1"/>
      <c r="H93" s="1"/>
      <c r="I93" s="1"/>
      <c r="J93" s="1"/>
      <c r="O93" s="1"/>
      <c r="P93" s="1"/>
      <c r="Q93" s="1"/>
      <c r="R93" s="1"/>
      <c r="S93" s="1"/>
      <c r="T93" s="1"/>
      <c r="U93" s="1"/>
      <c r="V93" s="1"/>
    </row>
    <row r="94" spans="2:23">
      <c r="B94" s="1"/>
      <c r="C94" s="1"/>
      <c r="D94" s="1"/>
      <c r="E94" s="1"/>
      <c r="F94" s="1"/>
      <c r="G94" s="1"/>
      <c r="H94" s="1"/>
      <c r="I94" s="1"/>
      <c r="J94" s="1"/>
      <c r="O94" s="1"/>
      <c r="P94" s="1"/>
      <c r="Q94" s="1"/>
      <c r="R94" s="1"/>
      <c r="S94" s="1"/>
      <c r="T94" s="1"/>
      <c r="U94" s="1"/>
      <c r="V94" s="1"/>
    </row>
    <row r="95" spans="2:23">
      <c r="B95" s="2" t="s">
        <v>892</v>
      </c>
      <c r="C95" s="24" t="s">
        <v>16</v>
      </c>
      <c r="D95" s="24" t="s">
        <v>355</v>
      </c>
      <c r="E95" s="24" t="s">
        <v>356</v>
      </c>
      <c r="F95" s="24" t="s">
        <v>357</v>
      </c>
      <c r="G95" s="24" t="s">
        <v>358</v>
      </c>
      <c r="H95" s="24" t="s">
        <v>14</v>
      </c>
      <c r="I95" s="1"/>
      <c r="J95" s="1"/>
      <c r="O95" s="2" t="s">
        <v>892</v>
      </c>
      <c r="P95" s="24" t="s">
        <v>16</v>
      </c>
      <c r="Q95" s="24" t="s">
        <v>355</v>
      </c>
      <c r="R95" s="24" t="s">
        <v>356</v>
      </c>
      <c r="S95" s="24" t="s">
        <v>357</v>
      </c>
      <c r="T95" s="24" t="s">
        <v>358</v>
      </c>
      <c r="U95" s="24" t="s">
        <v>14</v>
      </c>
      <c r="V95" s="1"/>
    </row>
    <row r="96" spans="2:23">
      <c r="B96" s="2" t="s">
        <v>387</v>
      </c>
      <c r="C96" s="2">
        <v>4.6746247537352058E-3</v>
      </c>
      <c r="D96">
        <v>2.2754315722476336E-2</v>
      </c>
      <c r="E96">
        <v>1.1925623544569917E-2</v>
      </c>
      <c r="F96" s="1">
        <v>3.3326234273700316E-3</v>
      </c>
      <c r="G96">
        <v>2.8192025871462993E-3</v>
      </c>
      <c r="H96" s="2">
        <f t="shared" ref="H96:H98" si="6">AVERAGE(D96:G96)</f>
        <v>1.0207941320390646E-2</v>
      </c>
      <c r="I96" s="1"/>
      <c r="J96" s="1"/>
      <c r="O96" s="2" t="s">
        <v>387</v>
      </c>
      <c r="P96" s="2">
        <v>9.3445474128808076E-2</v>
      </c>
      <c r="Q96" s="1">
        <v>0.57653137972405544</v>
      </c>
      <c r="R96" s="1">
        <v>0.23906713969740065</v>
      </c>
      <c r="S96" s="1">
        <v>0.25134817068603843</v>
      </c>
      <c r="T96" s="1">
        <v>0.15062642378089211</v>
      </c>
      <c r="U96" s="2">
        <f>AVERAGE(Q96:T96)</f>
        <v>0.30439327847209663</v>
      </c>
      <c r="V96" s="1"/>
    </row>
    <row r="97" spans="2:22">
      <c r="B97" s="2" t="s">
        <v>393</v>
      </c>
      <c r="C97" s="2">
        <v>1.4382801226100962E-3</v>
      </c>
      <c r="D97">
        <v>9.5077360386101161E-3</v>
      </c>
      <c r="E97">
        <v>1.4168730334698303E-2</v>
      </c>
      <c r="F97" s="1">
        <v>1.4758874496712465E-2</v>
      </c>
      <c r="H97" s="2">
        <f>AVERAGE(D97:G97)</f>
        <v>1.2811780290006963E-2</v>
      </c>
      <c r="I97" s="1"/>
      <c r="J97" s="1"/>
      <c r="O97" s="2" t="s">
        <v>393</v>
      </c>
      <c r="P97" s="2">
        <v>0.15175305531500916</v>
      </c>
      <c r="Q97" s="1">
        <v>0.33593017377263962</v>
      </c>
      <c r="R97" s="1">
        <v>0.36493309273639285</v>
      </c>
      <c r="S97" s="1">
        <v>0.98042516215837372</v>
      </c>
      <c r="T97" s="1">
        <v>0.43750549641968445</v>
      </c>
      <c r="U97" s="2">
        <f t="shared" ref="U97:U98" si="7">AVERAGE(Q97:T97)</f>
        <v>0.52969848127177266</v>
      </c>
      <c r="V97" s="1"/>
    </row>
    <row r="98" spans="2:22">
      <c r="B98" s="2" t="s">
        <v>399</v>
      </c>
      <c r="C98" s="2">
        <v>1.2088413841841639E-2</v>
      </c>
      <c r="D98">
        <v>9.5382161125232665E-2</v>
      </c>
      <c r="E98">
        <v>0.137588658349375</v>
      </c>
      <c r="F98" s="1">
        <v>0.11285325918154111</v>
      </c>
      <c r="G98">
        <v>8.1529218624861857E-2</v>
      </c>
      <c r="H98" s="2">
        <f t="shared" si="6"/>
        <v>0.10683832432025266</v>
      </c>
      <c r="I98" s="1"/>
      <c r="J98" s="1"/>
      <c r="O98" s="2" t="s">
        <v>399</v>
      </c>
      <c r="P98" s="2">
        <v>0.13535939986704904</v>
      </c>
      <c r="Q98" s="1">
        <v>1.3344704829938585</v>
      </c>
      <c r="R98" s="1">
        <v>0.91203119434720947</v>
      </c>
      <c r="S98" s="1">
        <v>1.1717372848178509</v>
      </c>
      <c r="T98" s="1">
        <v>0.72456966116044252</v>
      </c>
      <c r="U98" s="2">
        <f t="shared" si="7"/>
        <v>1.0357021558298403</v>
      </c>
      <c r="V98" s="1"/>
    </row>
    <row r="99" spans="2:22">
      <c r="B99" s="1"/>
      <c r="C99" s="1"/>
      <c r="D99" s="1"/>
      <c r="E99" s="1"/>
      <c r="F99" s="1"/>
      <c r="G99" s="1"/>
      <c r="H99" s="1"/>
      <c r="I99" s="1"/>
      <c r="J99" s="1"/>
      <c r="O99" s="2"/>
      <c r="P99" s="1"/>
      <c r="Q99" s="1"/>
      <c r="R99" s="1"/>
      <c r="S99" s="1"/>
      <c r="T99" s="1"/>
      <c r="U99" s="1"/>
      <c r="V99" s="1"/>
    </row>
    <row r="100" spans="2:22">
      <c r="B100" s="1"/>
      <c r="C100" s="1"/>
      <c r="D100" s="1"/>
      <c r="E100" s="1"/>
      <c r="F100" s="1"/>
      <c r="G100" s="1"/>
      <c r="H100" s="1"/>
      <c r="I100" s="1"/>
      <c r="J100" s="1"/>
      <c r="O100" s="1"/>
      <c r="P100" s="1"/>
      <c r="Q100" s="1"/>
      <c r="R100" s="1"/>
      <c r="S100" s="1"/>
      <c r="T100" s="1"/>
      <c r="U100" s="1"/>
      <c r="V100" s="1"/>
    </row>
    <row r="101" spans="2:22">
      <c r="F101" s="1"/>
      <c r="I101" s="1"/>
      <c r="J101" s="1"/>
      <c r="Q101" s="1"/>
      <c r="R101" s="1"/>
      <c r="S101" s="1"/>
      <c r="T101" s="1"/>
      <c r="V101" s="1"/>
    </row>
    <row r="102" spans="2:22">
      <c r="B102" s="2" t="s">
        <v>893</v>
      </c>
      <c r="C102" s="24" t="s">
        <v>16</v>
      </c>
      <c r="D102" s="24" t="s">
        <v>355</v>
      </c>
      <c r="E102" s="24" t="s">
        <v>356</v>
      </c>
      <c r="F102" s="24" t="s">
        <v>357</v>
      </c>
      <c r="G102" s="24" t="s">
        <v>358</v>
      </c>
      <c r="H102" s="24" t="s">
        <v>14</v>
      </c>
      <c r="I102" s="1"/>
      <c r="J102" s="1"/>
      <c r="O102" s="2" t="s">
        <v>893</v>
      </c>
      <c r="P102" s="24" t="s">
        <v>16</v>
      </c>
      <c r="Q102" s="24" t="s">
        <v>355</v>
      </c>
      <c r="R102" s="24" t="s">
        <v>356</v>
      </c>
      <c r="S102" s="24" t="s">
        <v>357</v>
      </c>
      <c r="T102" s="24" t="s">
        <v>358</v>
      </c>
      <c r="U102" s="24" t="s">
        <v>14</v>
      </c>
      <c r="V102" s="1"/>
    </row>
    <row r="103" spans="2:22">
      <c r="B103" s="2" t="s">
        <v>387</v>
      </c>
      <c r="C103" s="2">
        <v>2.4113406443311926E-2</v>
      </c>
      <c r="D103">
        <v>2.2604277868065639E-2</v>
      </c>
      <c r="E103">
        <v>4.1558772255839149E-2</v>
      </c>
      <c r="F103" s="1">
        <v>6.6848466197020825E-2</v>
      </c>
      <c r="G103">
        <v>0.13305367475531754</v>
      </c>
      <c r="H103" s="2">
        <f t="shared" ref="H103:H105" si="8">AVERAGE(D103:G103)</f>
        <v>6.6016297769060789E-2</v>
      </c>
      <c r="I103" s="1"/>
      <c r="J103" s="1"/>
      <c r="O103" s="2" t="s">
        <v>387</v>
      </c>
      <c r="P103" s="2">
        <v>7.4256801894153962E-3</v>
      </c>
      <c r="Q103" s="1">
        <v>5.2211761417779862E-3</v>
      </c>
      <c r="R103" s="1">
        <v>6.7652652398538966E-3</v>
      </c>
      <c r="S103" s="1">
        <v>3.3825832617927716E-2</v>
      </c>
      <c r="T103" s="1">
        <v>2.9130071047324076E-2</v>
      </c>
      <c r="U103" s="2">
        <f>AVERAGE(Q103:T103)</f>
        <v>1.8735586261720921E-2</v>
      </c>
      <c r="V103" s="1"/>
    </row>
    <row r="104" spans="2:22">
      <c r="B104" s="2" t="s">
        <v>393</v>
      </c>
      <c r="C104" s="2">
        <v>3.7589438498010399E-4</v>
      </c>
      <c r="D104">
        <v>1.6857844588724236E-3</v>
      </c>
      <c r="E104">
        <v>1.6170661088928014E-3</v>
      </c>
      <c r="F104" s="1">
        <v>2.0369080014521015E-4</v>
      </c>
      <c r="G104">
        <v>1.7969743579796928E-3</v>
      </c>
      <c r="H104" s="2">
        <f t="shared" si="8"/>
        <v>1.3258789314725319E-3</v>
      </c>
      <c r="I104" s="1"/>
      <c r="J104" s="1"/>
      <c r="O104" s="2" t="s">
        <v>393</v>
      </c>
      <c r="P104" s="2">
        <v>1.9092309853279907E-3</v>
      </c>
      <c r="Q104" s="1">
        <v>4.3842212804124005E-3</v>
      </c>
      <c r="R104" s="1">
        <v>9.9359410521271292E-3</v>
      </c>
      <c r="S104" s="1">
        <v>1.1852550236939631E-3</v>
      </c>
      <c r="T104" s="1">
        <v>7.6266906766034159E-3</v>
      </c>
      <c r="U104" s="2">
        <f t="shared" ref="U104:U105" si="9">AVERAGE(Q104:T104)</f>
        <v>5.7830270082092272E-3</v>
      </c>
      <c r="V104" s="1"/>
    </row>
    <row r="105" spans="2:22">
      <c r="B105" s="2" t="s">
        <v>399</v>
      </c>
      <c r="C105" s="2">
        <v>1.4247947156879813E-2</v>
      </c>
      <c r="D105">
        <v>8.0820060335011545E-2</v>
      </c>
      <c r="E105">
        <v>0.11113147865881591</v>
      </c>
      <c r="F105" s="1">
        <v>0.1453014619944713</v>
      </c>
      <c r="G105">
        <v>9.0672445986104966E-2</v>
      </c>
      <c r="H105" s="2">
        <f t="shared" si="8"/>
        <v>0.10698136174360093</v>
      </c>
      <c r="I105" s="1"/>
      <c r="J105" s="1"/>
      <c r="O105" s="2" t="s">
        <v>399</v>
      </c>
      <c r="P105" s="2">
        <v>7.8525390280823112E-3</v>
      </c>
      <c r="Q105" s="1">
        <v>2.7935168223771865E-2</v>
      </c>
      <c r="R105" s="1">
        <v>6.5552136899544047E-2</v>
      </c>
      <c r="S105" s="1">
        <v>4.1348814922776873E-2</v>
      </c>
      <c r="T105" s="1">
        <v>4.0777653699286508E-2</v>
      </c>
      <c r="U105" s="2">
        <f t="shared" si="9"/>
        <v>4.3903443436344822E-2</v>
      </c>
      <c r="V105" s="1"/>
    </row>
    <row r="110" spans="2:22" ht="15"/>
    <row r="111" spans="2:22" ht="18.75">
      <c r="B111" s="48" t="s">
        <v>756</v>
      </c>
      <c r="O111" s="132" t="s">
        <v>40</v>
      </c>
      <c r="P111" s="133"/>
      <c r="Q111" s="133"/>
      <c r="R111" s="133"/>
      <c r="S111" s="133"/>
      <c r="T111" s="133"/>
      <c r="U111" s="133"/>
      <c r="V111" s="133"/>
    </row>
    <row r="112" spans="2:22" ht="15">
      <c r="O112" s="133"/>
      <c r="P112" s="133"/>
      <c r="Q112" s="133"/>
      <c r="R112" s="133"/>
      <c r="S112" s="133"/>
      <c r="T112" s="133"/>
      <c r="U112" s="133"/>
      <c r="V112" s="133"/>
    </row>
    <row r="113" spans="2:22" ht="15">
      <c r="B113" s="2" t="s">
        <v>889</v>
      </c>
      <c r="C113" s="24" t="s">
        <v>16</v>
      </c>
      <c r="D113" s="24" t="s">
        <v>355</v>
      </c>
      <c r="E113" s="24" t="s">
        <v>356</v>
      </c>
      <c r="F113" s="24" t="s">
        <v>357</v>
      </c>
      <c r="G113" s="24" t="s">
        <v>358</v>
      </c>
      <c r="H113" s="24" t="s">
        <v>14</v>
      </c>
      <c r="I113" s="24" t="s">
        <v>873</v>
      </c>
      <c r="O113" s="134" t="s">
        <v>889</v>
      </c>
      <c r="P113" s="135" t="s">
        <v>16</v>
      </c>
      <c r="Q113" s="135" t="s">
        <v>355</v>
      </c>
      <c r="R113" s="135" t="s">
        <v>356</v>
      </c>
      <c r="S113" s="135" t="s">
        <v>357</v>
      </c>
      <c r="T113" s="135" t="s">
        <v>358</v>
      </c>
      <c r="U113" s="135" t="s">
        <v>14</v>
      </c>
      <c r="V113" s="135" t="s">
        <v>873</v>
      </c>
    </row>
    <row r="114" spans="2:22" ht="15">
      <c r="B114" s="2" t="s">
        <v>31</v>
      </c>
      <c r="C114" s="2">
        <v>7.6673811548102968E-4</v>
      </c>
      <c r="D114">
        <v>3.4059540901544964E-3</v>
      </c>
      <c r="E114">
        <v>5.9002885297456953E-3</v>
      </c>
      <c r="F114">
        <v>2.3281117210785626E-3</v>
      </c>
      <c r="G114">
        <v>3.204801765080019E-3</v>
      </c>
      <c r="H114" s="2">
        <f t="shared" ref="H114:H117" si="10">AVERAGE(D114:G114)</f>
        <v>3.709789026514693E-3</v>
      </c>
      <c r="I114" s="2">
        <v>1</v>
      </c>
      <c r="O114" s="136" t="s">
        <v>31</v>
      </c>
      <c r="P114" s="133" t="s">
        <v>894</v>
      </c>
      <c r="Q114" s="133" t="s">
        <v>895</v>
      </c>
      <c r="R114" s="133" t="s">
        <v>896</v>
      </c>
      <c r="S114" s="133" t="s">
        <v>897</v>
      </c>
      <c r="T114" s="133" t="s">
        <v>898</v>
      </c>
      <c r="U114" s="133" t="s">
        <v>899</v>
      </c>
      <c r="V114" s="136">
        <v>1</v>
      </c>
    </row>
    <row r="115" spans="2:22" ht="15">
      <c r="B115" s="2" t="s">
        <v>333</v>
      </c>
      <c r="C115" s="2">
        <v>7.728733375283219E-4</v>
      </c>
      <c r="D115">
        <v>3.262747456692949E-3</v>
      </c>
      <c r="E115">
        <v>3.6600191047828313E-3</v>
      </c>
      <c r="F115">
        <v>6.1396428615594634E-3</v>
      </c>
      <c r="G115">
        <v>6.1080032047374638E-3</v>
      </c>
      <c r="H115" s="2">
        <f t="shared" si="10"/>
        <v>4.7926031569431767E-3</v>
      </c>
      <c r="I115" s="2">
        <v>1</v>
      </c>
      <c r="O115" s="136" t="s">
        <v>333</v>
      </c>
      <c r="P115" s="133" t="s">
        <v>900</v>
      </c>
      <c r="Q115" s="133" t="s">
        <v>901</v>
      </c>
      <c r="R115" s="133" t="s">
        <v>902</v>
      </c>
      <c r="S115" s="133" t="s">
        <v>903</v>
      </c>
      <c r="T115" s="133" t="s">
        <v>904</v>
      </c>
      <c r="U115" s="133" t="s">
        <v>905</v>
      </c>
      <c r="V115" s="136">
        <v>1</v>
      </c>
    </row>
    <row r="116" spans="2:22" ht="15">
      <c r="B116" s="2" t="s">
        <v>340</v>
      </c>
      <c r="C116" s="2">
        <v>1.5367832251929759E-3</v>
      </c>
      <c r="D116">
        <v>3.6432138941217343E-3</v>
      </c>
      <c r="E116">
        <v>9.0612532415053071E-3</v>
      </c>
      <c r="F116">
        <v>1.908238704556722E-3</v>
      </c>
      <c r="G116">
        <v>4.0570250025916558E-3</v>
      </c>
      <c r="H116" s="2">
        <f t="shared" si="10"/>
        <v>4.6674327106938545E-3</v>
      </c>
      <c r="I116" s="2">
        <v>1</v>
      </c>
      <c r="O116" s="136" t="s">
        <v>340</v>
      </c>
      <c r="P116" s="133" t="s">
        <v>906</v>
      </c>
      <c r="Q116" s="133" t="s">
        <v>907</v>
      </c>
      <c r="R116" s="133" t="s">
        <v>908</v>
      </c>
      <c r="S116" s="133" t="s">
        <v>909</v>
      </c>
      <c r="T116" s="133" t="s">
        <v>910</v>
      </c>
      <c r="U116" s="133" t="s">
        <v>911</v>
      </c>
      <c r="V116" s="136">
        <v>1</v>
      </c>
    </row>
    <row r="117" spans="2:22" ht="15">
      <c r="B117" s="2" t="s">
        <v>346</v>
      </c>
      <c r="C117" s="2">
        <v>3.3310053369106481E-2</v>
      </c>
      <c r="D117">
        <v>1.5818802375125859E-3</v>
      </c>
      <c r="E117">
        <v>1.2818156958847378E-3</v>
      </c>
      <c r="F117">
        <v>0.13461033772006339</v>
      </c>
      <c r="G117">
        <v>1.2476919326897657E-3</v>
      </c>
      <c r="H117" s="2">
        <f t="shared" si="10"/>
        <v>3.468043139653762E-2</v>
      </c>
      <c r="I117" s="2">
        <v>1</v>
      </c>
      <c r="O117" s="136" t="s">
        <v>346</v>
      </c>
      <c r="P117" s="133" t="s">
        <v>912</v>
      </c>
      <c r="Q117" s="133" t="s">
        <v>913</v>
      </c>
      <c r="R117" s="133" t="s">
        <v>914</v>
      </c>
      <c r="S117" s="133" t="s">
        <v>915</v>
      </c>
      <c r="T117" s="133" t="s">
        <v>916</v>
      </c>
      <c r="U117" s="133" t="s">
        <v>917</v>
      </c>
      <c r="V117" s="136">
        <v>1</v>
      </c>
    </row>
    <row r="118" spans="2:22" ht="15">
      <c r="B118" s="1"/>
      <c r="C118" s="1"/>
      <c r="D118" s="1"/>
      <c r="E118" s="1"/>
      <c r="F118" s="1"/>
      <c r="G118" s="1"/>
      <c r="H118" s="1"/>
      <c r="I118" s="1"/>
      <c r="O118" s="133"/>
      <c r="P118" s="133"/>
      <c r="Q118" s="133"/>
      <c r="R118" s="133"/>
      <c r="S118" s="133"/>
      <c r="T118" s="133"/>
      <c r="U118" s="133"/>
      <c r="V118" s="133"/>
    </row>
    <row r="119" spans="2:22" ht="15">
      <c r="B119" s="1"/>
      <c r="C119" s="1"/>
      <c r="D119" s="1"/>
      <c r="E119" s="1"/>
      <c r="F119" s="1"/>
      <c r="G119" s="1"/>
      <c r="H119" s="1"/>
      <c r="O119" s="133"/>
      <c r="P119" s="133"/>
      <c r="Q119" s="133"/>
      <c r="R119" s="133"/>
      <c r="S119" s="133"/>
      <c r="T119" s="133"/>
      <c r="U119" s="133"/>
      <c r="V119" s="133"/>
    </row>
    <row r="120" spans="2:22" ht="15">
      <c r="B120" s="2" t="s">
        <v>890</v>
      </c>
      <c r="C120" s="24" t="s">
        <v>16</v>
      </c>
      <c r="D120" s="24" t="s">
        <v>355</v>
      </c>
      <c r="E120" s="24" t="s">
        <v>356</v>
      </c>
      <c r="F120" s="24" t="s">
        <v>357</v>
      </c>
      <c r="G120" s="24" t="s">
        <v>358</v>
      </c>
      <c r="H120" s="24" t="s">
        <v>14</v>
      </c>
      <c r="I120" s="24" t="s">
        <v>873</v>
      </c>
      <c r="O120" s="134" t="s">
        <v>890</v>
      </c>
      <c r="P120" s="135" t="s">
        <v>16</v>
      </c>
      <c r="Q120" s="135" t="s">
        <v>355</v>
      </c>
      <c r="R120" s="135" t="s">
        <v>356</v>
      </c>
      <c r="S120" s="135" t="s">
        <v>357</v>
      </c>
      <c r="T120" s="135" t="s">
        <v>358</v>
      </c>
      <c r="U120" s="135" t="s">
        <v>14</v>
      </c>
      <c r="V120" s="135" t="s">
        <v>873</v>
      </c>
    </row>
    <row r="121" spans="2:22" ht="15">
      <c r="B121" s="2" t="s">
        <v>387</v>
      </c>
      <c r="C121" s="2">
        <v>7.6831455651639475E-3</v>
      </c>
      <c r="D121">
        <v>8.2834412300481757E-3</v>
      </c>
      <c r="E121">
        <v>3.993997398678914E-2</v>
      </c>
      <c r="F121">
        <v>1.869710631138953E-2</v>
      </c>
      <c r="G121">
        <v>6.484687063637716E-3</v>
      </c>
      <c r="H121" s="2">
        <f t="shared" ref="H121:H123" si="11">AVERAGE(D121:G121)</f>
        <v>1.8351302147966139E-2</v>
      </c>
      <c r="I121" s="2">
        <f>TTEST(D121:G121,D133:G133,2,3)</f>
        <v>0.13111970167269335</v>
      </c>
      <c r="O121" s="136" t="s">
        <v>387</v>
      </c>
      <c r="P121" s="133" t="s">
        <v>918</v>
      </c>
      <c r="Q121" s="133" t="s">
        <v>787</v>
      </c>
      <c r="R121" s="133" t="s">
        <v>788</v>
      </c>
      <c r="S121" s="133" t="s">
        <v>789</v>
      </c>
      <c r="T121" s="133" t="s">
        <v>790</v>
      </c>
      <c r="U121" s="133" t="s">
        <v>919</v>
      </c>
      <c r="V121" s="136" t="s">
        <v>920</v>
      </c>
    </row>
    <row r="122" spans="2:22" ht="15">
      <c r="B122" s="2" t="s">
        <v>393</v>
      </c>
      <c r="C122" s="2">
        <v>3.4073311379810942E-2</v>
      </c>
      <c r="D122">
        <v>0.12947547285417016</v>
      </c>
      <c r="E122">
        <v>0.10000410340479977</v>
      </c>
      <c r="F122">
        <v>4.2062781041569401E-2</v>
      </c>
      <c r="G122">
        <v>0.2058473032957176</v>
      </c>
      <c r="H122" s="2">
        <f t="shared" si="11"/>
        <v>0.11934741514906423</v>
      </c>
      <c r="I122" s="34">
        <f>TTEST(D122:G122,D134:G134,2,3)</f>
        <v>5.0712939470399773E-2</v>
      </c>
      <c r="J122" s="46" t="s">
        <v>875</v>
      </c>
      <c r="O122" s="136" t="s">
        <v>393</v>
      </c>
      <c r="P122" s="133" t="s">
        <v>921</v>
      </c>
      <c r="Q122" s="133" t="s">
        <v>793</v>
      </c>
      <c r="R122" s="133" t="s">
        <v>794</v>
      </c>
      <c r="S122" s="133" t="s">
        <v>795</v>
      </c>
      <c r="T122" s="133" t="s">
        <v>796</v>
      </c>
      <c r="U122" s="133" t="s">
        <v>922</v>
      </c>
      <c r="V122" s="136" t="s">
        <v>923</v>
      </c>
    </row>
    <row r="123" spans="2:22" ht="15">
      <c r="B123" s="2" t="s">
        <v>399</v>
      </c>
      <c r="C123" s="2">
        <v>2.0892278701919696E-3</v>
      </c>
      <c r="D123">
        <v>7.3888188738569028E-3</v>
      </c>
      <c r="E123">
        <v>1.220572289964268E-2</v>
      </c>
      <c r="F123">
        <v>7.0405649871066681E-3</v>
      </c>
      <c r="G123">
        <v>1.5778698379145858E-2</v>
      </c>
      <c r="H123" s="2">
        <f t="shared" si="11"/>
        <v>1.0603451284938028E-2</v>
      </c>
      <c r="I123" s="2">
        <f>TTEST(D123:G123,D135:G135,2,3)</f>
        <v>0.62582826986204509</v>
      </c>
      <c r="O123" s="136" t="s">
        <v>399</v>
      </c>
      <c r="P123" s="133" t="s">
        <v>924</v>
      </c>
      <c r="Q123" s="133" t="s">
        <v>799</v>
      </c>
      <c r="R123" s="133" t="s">
        <v>800</v>
      </c>
      <c r="S123" s="133" t="s">
        <v>801</v>
      </c>
      <c r="T123" s="133"/>
      <c r="U123" s="133" t="s">
        <v>925</v>
      </c>
      <c r="V123" s="137" t="s">
        <v>926</v>
      </c>
    </row>
    <row r="124" spans="2:22" ht="15">
      <c r="B124" s="1"/>
      <c r="C124" s="1"/>
      <c r="D124" s="1"/>
      <c r="E124" s="1"/>
      <c r="F124" s="1"/>
      <c r="G124" s="1"/>
      <c r="H124" s="1"/>
      <c r="I124" s="1"/>
      <c r="O124" s="133"/>
      <c r="P124" s="133"/>
      <c r="Q124" s="133"/>
      <c r="R124" s="133"/>
      <c r="S124" s="133"/>
      <c r="T124" s="133"/>
      <c r="U124" s="133"/>
      <c r="V124" s="133"/>
    </row>
    <row r="125" spans="2:22" ht="15">
      <c r="B125" s="1"/>
      <c r="C125" s="1"/>
      <c r="D125" s="1"/>
      <c r="E125" s="1"/>
      <c r="F125" s="1"/>
      <c r="G125" s="1"/>
      <c r="H125" s="1"/>
      <c r="I125" s="1"/>
      <c r="O125" s="133"/>
      <c r="P125" s="133"/>
      <c r="Q125" s="133"/>
      <c r="R125" s="133"/>
      <c r="S125" s="133"/>
      <c r="T125" s="133"/>
      <c r="U125" s="133"/>
      <c r="V125" s="133"/>
    </row>
    <row r="126" spans="2:22" ht="15">
      <c r="B126" s="2" t="s">
        <v>891</v>
      </c>
      <c r="C126" s="24" t="s">
        <v>16</v>
      </c>
      <c r="D126" s="24" t="s">
        <v>355</v>
      </c>
      <c r="E126" s="24" t="s">
        <v>356</v>
      </c>
      <c r="F126" s="24" t="s">
        <v>357</v>
      </c>
      <c r="G126" s="24" t="s">
        <v>358</v>
      </c>
      <c r="H126" s="24" t="s">
        <v>14</v>
      </c>
      <c r="I126" s="24" t="s">
        <v>873</v>
      </c>
      <c r="O126" s="134" t="s">
        <v>891</v>
      </c>
      <c r="P126" s="135" t="s">
        <v>16</v>
      </c>
      <c r="Q126" s="135" t="s">
        <v>355</v>
      </c>
      <c r="R126" s="135" t="s">
        <v>356</v>
      </c>
      <c r="S126" s="135" t="s">
        <v>357</v>
      </c>
      <c r="T126" s="135" t="s">
        <v>358</v>
      </c>
      <c r="U126" s="135" t="s">
        <v>14</v>
      </c>
      <c r="V126" s="135" t="s">
        <v>873</v>
      </c>
    </row>
    <row r="127" spans="2:22" ht="15">
      <c r="B127" s="2" t="s">
        <v>387</v>
      </c>
      <c r="C127" s="2">
        <v>1.9778622185054958E-3</v>
      </c>
      <c r="D127">
        <v>9.5779076398585326E-3</v>
      </c>
      <c r="E127">
        <v>1.2147398847255539E-2</v>
      </c>
      <c r="F127">
        <v>3.7849618556182584E-3</v>
      </c>
      <c r="G127">
        <v>4.8072419272937065E-3</v>
      </c>
      <c r="H127" s="2">
        <f t="shared" ref="H127:H129" si="12">AVERAGE(D127:G127)</f>
        <v>7.5793775675065097E-3</v>
      </c>
      <c r="I127" s="2">
        <f>TTEST(D127:G127,D140:G140,2,3)</f>
        <v>0.92956725583960786</v>
      </c>
      <c r="O127" s="136" t="s">
        <v>387</v>
      </c>
      <c r="P127" s="133" t="s">
        <v>927</v>
      </c>
      <c r="Q127" s="133" t="s">
        <v>804</v>
      </c>
      <c r="R127" s="133" t="s">
        <v>805</v>
      </c>
      <c r="S127" s="138" t="s">
        <v>806</v>
      </c>
      <c r="T127" s="133" t="s">
        <v>807</v>
      </c>
      <c r="U127" s="133" t="s">
        <v>928</v>
      </c>
      <c r="V127" s="137" t="s">
        <v>929</v>
      </c>
    </row>
    <row r="128" spans="2:22" ht="15">
      <c r="B128" s="2" t="s">
        <v>393</v>
      </c>
      <c r="C128" s="2">
        <v>1.3537923854715814E-2</v>
      </c>
      <c r="D128">
        <v>8.3661501597601468E-2</v>
      </c>
      <c r="E128">
        <v>0.10980030363296756</v>
      </c>
      <c r="F128">
        <v>5.840304286782716E-2</v>
      </c>
      <c r="G128">
        <v>4.9733392552065367E-2</v>
      </c>
      <c r="H128" s="2">
        <f t="shared" si="12"/>
        <v>7.5399560162615384E-2</v>
      </c>
      <c r="I128" s="34">
        <f>TTEST(D128:G128,D141:G141,2,3)</f>
        <v>1.6648982235198607E-2</v>
      </c>
      <c r="J128" s="46" t="s">
        <v>875</v>
      </c>
      <c r="O128" s="136" t="s">
        <v>393</v>
      </c>
      <c r="P128" s="133" t="s">
        <v>930</v>
      </c>
      <c r="Q128" s="133" t="s">
        <v>808</v>
      </c>
      <c r="R128" s="133" t="s">
        <v>809</v>
      </c>
      <c r="S128" s="133" t="s">
        <v>810</v>
      </c>
      <c r="T128" s="133"/>
      <c r="U128" s="133" t="s">
        <v>931</v>
      </c>
      <c r="V128" s="136" t="s">
        <v>932</v>
      </c>
    </row>
    <row r="129" spans="2:22" ht="15">
      <c r="B129" s="2" t="s">
        <v>399</v>
      </c>
      <c r="C129" s="2">
        <v>1.2030602172075251E-3</v>
      </c>
      <c r="D129">
        <v>6.6346868071650265E-3</v>
      </c>
      <c r="E129">
        <v>1.7089199891663874E-3</v>
      </c>
      <c r="F129">
        <v>6.5570082162534305E-3</v>
      </c>
      <c r="G129">
        <v>3.5793770882440205E-3</v>
      </c>
      <c r="H129" s="2">
        <f t="shared" si="12"/>
        <v>4.6199980252072167E-3</v>
      </c>
      <c r="I129" s="2">
        <f>TTEST(D129:G129,D142:G142,2,3)</f>
        <v>0.69764596544660129</v>
      </c>
      <c r="O129" s="136" t="s">
        <v>399</v>
      </c>
      <c r="P129" s="133" t="s">
        <v>933</v>
      </c>
      <c r="Q129" s="133" t="s">
        <v>812</v>
      </c>
      <c r="R129" s="133" t="s">
        <v>813</v>
      </c>
      <c r="S129" s="133" t="s">
        <v>814</v>
      </c>
      <c r="T129" s="133" t="s">
        <v>804</v>
      </c>
      <c r="U129" s="133" t="s">
        <v>934</v>
      </c>
      <c r="V129" s="136" t="s">
        <v>935</v>
      </c>
    </row>
    <row r="130" spans="2:22" ht="15">
      <c r="B130" s="1"/>
      <c r="C130" s="1"/>
      <c r="D130" s="1"/>
      <c r="E130" s="1"/>
      <c r="F130" s="1"/>
      <c r="G130" s="1"/>
      <c r="H130" s="1"/>
      <c r="I130" s="1"/>
      <c r="O130" s="133"/>
      <c r="P130" s="133"/>
      <c r="Q130" s="133"/>
      <c r="R130" s="133"/>
      <c r="S130" s="133"/>
      <c r="T130" s="133"/>
      <c r="U130" s="133"/>
      <c r="V130" s="133"/>
    </row>
    <row r="131" spans="2:22" ht="15">
      <c r="B131" s="1"/>
      <c r="C131" s="1"/>
      <c r="D131" s="1"/>
      <c r="E131" s="1"/>
      <c r="F131" s="1"/>
      <c r="G131" s="1"/>
      <c r="H131" s="1"/>
      <c r="I131" s="1"/>
      <c r="O131" s="133"/>
      <c r="P131" s="133"/>
      <c r="Q131" s="133"/>
      <c r="R131" s="133"/>
      <c r="S131" s="133"/>
      <c r="T131" s="133"/>
      <c r="U131" s="133"/>
      <c r="V131" s="133"/>
    </row>
    <row r="132" spans="2:22" ht="15">
      <c r="B132" s="2" t="s">
        <v>892</v>
      </c>
      <c r="C132" s="24" t="s">
        <v>16</v>
      </c>
      <c r="D132" s="24" t="s">
        <v>355</v>
      </c>
      <c r="E132" s="24" t="s">
        <v>356</v>
      </c>
      <c r="F132" s="24" t="s">
        <v>357</v>
      </c>
      <c r="G132" s="24" t="s">
        <v>358</v>
      </c>
      <c r="H132" s="24" t="s">
        <v>14</v>
      </c>
      <c r="I132" s="1"/>
      <c r="O132" s="134" t="s">
        <v>892</v>
      </c>
      <c r="P132" s="135" t="s">
        <v>16</v>
      </c>
      <c r="Q132" s="135" t="s">
        <v>355</v>
      </c>
      <c r="R132" s="135" t="s">
        <v>356</v>
      </c>
      <c r="S132" s="135" t="s">
        <v>357</v>
      </c>
      <c r="T132" s="135" t="s">
        <v>358</v>
      </c>
      <c r="U132" s="135" t="s">
        <v>14</v>
      </c>
      <c r="V132" s="133"/>
    </row>
    <row r="133" spans="2:22" ht="15">
      <c r="B133" s="2" t="s">
        <v>387</v>
      </c>
      <c r="C133" s="2">
        <v>1.0270974584218859E-2</v>
      </c>
      <c r="D133">
        <v>7.0368888860739637E-2</v>
      </c>
      <c r="E133">
        <v>2.8712919835177798E-2</v>
      </c>
      <c r="F133">
        <v>2.5145520659861753E-2</v>
      </c>
      <c r="G133">
        <v>3.9972144312648415E-2</v>
      </c>
      <c r="H133" s="2">
        <f t="shared" ref="H133:H135" si="13">AVERAGE(D133:G133)</f>
        <v>4.1049868417106901E-2</v>
      </c>
      <c r="I133" s="1"/>
      <c r="O133" s="136" t="s">
        <v>387</v>
      </c>
      <c r="P133" s="133" t="s">
        <v>936</v>
      </c>
      <c r="Q133" s="133" t="s">
        <v>937</v>
      </c>
      <c r="R133" s="133" t="s">
        <v>938</v>
      </c>
      <c r="S133" s="133" t="s">
        <v>939</v>
      </c>
      <c r="T133" s="133" t="s">
        <v>940</v>
      </c>
      <c r="U133" s="133" t="s">
        <v>941</v>
      </c>
      <c r="V133" s="133"/>
    </row>
    <row r="134" spans="2:22" ht="15">
      <c r="B134" s="2" t="s">
        <v>393</v>
      </c>
      <c r="C134" s="2">
        <v>1.0980960304923999E-2</v>
      </c>
      <c r="D134">
        <v>5.979310599510965E-3</v>
      </c>
      <c r="E134">
        <v>4.9082738621201792E-2</v>
      </c>
      <c r="F134">
        <v>3.4116685825715219E-3</v>
      </c>
      <c r="G134">
        <v>6.3156949081417182E-3</v>
      </c>
      <c r="H134" s="2">
        <f t="shared" si="13"/>
        <v>1.6197353177856498E-2</v>
      </c>
      <c r="I134" s="1"/>
      <c r="O134" s="136" t="s">
        <v>393</v>
      </c>
      <c r="P134" s="133" t="s">
        <v>942</v>
      </c>
      <c r="Q134" s="133" t="s">
        <v>943</v>
      </c>
      <c r="R134" s="133" t="s">
        <v>944</v>
      </c>
      <c r="S134" s="133" t="s">
        <v>945</v>
      </c>
      <c r="T134" s="133" t="s">
        <v>946</v>
      </c>
      <c r="U134" s="133" t="s">
        <v>947</v>
      </c>
      <c r="V134" s="133"/>
    </row>
    <row r="135" spans="2:22" ht="15">
      <c r="B135" s="2" t="s">
        <v>399</v>
      </c>
      <c r="C135" s="2">
        <v>1.6607828319180542E-3</v>
      </c>
      <c r="D135">
        <v>1.0231138931274846E-2</v>
      </c>
      <c r="E135">
        <v>2.9403938999721411E-2</v>
      </c>
      <c r="F135">
        <v>8.5898487842146903E-3</v>
      </c>
      <c r="G135">
        <v>6.2735029249544058E-3</v>
      </c>
      <c r="H135" s="2">
        <f t="shared" si="13"/>
        <v>1.3624607410041338E-2</v>
      </c>
      <c r="I135" s="1"/>
      <c r="O135" s="136" t="s">
        <v>399</v>
      </c>
      <c r="P135" s="133" t="s">
        <v>948</v>
      </c>
      <c r="Q135" s="133" t="s">
        <v>949</v>
      </c>
      <c r="R135" s="133" t="s">
        <v>950</v>
      </c>
      <c r="S135" s="133" t="s">
        <v>951</v>
      </c>
      <c r="T135" s="133" t="s">
        <v>952</v>
      </c>
      <c r="U135" s="133" t="s">
        <v>953</v>
      </c>
      <c r="V135" s="133"/>
    </row>
    <row r="136" spans="2:22" ht="15">
      <c r="B136" s="2"/>
      <c r="C136" s="1"/>
      <c r="D136" s="1"/>
      <c r="E136" s="1"/>
      <c r="F136" s="1"/>
      <c r="G136" s="1"/>
      <c r="H136" s="1"/>
      <c r="I136" s="1"/>
      <c r="O136" s="136" t="s">
        <v>757</v>
      </c>
      <c r="P136" s="133"/>
      <c r="Q136" s="133"/>
      <c r="R136" s="133"/>
      <c r="S136" s="133"/>
      <c r="T136" s="133"/>
      <c r="U136" s="133"/>
      <c r="V136" s="133"/>
    </row>
    <row r="137" spans="2:22" ht="15">
      <c r="B137" s="1"/>
      <c r="C137" s="1"/>
      <c r="D137" s="1"/>
      <c r="E137" s="1"/>
      <c r="F137" s="1"/>
      <c r="G137" s="1"/>
      <c r="H137" s="1"/>
      <c r="I137" s="1"/>
      <c r="O137" s="133"/>
      <c r="P137" s="133"/>
      <c r="Q137" s="133"/>
      <c r="R137" s="133"/>
      <c r="S137" s="133"/>
      <c r="T137" s="133"/>
      <c r="U137" s="133"/>
      <c r="V137" s="133"/>
    </row>
    <row r="138" spans="2:22" ht="15">
      <c r="I138" s="1"/>
      <c r="O138" s="133"/>
      <c r="P138" s="133"/>
      <c r="Q138" s="133"/>
      <c r="R138" s="133"/>
      <c r="S138" s="133"/>
      <c r="T138" s="133"/>
      <c r="U138" s="133"/>
      <c r="V138" s="133"/>
    </row>
    <row r="139" spans="2:22" ht="15">
      <c r="B139" s="2" t="s">
        <v>893</v>
      </c>
      <c r="C139" s="24" t="s">
        <v>16</v>
      </c>
      <c r="D139" s="24" t="s">
        <v>355</v>
      </c>
      <c r="E139" s="24" t="s">
        <v>356</v>
      </c>
      <c r="F139" s="24" t="s">
        <v>357</v>
      </c>
      <c r="G139" s="24" t="s">
        <v>358</v>
      </c>
      <c r="H139" s="24" t="s">
        <v>14</v>
      </c>
      <c r="I139" s="1"/>
      <c r="O139" s="134" t="s">
        <v>893</v>
      </c>
      <c r="P139" s="135" t="s">
        <v>16</v>
      </c>
      <c r="Q139" s="135" t="s">
        <v>355</v>
      </c>
      <c r="R139" s="135" t="s">
        <v>356</v>
      </c>
      <c r="S139" s="135" t="s">
        <v>357</v>
      </c>
      <c r="T139" s="135" t="s">
        <v>358</v>
      </c>
      <c r="U139" s="135" t="s">
        <v>14</v>
      </c>
      <c r="V139" s="133"/>
    </row>
    <row r="140" spans="2:22" ht="15">
      <c r="B140" s="2" t="s">
        <v>387</v>
      </c>
      <c r="C140" s="2">
        <v>2.8786229659788611E-3</v>
      </c>
      <c r="D140">
        <v>1.7667577793600878E-3</v>
      </c>
      <c r="E140">
        <v>7.4559388516315227E-3</v>
      </c>
      <c r="F140">
        <v>4.642675654974544E-3</v>
      </c>
      <c r="G140">
        <v>1.5157672136824138E-2</v>
      </c>
      <c r="H140" s="2">
        <f t="shared" ref="H140:H142" si="14">AVERAGE(D140:G140)</f>
        <v>7.2557611056975734E-3</v>
      </c>
      <c r="I140" s="1"/>
      <c r="O140" s="136" t="s">
        <v>387</v>
      </c>
      <c r="P140" s="133" t="s">
        <v>954</v>
      </c>
      <c r="Q140" s="133" t="s">
        <v>835</v>
      </c>
      <c r="R140" s="133" t="s">
        <v>836</v>
      </c>
      <c r="S140" s="133" t="s">
        <v>837</v>
      </c>
      <c r="T140" s="133" t="s">
        <v>838</v>
      </c>
      <c r="U140" s="133" t="s">
        <v>955</v>
      </c>
      <c r="V140" s="133"/>
    </row>
    <row r="141" spans="2:22" ht="15">
      <c r="B141" s="2" t="s">
        <v>393</v>
      </c>
      <c r="C141" s="2">
        <v>4.1424942425117191E-3</v>
      </c>
      <c r="D141">
        <v>2.5881473806354336E-2</v>
      </c>
      <c r="E141">
        <v>5.9550124358341153E-3</v>
      </c>
      <c r="F141">
        <v>1.5445105473943278E-2</v>
      </c>
      <c r="G141">
        <v>1.2653134721983808E-2</v>
      </c>
      <c r="H141" s="2">
        <f>AVERAGE(D141:G141)</f>
        <v>1.4983681609528886E-2</v>
      </c>
      <c r="I141" s="1"/>
      <c r="O141" s="136" t="s">
        <v>393</v>
      </c>
      <c r="P141" s="133" t="s">
        <v>956</v>
      </c>
      <c r="Q141" s="133" t="s">
        <v>839</v>
      </c>
      <c r="R141" s="133" t="s">
        <v>840</v>
      </c>
      <c r="S141" s="133" t="s">
        <v>841</v>
      </c>
      <c r="T141" s="133" t="s">
        <v>842</v>
      </c>
      <c r="U141" s="133" t="s">
        <v>957</v>
      </c>
      <c r="V141" s="133"/>
    </row>
    <row r="142" spans="2:22" ht="15">
      <c r="B142" s="2" t="s">
        <v>399</v>
      </c>
      <c r="C142" s="2">
        <v>9.1654288043220881E-4</v>
      </c>
      <c r="D142">
        <v>2.611254273928971E-3</v>
      </c>
      <c r="E142">
        <v>2.7300026317400349E-3</v>
      </c>
      <c r="F142">
        <v>4.1090618162842856E-3</v>
      </c>
      <c r="G142">
        <v>6.554841362948329E-3</v>
      </c>
      <c r="H142" s="2">
        <f t="shared" si="14"/>
        <v>4.0012900212254053E-3</v>
      </c>
      <c r="I142" s="1"/>
      <c r="O142" s="136" t="s">
        <v>399</v>
      </c>
      <c r="P142" s="133" t="s">
        <v>958</v>
      </c>
      <c r="Q142" s="133" t="s">
        <v>845</v>
      </c>
      <c r="R142" s="133" t="s">
        <v>846</v>
      </c>
      <c r="S142" s="133" t="s">
        <v>847</v>
      </c>
      <c r="T142" s="133" t="s">
        <v>848</v>
      </c>
      <c r="U142" s="133" t="s">
        <v>959</v>
      </c>
      <c r="V142" s="133"/>
    </row>
    <row r="143" spans="2:22" ht="15"/>
    <row r="144" spans="2:22" ht="15"/>
  </sheetData>
  <mergeCells count="1">
    <mergeCell ref="D2:F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0089C-FE85-4590-A09F-3AF59C853D4A}">
  <dimension ref="A1:AI160"/>
  <sheetViews>
    <sheetView tabSelected="1" zoomScale="70" zoomScaleNormal="70" workbookViewId="0">
      <selection activeCell="N1" sqref="N1:N1048576"/>
    </sheetView>
  </sheetViews>
  <sheetFormatPr defaultRowHeight="14.45"/>
  <cols>
    <col min="1" max="1" width="29" customWidth="1"/>
    <col min="2" max="2" width="33.140625" customWidth="1"/>
    <col min="3" max="3" width="21" customWidth="1"/>
    <col min="6" max="6" width="16.42578125" customWidth="1"/>
    <col min="11" max="11" width="18.28515625" customWidth="1"/>
    <col min="12" max="12" width="23.7109375" customWidth="1"/>
    <col min="15" max="15" width="11.140625" customWidth="1"/>
    <col min="17" max="17" width="12.5703125" customWidth="1"/>
    <col min="18" max="18" width="11.7109375" customWidth="1"/>
  </cols>
  <sheetData>
    <row r="1" spans="1:35" ht="1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1.6" thickBot="1">
      <c r="A2" s="1"/>
      <c r="B2" s="96" t="s">
        <v>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8">
      <c r="A3" s="97" t="s">
        <v>7</v>
      </c>
      <c r="B3" s="97" t="s">
        <v>8</v>
      </c>
      <c r="C3" s="97" t="s">
        <v>9</v>
      </c>
      <c r="D3" s="97" t="s">
        <v>10</v>
      </c>
      <c r="E3" s="97"/>
      <c r="F3" s="97" t="s">
        <v>11</v>
      </c>
      <c r="G3" s="97" t="s">
        <v>10</v>
      </c>
      <c r="H3" s="97"/>
      <c r="I3" s="97" t="s">
        <v>12</v>
      </c>
      <c r="J3" s="97"/>
      <c r="K3" s="97" t="s">
        <v>13</v>
      </c>
      <c r="L3" s="97" t="s">
        <v>14</v>
      </c>
      <c r="M3" s="97"/>
      <c r="N3" s="97"/>
      <c r="O3" s="97"/>
      <c r="P3" s="97"/>
      <c r="Q3" s="97" t="s">
        <v>15</v>
      </c>
      <c r="R3" s="97" t="s">
        <v>16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>
      <c r="A4" s="1">
        <v>1</v>
      </c>
      <c r="B4" s="1" t="s">
        <v>17</v>
      </c>
      <c r="C4" s="98" t="s">
        <v>18</v>
      </c>
      <c r="D4" s="1">
        <v>20.143281936645501</v>
      </c>
      <c r="E4" s="1"/>
      <c r="F4" s="1" t="s">
        <v>6</v>
      </c>
      <c r="G4" s="1">
        <v>25.0566291809082</v>
      </c>
      <c r="H4" s="1"/>
      <c r="I4" s="1">
        <f>G4-D4</f>
        <v>4.9133472442626989</v>
      </c>
      <c r="J4" s="1"/>
      <c r="K4" s="1">
        <f>2^(-I4)</f>
        <v>3.3184486396795415E-2</v>
      </c>
      <c r="L4" s="1">
        <f>AVERAGE(K4:K7)</f>
        <v>1.8016462342120815E-2</v>
      </c>
      <c r="M4" s="1"/>
      <c r="N4" s="99"/>
      <c r="O4" s="1"/>
      <c r="P4" s="1"/>
      <c r="Q4" s="1">
        <f>STDEVA(K4:K7)</f>
        <v>1.2188472150522552E-2</v>
      </c>
      <c r="R4" s="1">
        <f>Q4/SQRT(4)</f>
        <v>6.0942360752612758E-3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>
      <c r="A5" s="1">
        <v>2</v>
      </c>
      <c r="B5" s="1" t="s">
        <v>17</v>
      </c>
      <c r="C5" s="98" t="s">
        <v>18</v>
      </c>
      <c r="D5" s="1">
        <v>18.359188079833984</v>
      </c>
      <c r="E5" s="1"/>
      <c r="F5" s="1" t="s">
        <v>6</v>
      </c>
      <c r="G5" s="1">
        <v>24.580120086669922</v>
      </c>
      <c r="H5" s="1"/>
      <c r="I5" s="1">
        <f>G5-D5</f>
        <v>6.2209320068359375</v>
      </c>
      <c r="J5" s="1"/>
      <c r="K5" s="1">
        <f t="shared" ref="K5:K7" si="0">2^(-I5)</f>
        <v>1.3406421357911039E-2</v>
      </c>
      <c r="L5" s="1"/>
      <c r="M5" s="1"/>
      <c r="N5" s="9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>
      <c r="A6" s="1">
        <v>3</v>
      </c>
      <c r="B6" s="1" t="s">
        <v>17</v>
      </c>
      <c r="C6" s="98" t="s">
        <v>18</v>
      </c>
      <c r="D6" s="1">
        <v>18.227993011474609</v>
      </c>
      <c r="E6" s="1"/>
      <c r="F6" s="1" t="s">
        <v>6</v>
      </c>
      <c r="G6" s="1">
        <v>23.797157287597656</v>
      </c>
      <c r="H6" s="1"/>
      <c r="I6" s="1">
        <f>G6-D6</f>
        <v>5.5691642761230469</v>
      </c>
      <c r="J6" s="1"/>
      <c r="K6" s="1">
        <f t="shared" si="0"/>
        <v>2.1062722311641864E-2</v>
      </c>
      <c r="L6" s="1"/>
      <c r="M6" s="1"/>
      <c r="N6" s="9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>
      <c r="A7" s="1">
        <v>4</v>
      </c>
      <c r="B7" s="1" t="s">
        <v>17</v>
      </c>
      <c r="C7" s="98" t="s">
        <v>18</v>
      </c>
      <c r="D7" s="1">
        <v>16.900539398193359</v>
      </c>
      <c r="E7" s="1"/>
      <c r="F7" s="1" t="s">
        <v>6</v>
      </c>
      <c r="G7" s="1">
        <v>24.724819183349609</v>
      </c>
      <c r="H7" s="1"/>
      <c r="I7" s="1">
        <f>G7-D7</f>
        <v>7.82427978515625</v>
      </c>
      <c r="J7" s="1"/>
      <c r="K7" s="1">
        <f t="shared" si="0"/>
        <v>4.4122193021349579E-3</v>
      </c>
      <c r="L7" s="1"/>
      <c r="M7" s="1"/>
      <c r="N7" s="9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9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9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9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>
      <c r="A11" s="1">
        <v>1</v>
      </c>
      <c r="B11" s="1" t="s">
        <v>19</v>
      </c>
      <c r="C11" s="98" t="s">
        <v>18</v>
      </c>
      <c r="D11" s="1">
        <v>18.756221771240234</v>
      </c>
      <c r="E11" s="1"/>
      <c r="F11" s="1" t="s">
        <v>6</v>
      </c>
      <c r="G11" s="1">
        <v>23.459800720214844</v>
      </c>
      <c r="H11" s="1"/>
      <c r="I11" s="1">
        <f>G11-D11</f>
        <v>4.7035789489746094</v>
      </c>
      <c r="J11" s="1"/>
      <c r="K11" s="1">
        <f>2^(-I11)</f>
        <v>3.8377939102287907E-2</v>
      </c>
      <c r="L11" s="1">
        <f>AVERAGE(K11:K14)</f>
        <v>2.1135008633865235E-2</v>
      </c>
      <c r="M11" s="1"/>
      <c r="N11" s="99"/>
      <c r="O11" s="1"/>
      <c r="P11" s="1"/>
      <c r="Q11" s="1">
        <f>STDEVA(K11:K14)</f>
        <v>1.2993736378123287E-2</v>
      </c>
      <c r="R11" s="1">
        <f>Q11/SQRT(4)</f>
        <v>6.4968681890616433E-3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>
      <c r="A12" s="1">
        <v>2</v>
      </c>
      <c r="B12" s="1" t="s">
        <v>19</v>
      </c>
      <c r="C12" s="98" t="s">
        <v>18</v>
      </c>
      <c r="D12" s="1">
        <v>17.687248229980469</v>
      </c>
      <c r="E12" s="1"/>
      <c r="F12" s="1" t="s">
        <v>6</v>
      </c>
      <c r="G12" s="1">
        <v>23.225223541259766</v>
      </c>
      <c r="H12" s="1"/>
      <c r="I12" s="1">
        <f>G12-D12</f>
        <v>5.5379753112792969</v>
      </c>
      <c r="J12" s="1"/>
      <c r="K12" s="1">
        <f t="shared" ref="K12:K14" si="1">2^(-I12)</f>
        <v>2.1523025293333616E-2</v>
      </c>
      <c r="L12" s="1"/>
      <c r="M12" s="1"/>
      <c r="N12" s="9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>
      <c r="A13" s="1">
        <v>3</v>
      </c>
      <c r="B13" s="1" t="s">
        <v>19</v>
      </c>
      <c r="C13" s="98" t="s">
        <v>18</v>
      </c>
      <c r="D13" s="1">
        <v>18.46928596496582</v>
      </c>
      <c r="E13" s="1"/>
      <c r="F13" s="1" t="s">
        <v>6</v>
      </c>
      <c r="G13" s="1">
        <v>24.306015014648438</v>
      </c>
      <c r="H13" s="1"/>
      <c r="I13" s="1">
        <f>G13-D13</f>
        <v>5.8367290496826172</v>
      </c>
      <c r="J13" s="1"/>
      <c r="K13" s="1">
        <f t="shared" si="1"/>
        <v>1.7497237205634189E-2</v>
      </c>
      <c r="L13" s="1"/>
      <c r="M13" s="1"/>
      <c r="N13" s="9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>
      <c r="A14" s="1">
        <v>4</v>
      </c>
      <c r="B14" s="1" t="s">
        <v>19</v>
      </c>
      <c r="C14" s="98" t="s">
        <v>18</v>
      </c>
      <c r="D14" s="1">
        <v>17.378242492675781</v>
      </c>
      <c r="E14" s="1"/>
      <c r="F14" s="1" t="s">
        <v>6</v>
      </c>
      <c r="G14" s="1">
        <v>24.507732391357422</v>
      </c>
      <c r="H14" s="1"/>
      <c r="I14" s="1">
        <f>G14-D14</f>
        <v>7.1294898986816406</v>
      </c>
      <c r="J14" s="1"/>
      <c r="K14" s="1">
        <f t="shared" si="1"/>
        <v>7.1418329342052235E-3</v>
      </c>
      <c r="L14" s="1"/>
      <c r="M14" s="1"/>
      <c r="N14" s="9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9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9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>
      <c r="A17" s="1">
        <v>1</v>
      </c>
      <c r="B17" s="1" t="s">
        <v>20</v>
      </c>
      <c r="C17" s="98" t="s">
        <v>18</v>
      </c>
      <c r="D17" s="1">
        <v>17.974868774414063</v>
      </c>
      <c r="E17" s="1"/>
      <c r="F17" s="1" t="s">
        <v>6</v>
      </c>
      <c r="G17" s="1">
        <v>24.020900726318359</v>
      </c>
      <c r="H17" s="1"/>
      <c r="I17" s="1">
        <f>G17-D17</f>
        <v>6.0460319519042969</v>
      </c>
      <c r="J17" s="1"/>
      <c r="K17" s="1">
        <f>2^(-I17)</f>
        <v>1.5134324017444606E-2</v>
      </c>
      <c r="L17" s="1">
        <f>AVERAGE(K17:K20)</f>
        <v>2.5631250754376007E-2</v>
      </c>
      <c r="M17" s="1"/>
      <c r="N17" s="99"/>
      <c r="O17" s="1"/>
      <c r="P17" s="1"/>
      <c r="Q17" s="1">
        <f>STDEVA(K17:K20)</f>
        <v>2.0395429385181969E-2</v>
      </c>
      <c r="R17" s="1">
        <f>Q17/SQRT(4)</f>
        <v>1.0197714692590985E-2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>
      <c r="A18" s="1">
        <v>2</v>
      </c>
      <c r="B18" s="1" t="s">
        <v>20</v>
      </c>
      <c r="C18" s="98" t="s">
        <v>18</v>
      </c>
      <c r="D18" s="1">
        <v>19.398357391357422</v>
      </c>
      <c r="E18" s="1"/>
      <c r="F18" s="1" t="s">
        <v>6</v>
      </c>
      <c r="G18" s="1">
        <v>25.190464019775391</v>
      </c>
      <c r="H18" s="1"/>
      <c r="I18" s="1">
        <f>G18-D18</f>
        <v>5.7921066284179688</v>
      </c>
      <c r="J18" s="1"/>
      <c r="K18" s="1">
        <f t="shared" ref="K18:K20" si="2">2^(-I18)</f>
        <v>1.804688150401244E-2</v>
      </c>
      <c r="L18" s="1"/>
      <c r="M18" s="1"/>
      <c r="N18" s="9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>
      <c r="A19" s="1">
        <v>3</v>
      </c>
      <c r="B19" s="1" t="s">
        <v>20</v>
      </c>
      <c r="C19" s="98" t="s">
        <v>18</v>
      </c>
      <c r="D19" s="1">
        <v>20.825607299804688</v>
      </c>
      <c r="E19" s="1"/>
      <c r="F19" s="1" t="s">
        <v>6</v>
      </c>
      <c r="G19" s="1">
        <v>24.981937408447266</v>
      </c>
      <c r="H19" s="1"/>
      <c r="I19" s="1">
        <f>G19-D19</f>
        <v>4.1563301086425781</v>
      </c>
      <c r="J19" s="1"/>
      <c r="K19" s="1">
        <f t="shared" si="2"/>
        <v>5.6081544462997172E-2</v>
      </c>
      <c r="L19" s="1"/>
      <c r="M19" s="1"/>
      <c r="N19" s="9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>
      <c r="A20" s="1">
        <v>4</v>
      </c>
      <c r="B20" s="1" t="s">
        <v>20</v>
      </c>
      <c r="C20" s="98" t="s">
        <v>18</v>
      </c>
      <c r="D20" s="1">
        <v>19.177194595336914</v>
      </c>
      <c r="E20" s="1"/>
      <c r="F20" s="1" t="s">
        <v>6</v>
      </c>
      <c r="G20" s="1">
        <v>25.413724899291992</v>
      </c>
      <c r="H20" s="1"/>
      <c r="I20" s="1">
        <f>G20-D20</f>
        <v>6.2365303039550781</v>
      </c>
      <c r="J20" s="1"/>
      <c r="K20" s="1">
        <f t="shared" si="2"/>
        <v>1.3262253033049821E-2</v>
      </c>
      <c r="L20" s="1"/>
      <c r="M20" s="1"/>
      <c r="N20" s="9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9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9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9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>
      <c r="A24" s="1">
        <v>1</v>
      </c>
      <c r="B24" s="1" t="s">
        <v>21</v>
      </c>
      <c r="C24" s="98" t="s">
        <v>18</v>
      </c>
      <c r="D24" s="1">
        <v>18.806591033935547</v>
      </c>
      <c r="E24" s="1"/>
      <c r="F24" s="1" t="s">
        <v>6</v>
      </c>
      <c r="G24" s="1">
        <v>24.119407653808594</v>
      </c>
      <c r="H24" s="1"/>
      <c r="I24" s="1">
        <f>G24-D24</f>
        <v>5.3128166198730469</v>
      </c>
      <c r="J24" s="1"/>
      <c r="K24" s="1">
        <f>2^(-I24)</f>
        <v>2.5158389465671092E-2</v>
      </c>
      <c r="L24" s="1">
        <f>AVERAGE(K24:K27)</f>
        <v>6.5744596509791045E-2</v>
      </c>
      <c r="M24" s="1"/>
      <c r="N24" s="99"/>
      <c r="O24" s="1"/>
      <c r="P24" s="1"/>
      <c r="Q24" s="1">
        <f>STDEVA(K24:K27)</f>
        <v>6.3736652102518568E-2</v>
      </c>
      <c r="R24" s="1">
        <f>Q24/SQRT(4)</f>
        <v>3.1868326051259284E-2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>
      <c r="A25" s="1">
        <v>2</v>
      </c>
      <c r="B25" s="1" t="s">
        <v>21</v>
      </c>
      <c r="C25" s="98" t="s">
        <v>18</v>
      </c>
      <c r="D25" s="1">
        <v>20.654462814331055</v>
      </c>
      <c r="E25" s="1"/>
      <c r="F25" s="1" t="s">
        <v>6</v>
      </c>
      <c r="G25" s="1">
        <v>23.300586700439453</v>
      </c>
      <c r="H25" s="1"/>
      <c r="I25" s="1">
        <f>G25-D25</f>
        <v>2.6461238861083984</v>
      </c>
      <c r="J25" s="1"/>
      <c r="K25" s="1">
        <f t="shared" ref="K25:K27" si="3">2^(-I25)</f>
        <v>0.15974870198159033</v>
      </c>
      <c r="L25" s="1"/>
      <c r="M25" s="1"/>
      <c r="N25" s="9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>
      <c r="A26" s="1">
        <v>3</v>
      </c>
      <c r="B26" s="1" t="s">
        <v>21</v>
      </c>
      <c r="C26" s="98" t="s">
        <v>18</v>
      </c>
      <c r="D26" s="1">
        <v>17.149078369140625</v>
      </c>
      <c r="E26" s="1"/>
      <c r="F26" s="1" t="s">
        <v>6</v>
      </c>
      <c r="G26" s="1">
        <v>22.345027923583984</v>
      </c>
      <c r="H26" s="1"/>
      <c r="I26" s="1">
        <f>G26-D26</f>
        <v>5.1959495544433594</v>
      </c>
      <c r="J26" s="1"/>
      <c r="K26" s="1">
        <f t="shared" si="3"/>
        <v>2.7281191125711299E-2</v>
      </c>
      <c r="L26" s="1"/>
      <c r="M26" s="1"/>
      <c r="N26" s="9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>
      <c r="A27" s="1">
        <v>4</v>
      </c>
      <c r="B27" s="1" t="s">
        <v>21</v>
      </c>
      <c r="C27" s="98" t="s">
        <v>18</v>
      </c>
      <c r="D27" s="1">
        <v>21.388389587402344</v>
      </c>
      <c r="E27" s="1"/>
      <c r="F27" s="1" t="s">
        <v>6</v>
      </c>
      <c r="G27" s="1">
        <v>25.687698364257813</v>
      </c>
      <c r="H27" s="1"/>
      <c r="I27" s="1">
        <f>G27-D27</f>
        <v>4.2993087768554688</v>
      </c>
      <c r="J27" s="1"/>
      <c r="K27" s="1">
        <f t="shared" si="3"/>
        <v>5.0790103466191429E-2</v>
      </c>
      <c r="L27" s="1"/>
      <c r="M27" s="1"/>
      <c r="N27" s="9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9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9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>
      <c r="A30" s="1">
        <v>1</v>
      </c>
      <c r="B30" s="1" t="s">
        <v>22</v>
      </c>
      <c r="C30" s="98" t="s">
        <v>18</v>
      </c>
      <c r="D30" s="1">
        <v>20.428304672241211</v>
      </c>
      <c r="E30" s="1"/>
      <c r="F30" s="1" t="s">
        <v>6</v>
      </c>
      <c r="G30" s="1">
        <v>25.774381637573242</v>
      </c>
      <c r="H30" s="1"/>
      <c r="I30" s="1">
        <f>G30-D30</f>
        <v>5.3460769653320313</v>
      </c>
      <c r="J30" s="1"/>
      <c r="K30" s="1">
        <f>2^(-I30)</f>
        <v>2.45850148134963E-2</v>
      </c>
      <c r="L30" s="1">
        <f>AVERAGE(K30:K33)</f>
        <v>6.6896525150111505E-2</v>
      </c>
      <c r="M30" s="1"/>
      <c r="N30" s="99"/>
      <c r="O30" s="1"/>
      <c r="P30" s="1"/>
      <c r="Q30" s="1">
        <f>STDEVA(K30:K33)</f>
        <v>5.2561486529621927E-2</v>
      </c>
      <c r="R30" s="1">
        <f>Q30/SQRT(4)</f>
        <v>2.6280743264810964E-2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>
      <c r="A31" s="1">
        <v>2</v>
      </c>
      <c r="B31" s="1" t="s">
        <v>22</v>
      </c>
      <c r="C31" s="98" t="s">
        <v>18</v>
      </c>
      <c r="D31" s="1">
        <v>21.355932235717773</v>
      </c>
      <c r="E31" s="1"/>
      <c r="F31" s="1" t="s">
        <v>6</v>
      </c>
      <c r="G31" s="1">
        <v>25.577049255371094</v>
      </c>
      <c r="H31" s="1"/>
      <c r="I31" s="1">
        <f>G31-D31</f>
        <v>4.2211170196533203</v>
      </c>
      <c r="J31" s="1"/>
      <c r="K31" s="1">
        <f t="shared" ref="K31:K33" si="4">2^(-I31)</f>
        <v>5.3618808855012523E-2</v>
      </c>
      <c r="L31" s="1"/>
      <c r="M31" s="1"/>
      <c r="N31" s="9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>
      <c r="A32" s="1">
        <v>3</v>
      </c>
      <c r="B32" s="1" t="s">
        <v>22</v>
      </c>
      <c r="C32" s="98" t="s">
        <v>18</v>
      </c>
      <c r="D32" s="1">
        <v>21.055217742919922</v>
      </c>
      <c r="E32" s="1"/>
      <c r="F32" s="1" t="s">
        <v>6</v>
      </c>
      <c r="G32" s="1">
        <v>23.855484008789063</v>
      </c>
      <c r="H32" s="1"/>
      <c r="I32" s="1">
        <f>G32-D32</f>
        <v>2.8002662658691406</v>
      </c>
      <c r="J32" s="1"/>
      <c r="K32" s="1">
        <f t="shared" si="4"/>
        <v>0.14356079614267125</v>
      </c>
      <c r="L32" s="1"/>
      <c r="M32" s="1"/>
      <c r="N32" s="99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>
      <c r="A33" s="1">
        <v>4</v>
      </c>
      <c r="B33" s="1" t="s">
        <v>22</v>
      </c>
      <c r="C33" s="98" t="s">
        <v>18</v>
      </c>
      <c r="D33" s="1">
        <v>21.066230773925781</v>
      </c>
      <c r="E33" s="1"/>
      <c r="F33" s="1" t="s">
        <v>6</v>
      </c>
      <c r="G33" s="1">
        <v>25.514062881469727</v>
      </c>
      <c r="H33" s="1"/>
      <c r="I33" s="1">
        <f>G33-D33</f>
        <v>4.4478321075439453</v>
      </c>
      <c r="J33" s="1"/>
      <c r="K33" s="1">
        <f t="shared" si="4"/>
        <v>4.5821480789265956E-2</v>
      </c>
      <c r="L33" s="1"/>
      <c r="M33" s="1"/>
      <c r="N33" s="9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9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9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>
      <c r="A36" s="1">
        <v>1</v>
      </c>
      <c r="B36" s="1" t="s">
        <v>23</v>
      </c>
      <c r="C36" s="98" t="s">
        <v>18</v>
      </c>
      <c r="D36" s="1">
        <v>19.902528762817383</v>
      </c>
      <c r="E36" s="1"/>
      <c r="F36" s="1" t="s">
        <v>6</v>
      </c>
      <c r="G36" s="1">
        <v>24.154258728027344</v>
      </c>
      <c r="H36" s="1"/>
      <c r="I36" s="1">
        <f>G36-D36</f>
        <v>4.2517299652099609</v>
      </c>
      <c r="J36" s="1"/>
      <c r="K36" s="1">
        <f>2^(-I36)</f>
        <v>5.2493042714624114E-2</v>
      </c>
      <c r="L36" s="1">
        <f>AVERAGE(K36:K39)</f>
        <v>0.3678323742636746</v>
      </c>
      <c r="M36" s="1"/>
      <c r="N36" s="99"/>
      <c r="O36" s="1"/>
      <c r="P36" s="1"/>
      <c r="Q36" s="1">
        <f>STDEVA(K36:K39)</f>
        <v>0.29027646075566732</v>
      </c>
      <c r="R36" s="1">
        <f>Q36/SQRT(4)</f>
        <v>0.14513823037783366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>
      <c r="A37" s="1">
        <v>2</v>
      </c>
      <c r="B37" s="1" t="s">
        <v>23</v>
      </c>
      <c r="C37" s="98" t="s">
        <v>18</v>
      </c>
      <c r="D37" s="1">
        <v>20.900043487548828</v>
      </c>
      <c r="E37" s="1"/>
      <c r="F37" s="1" t="s">
        <v>6</v>
      </c>
      <c r="G37" s="1">
        <v>23.196708679199219</v>
      </c>
      <c r="H37" s="1"/>
      <c r="I37" s="1">
        <f>G37-D37</f>
        <v>2.2966651916503906</v>
      </c>
      <c r="J37" s="1"/>
      <c r="K37" s="1">
        <f t="shared" ref="K37:K39" si="5">2^(-I37)</f>
        <v>0.20353302499416995</v>
      </c>
      <c r="L37" s="1"/>
      <c r="M37" s="1"/>
      <c r="N37" s="9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>
      <c r="A38" s="1">
        <v>3</v>
      </c>
      <c r="B38" s="1" t="s">
        <v>23</v>
      </c>
      <c r="C38" s="98" t="s">
        <v>18</v>
      </c>
      <c r="D38" s="1">
        <v>20.884977340698242</v>
      </c>
      <c r="E38" s="1"/>
      <c r="F38" s="1" t="s">
        <v>6</v>
      </c>
      <c r="G38" s="1">
        <v>21.794357299804688</v>
      </c>
      <c r="H38" s="1"/>
      <c r="I38" s="1">
        <f>G38-D38</f>
        <v>0.90937995910644531</v>
      </c>
      <c r="J38" s="1"/>
      <c r="K38" s="1">
        <f t="shared" si="5"/>
        <v>0.53241386267795254</v>
      </c>
      <c r="L38" s="1"/>
      <c r="M38" s="1"/>
      <c r="N38" s="9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>
      <c r="A39" s="1">
        <v>4</v>
      </c>
      <c r="B39" s="1" t="s">
        <v>23</v>
      </c>
      <c r="C39" s="98" t="s">
        <v>18</v>
      </c>
      <c r="D39" s="1">
        <v>22.629596710205078</v>
      </c>
      <c r="E39" s="1"/>
      <c r="F39" s="1" t="s">
        <v>6</v>
      </c>
      <c r="G39" s="1">
        <v>23.179872512817383</v>
      </c>
      <c r="H39" s="1"/>
      <c r="I39" s="1">
        <f>G39-D39</f>
        <v>0.55027580261230469</v>
      </c>
      <c r="J39" s="1"/>
      <c r="K39" s="1">
        <f t="shared" si="5"/>
        <v>0.68288956666795175</v>
      </c>
      <c r="L39" s="1"/>
      <c r="M39" s="1"/>
      <c r="N39" s="9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9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9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9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>
      <c r="A43" s="1">
        <v>1</v>
      </c>
      <c r="B43" s="1" t="s">
        <v>24</v>
      </c>
      <c r="C43" s="98" t="s">
        <v>18</v>
      </c>
      <c r="D43" s="1">
        <v>20.576499938964844</v>
      </c>
      <c r="E43" s="1"/>
      <c r="F43" s="1" t="s">
        <v>6</v>
      </c>
      <c r="G43" s="1">
        <v>27.369625091552734</v>
      </c>
      <c r="H43" s="1"/>
      <c r="I43" s="1">
        <f>G43-D43</f>
        <v>6.7931251525878906</v>
      </c>
      <c r="J43" s="1"/>
      <c r="K43" s="1">
        <f>2^(-I43)</f>
        <v>9.0170725669188791E-3</v>
      </c>
      <c r="L43" s="1">
        <f>AVERAGE(K43:K46)</f>
        <v>2.3654756969982562E-2</v>
      </c>
      <c r="M43" s="1"/>
      <c r="N43" s="99"/>
      <c r="O43" s="1"/>
      <c r="P43" s="1"/>
      <c r="Q43" s="1">
        <f>STDEVA(K43:K46)</f>
        <v>1.7765850558517857E-2</v>
      </c>
      <c r="R43" s="1">
        <f>Q43/SQRT(4)</f>
        <v>8.8829252792589283E-3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>
      <c r="A44" s="1">
        <v>2</v>
      </c>
      <c r="B44" s="1" t="s">
        <v>24</v>
      </c>
      <c r="C44" s="98" t="s">
        <v>18</v>
      </c>
      <c r="D44" s="1">
        <v>23.511343002319336</v>
      </c>
      <c r="E44" s="1"/>
      <c r="F44" s="1" t="s">
        <v>6</v>
      </c>
      <c r="G44" s="1">
        <v>29.659948348999023</v>
      </c>
      <c r="H44" s="1"/>
      <c r="I44" s="1">
        <f>G44-D44</f>
        <v>6.1486053466796875</v>
      </c>
      <c r="J44" s="1"/>
      <c r="K44" s="1">
        <f t="shared" ref="K44:K46" si="6">2^(-I44)</f>
        <v>1.409565816714432E-2</v>
      </c>
      <c r="L44" s="1"/>
      <c r="M44" s="1"/>
      <c r="N44" s="9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>
      <c r="A45" s="1">
        <v>3</v>
      </c>
      <c r="B45" s="1" t="s">
        <v>24</v>
      </c>
      <c r="C45" s="98" t="s">
        <v>18</v>
      </c>
      <c r="D45" s="1">
        <v>23.595056533813477</v>
      </c>
      <c r="E45" s="1"/>
      <c r="F45" s="1" t="s">
        <v>6</v>
      </c>
      <c r="G45" s="1">
        <v>27.947502136230469</v>
      </c>
      <c r="H45" s="1"/>
      <c r="I45" s="1">
        <f>G45-D45</f>
        <v>4.3524456024169922</v>
      </c>
      <c r="J45" s="1"/>
      <c r="K45" s="1">
        <f t="shared" si="6"/>
        <v>4.8953451691421769E-2</v>
      </c>
      <c r="L45" s="1"/>
      <c r="M45" s="1"/>
      <c r="N45" s="9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>
      <c r="A46" s="1">
        <v>4</v>
      </c>
      <c r="B46" s="1" t="s">
        <v>24</v>
      </c>
      <c r="C46" s="98" t="s">
        <v>18</v>
      </c>
      <c r="D46" s="1">
        <v>23.765975952148438</v>
      </c>
      <c r="E46" s="1"/>
      <c r="F46" s="1" t="s">
        <v>6</v>
      </c>
      <c r="G46" s="1">
        <v>29.236522674560547</v>
      </c>
      <c r="H46" s="1"/>
      <c r="I46" s="1">
        <f>G46-D46</f>
        <v>5.4705467224121094</v>
      </c>
      <c r="J46" s="1"/>
      <c r="K46" s="1">
        <f t="shared" si="6"/>
        <v>2.2552845454445289E-2</v>
      </c>
      <c r="L46" s="1"/>
      <c r="M46" s="1"/>
      <c r="N46" s="9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9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9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>
      <c r="A49" s="1">
        <v>1</v>
      </c>
      <c r="B49" s="1" t="s">
        <v>25</v>
      </c>
      <c r="C49" s="98" t="s">
        <v>18</v>
      </c>
      <c r="D49" s="1">
        <v>20.593772888183594</v>
      </c>
      <c r="E49" s="1"/>
      <c r="F49" s="1" t="s">
        <v>6</v>
      </c>
      <c r="G49" s="1">
        <v>23.678165435791016</v>
      </c>
      <c r="H49" s="1"/>
      <c r="I49" s="1">
        <f>G49-D49</f>
        <v>3.0843925476074219</v>
      </c>
      <c r="J49" s="1"/>
      <c r="K49" s="1">
        <f>2^(-I49)</f>
        <v>0.11789769782744973</v>
      </c>
      <c r="L49" s="1">
        <f>AVERAGE(K49:K52)</f>
        <v>0.1808427457963451</v>
      </c>
      <c r="M49" s="1"/>
      <c r="N49" s="99"/>
      <c r="O49" s="1"/>
      <c r="P49" s="1"/>
      <c r="Q49" s="1">
        <f>STDEVA(K49:K52)</f>
        <v>7.4928336608906035E-2</v>
      </c>
      <c r="R49" s="1">
        <f>Q49/SQRT(4)</f>
        <v>3.7464168304453017E-2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>
      <c r="A50" s="1">
        <v>2</v>
      </c>
      <c r="B50" s="1" t="s">
        <v>25</v>
      </c>
      <c r="C50" s="98" t="s">
        <v>18</v>
      </c>
      <c r="D50" s="1">
        <v>20.266637802124023</v>
      </c>
      <c r="E50" s="1"/>
      <c r="F50" s="1" t="s">
        <v>6</v>
      </c>
      <c r="G50" s="1">
        <v>23.390789031982422</v>
      </c>
      <c r="H50" s="1"/>
      <c r="I50" s="1">
        <f>G50-D50</f>
        <v>3.1241512298583984</v>
      </c>
      <c r="J50" s="1"/>
      <c r="K50" s="1">
        <f t="shared" ref="K50:K52" si="7">2^(-I50)</f>
        <v>0.11469296202063682</v>
      </c>
      <c r="L50" s="1"/>
      <c r="M50" s="1"/>
      <c r="N50" s="9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s="1">
        <v>3</v>
      </c>
      <c r="B51" s="1" t="s">
        <v>25</v>
      </c>
      <c r="C51" s="98" t="s">
        <v>18</v>
      </c>
      <c r="D51" s="1">
        <v>21.060832977294922</v>
      </c>
      <c r="E51" s="1"/>
      <c r="F51" s="1" t="s">
        <v>6</v>
      </c>
      <c r="G51" s="1">
        <v>23.143287658691406</v>
      </c>
      <c r="H51" s="1"/>
      <c r="I51" s="1">
        <f>G51-D51</f>
        <v>2.0824546813964844</v>
      </c>
      <c r="J51" s="1"/>
      <c r="K51" s="1">
        <f t="shared" si="7"/>
        <v>0.23611233509209081</v>
      </c>
      <c r="L51" s="1"/>
      <c r="M51" s="1"/>
      <c r="N51" s="9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>
        <v>4</v>
      </c>
      <c r="B52" s="1" t="s">
        <v>25</v>
      </c>
      <c r="C52" s="98" t="s">
        <v>18</v>
      </c>
      <c r="D52" s="1">
        <v>22.017650604248047</v>
      </c>
      <c r="E52" s="1"/>
      <c r="F52" s="1" t="s">
        <v>6</v>
      </c>
      <c r="G52" s="1">
        <v>23.990961074829102</v>
      </c>
      <c r="H52" s="1"/>
      <c r="I52" s="1">
        <f>G52-D52</f>
        <v>1.9733104705810547</v>
      </c>
      <c r="J52" s="1"/>
      <c r="K52" s="1">
        <f t="shared" si="7"/>
        <v>0.25466798824520304</v>
      </c>
      <c r="L52" s="1"/>
      <c r="M52" s="1"/>
      <c r="N52" s="9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9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9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>
        <v>1</v>
      </c>
      <c r="B55" s="1" t="s">
        <v>26</v>
      </c>
      <c r="C55" s="98" t="s">
        <v>18</v>
      </c>
      <c r="D55" s="1">
        <v>22.192726135253906</v>
      </c>
      <c r="E55" s="1"/>
      <c r="F55" s="1" t="s">
        <v>6</v>
      </c>
      <c r="G55" s="1">
        <v>28.00190544128418</v>
      </c>
      <c r="H55" s="1"/>
      <c r="I55" s="1">
        <f>G55-D55</f>
        <v>5.8091793060302734</v>
      </c>
      <c r="J55" s="1"/>
      <c r="K55" s="1">
        <f>2^(-I55)</f>
        <v>1.7834575582509098E-2</v>
      </c>
      <c r="L55" s="1">
        <f>AVERAGE(K55:K58)</f>
        <v>0.13246202821738196</v>
      </c>
      <c r="M55" s="1"/>
      <c r="N55" s="99"/>
      <c r="O55" s="1"/>
      <c r="P55" s="1"/>
      <c r="Q55" s="1">
        <f>STDEVA(K55:K58)</f>
        <v>0.15846839128098103</v>
      </c>
      <c r="R55" s="1">
        <f>Q55/SQRT(4)</f>
        <v>7.9234195640490515E-2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>
        <v>2</v>
      </c>
      <c r="B56" s="1" t="s">
        <v>26</v>
      </c>
      <c r="C56" s="98" t="s">
        <v>18</v>
      </c>
      <c r="D56" s="1">
        <v>23.074626922607422</v>
      </c>
      <c r="E56" s="1"/>
      <c r="F56" s="1" t="s">
        <v>6</v>
      </c>
      <c r="G56" s="1">
        <v>27.172134399414063</v>
      </c>
      <c r="H56" s="1"/>
      <c r="I56" s="1">
        <f>G56-D56</f>
        <v>4.0975074768066406</v>
      </c>
      <c r="J56" s="1"/>
      <c r="K56" s="1">
        <f t="shared" ref="K56:K58" si="8">2^(-I56)</f>
        <v>5.8415398271393304E-2</v>
      </c>
      <c r="L56" s="1"/>
      <c r="M56" s="1"/>
      <c r="N56" s="9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>
        <v>3</v>
      </c>
      <c r="B57" s="1" t="s">
        <v>26</v>
      </c>
      <c r="C57" s="98" t="s">
        <v>18</v>
      </c>
      <c r="D57" s="1">
        <v>22.212917327880859</v>
      </c>
      <c r="E57" s="1"/>
      <c r="F57" s="1" t="s">
        <v>6</v>
      </c>
      <c r="G57" s="1">
        <v>25.730655670166016</v>
      </c>
      <c r="H57" s="1"/>
      <c r="I57" s="1">
        <f>G57-D57</f>
        <v>3.5177383422851563</v>
      </c>
      <c r="J57" s="1"/>
      <c r="K57" s="1">
        <f t="shared" si="8"/>
        <v>8.7308241704040473E-2</v>
      </c>
      <c r="L57" s="1"/>
      <c r="M57" s="1"/>
      <c r="N57" s="9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>
        <v>4</v>
      </c>
      <c r="B58" s="1" t="s">
        <v>26</v>
      </c>
      <c r="C58" s="98" t="s">
        <v>18</v>
      </c>
      <c r="D58" s="1">
        <v>23.384590148925781</v>
      </c>
      <c r="E58" s="1"/>
      <c r="F58" s="1" t="s">
        <v>6</v>
      </c>
      <c r="G58" s="1">
        <v>24.833532333374023</v>
      </c>
      <c r="H58" s="1"/>
      <c r="I58" s="1">
        <f>G58-D58</f>
        <v>1.4489421844482422</v>
      </c>
      <c r="J58" s="1"/>
      <c r="K58" s="1">
        <f t="shared" si="8"/>
        <v>0.3662898973115849</v>
      </c>
      <c r="L58" s="1"/>
      <c r="M58" s="1"/>
      <c r="N58" s="9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9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9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9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s="1">
        <v>1</v>
      </c>
      <c r="B62" s="1" t="s">
        <v>27</v>
      </c>
      <c r="C62" s="98" t="s">
        <v>18</v>
      </c>
      <c r="D62" s="1">
        <v>21.02461051940918</v>
      </c>
      <c r="E62" s="1"/>
      <c r="F62" s="1" t="s">
        <v>6</v>
      </c>
      <c r="G62" s="1">
        <v>24.256736755371094</v>
      </c>
      <c r="H62" s="1"/>
      <c r="I62" s="1">
        <f>G62-D62</f>
        <v>3.2321262359619141</v>
      </c>
      <c r="J62" s="1"/>
      <c r="K62" s="1">
        <f>2^(-I62)</f>
        <v>0.10642240109035384</v>
      </c>
      <c r="L62" s="1">
        <f>AVERAGE(K62:K65)</f>
        <v>0.18852206970361415</v>
      </c>
      <c r="M62" s="1"/>
      <c r="N62" s="99"/>
      <c r="O62" s="1"/>
      <c r="P62" s="1"/>
      <c r="Q62" s="1">
        <f>STDEVA(K62:K65)</f>
        <v>0.14452036406843327</v>
      </c>
      <c r="R62" s="1">
        <f>Q62/SQRT(4)</f>
        <v>7.2260182034216636E-2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>
      <c r="A63" s="1">
        <v>2</v>
      </c>
      <c r="B63" s="1" t="s">
        <v>27</v>
      </c>
      <c r="C63" s="98" t="s">
        <v>18</v>
      </c>
      <c r="D63" s="1">
        <v>20.557044982910156</v>
      </c>
      <c r="E63" s="1"/>
      <c r="F63" s="1" t="s">
        <v>6</v>
      </c>
      <c r="G63" s="1">
        <v>23.325727462768555</v>
      </c>
      <c r="H63" s="1"/>
      <c r="I63" s="1">
        <f>G63-D63</f>
        <v>2.7686824798583984</v>
      </c>
      <c r="J63" s="1"/>
      <c r="K63" s="1">
        <f t="shared" ref="K63:K65" si="9">2^(-I63)</f>
        <v>0.14673831410160459</v>
      </c>
      <c r="L63" s="1"/>
      <c r="M63" s="1"/>
      <c r="N63" s="9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>
      <c r="A64" s="1">
        <v>3</v>
      </c>
      <c r="B64" s="1" t="s">
        <v>27</v>
      </c>
      <c r="C64" s="98" t="s">
        <v>18</v>
      </c>
      <c r="D64" s="1">
        <v>22.679468154907227</v>
      </c>
      <c r="E64" s="1"/>
      <c r="F64" s="1" t="s">
        <v>6</v>
      </c>
      <c r="G64" s="1">
        <v>23.990827560424805</v>
      </c>
      <c r="H64" s="1"/>
      <c r="I64" s="1">
        <f>G64-D64</f>
        <v>1.3113594055175781</v>
      </c>
      <c r="J64" s="1"/>
      <c r="K64" s="1">
        <f t="shared" si="9"/>
        <v>0.40294102220330175</v>
      </c>
      <c r="L64" s="1"/>
      <c r="M64" s="1"/>
      <c r="N64" s="9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>
      <c r="A65" s="1">
        <v>4</v>
      </c>
      <c r="B65" s="1" t="s">
        <v>27</v>
      </c>
      <c r="C65" s="98" t="s">
        <v>18</v>
      </c>
      <c r="D65" s="1">
        <v>20.665248870849609</v>
      </c>
      <c r="E65" s="1"/>
      <c r="F65" s="1" t="s">
        <v>6</v>
      </c>
      <c r="G65" s="1">
        <v>24.016521453857422</v>
      </c>
      <c r="H65" s="1"/>
      <c r="I65" s="1">
        <f>G65-D65</f>
        <v>3.3512725830078125</v>
      </c>
      <c r="J65" s="1"/>
      <c r="K65" s="1">
        <f t="shared" si="9"/>
        <v>9.7986541419196369E-2</v>
      </c>
      <c r="L65" s="1"/>
      <c r="M65" s="1"/>
      <c r="N65" s="9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9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9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>
      <c r="A68" s="1">
        <v>1</v>
      </c>
      <c r="B68" s="1" t="s">
        <v>28</v>
      </c>
      <c r="C68" s="98" t="s">
        <v>18</v>
      </c>
      <c r="D68" s="1">
        <v>20.644145965576172</v>
      </c>
      <c r="E68" s="1"/>
      <c r="F68" s="1" t="s">
        <v>6</v>
      </c>
      <c r="G68" s="1">
        <v>23.991037368774414</v>
      </c>
      <c r="H68" s="1"/>
      <c r="I68" s="1">
        <f>G68-D68</f>
        <v>3.3468914031982422</v>
      </c>
      <c r="J68" s="1"/>
      <c r="K68" s="1">
        <f>2^(-I68)</f>
        <v>9.8284559468470797E-2</v>
      </c>
      <c r="L68" s="1">
        <f>AVERAGE(K68:K71)</f>
        <v>0.14363969437771934</v>
      </c>
      <c r="M68" s="1"/>
      <c r="N68" s="99"/>
      <c r="O68" s="1"/>
      <c r="P68" s="1"/>
      <c r="Q68" s="1">
        <f>STDEVA(K68:K71)</f>
        <v>3.3221308773888313E-2</v>
      </c>
      <c r="R68" s="1">
        <f>Q68/SQRT(4)</f>
        <v>1.6610654386944156E-2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>
        <v>2</v>
      </c>
      <c r="B69" s="1" t="s">
        <v>28</v>
      </c>
      <c r="C69" s="98" t="s">
        <v>18</v>
      </c>
      <c r="D69" s="1">
        <v>20.571266174316406</v>
      </c>
      <c r="E69" s="1"/>
      <c r="F69" s="1" t="s">
        <v>6</v>
      </c>
      <c r="G69" s="1">
        <v>23.134510040283203</v>
      </c>
      <c r="H69" s="1"/>
      <c r="I69" s="1">
        <f>G69-D69</f>
        <v>2.5632438659667969</v>
      </c>
      <c r="J69" s="1"/>
      <c r="K69" s="1">
        <f t="shared" ref="K69:K71" si="10">2^(-I69)</f>
        <v>0.16919468263981696</v>
      </c>
      <c r="L69" s="1"/>
      <c r="M69" s="1"/>
      <c r="N69" s="9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>
      <c r="A70" s="1">
        <v>3</v>
      </c>
      <c r="B70" s="1" t="s">
        <v>28</v>
      </c>
      <c r="C70" s="98" t="s">
        <v>18</v>
      </c>
      <c r="D70" s="1">
        <v>21.043220520019531</v>
      </c>
      <c r="E70" s="1"/>
      <c r="F70" s="1" t="s">
        <v>6</v>
      </c>
      <c r="G70" s="1">
        <v>23.886817932128906</v>
      </c>
      <c r="H70" s="1"/>
      <c r="I70" s="1">
        <f>G70-D70</f>
        <v>2.843597412109375</v>
      </c>
      <c r="J70" s="1"/>
      <c r="K70" s="1">
        <f t="shared" si="10"/>
        <v>0.13931307661352429</v>
      </c>
      <c r="L70" s="1"/>
      <c r="M70" s="1"/>
      <c r="N70" s="9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>
      <c r="A71" s="1">
        <v>4</v>
      </c>
      <c r="B71" s="1" t="s">
        <v>28</v>
      </c>
      <c r="C71" s="98" t="s">
        <v>18</v>
      </c>
      <c r="D71" s="1">
        <v>20.611846923828125</v>
      </c>
      <c r="E71" s="1"/>
      <c r="F71" s="1" t="s">
        <v>6</v>
      </c>
      <c r="G71" s="1">
        <v>23.187320709228516</v>
      </c>
      <c r="H71" s="1"/>
      <c r="I71" s="1">
        <f>G71-D71</f>
        <v>2.5754737854003906</v>
      </c>
      <c r="J71" s="1"/>
      <c r="K71" s="1">
        <f t="shared" si="10"/>
        <v>0.16776645878906521</v>
      </c>
      <c r="L71" s="1"/>
      <c r="M71" s="1"/>
      <c r="N71" s="9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9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9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>
      <c r="A74" s="1">
        <v>1</v>
      </c>
      <c r="B74" s="1" t="s">
        <v>29</v>
      </c>
      <c r="C74" s="98" t="s">
        <v>18</v>
      </c>
      <c r="D74" s="1">
        <v>20.773025512695313</v>
      </c>
      <c r="E74" s="1"/>
      <c r="F74" s="1" t="s">
        <v>6</v>
      </c>
      <c r="G74" s="1">
        <v>24.292604446411133</v>
      </c>
      <c r="H74" s="1"/>
      <c r="I74" s="1">
        <f>G74-D74</f>
        <v>3.5195789337158203</v>
      </c>
      <c r="J74" s="1"/>
      <c r="K74" s="1">
        <f>2^(-I74)</f>
        <v>8.7196924807046522E-2</v>
      </c>
      <c r="L74" s="1">
        <f>AVERAGE(K74:K77)</f>
        <v>0.1308933837398048</v>
      </c>
      <c r="M74" s="1"/>
      <c r="N74" s="99"/>
      <c r="O74" s="1"/>
      <c r="P74" s="1"/>
      <c r="Q74" s="1">
        <f>STDEVA(K74:K77)</f>
        <v>0.11874540094034572</v>
      </c>
      <c r="R74" s="1">
        <f>Q74/SQRT(4)</f>
        <v>5.9372700470172859E-2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>
      <c r="A75" s="1">
        <v>2</v>
      </c>
      <c r="B75" s="1" t="s">
        <v>29</v>
      </c>
      <c r="C75" s="98" t="s">
        <v>18</v>
      </c>
      <c r="D75" s="1">
        <v>20.899147033691406</v>
      </c>
      <c r="E75" s="1"/>
      <c r="F75" s="1" t="s">
        <v>6</v>
      </c>
      <c r="G75" s="1">
        <v>25.046195983886719</v>
      </c>
      <c r="H75" s="1"/>
      <c r="I75" s="1">
        <f>G75-D75</f>
        <v>4.1470489501953125</v>
      </c>
      <c r="J75" s="1"/>
      <c r="K75" s="1">
        <f t="shared" ref="K75:K77" si="11">2^(-I75)</f>
        <v>5.6443491741829069E-2</v>
      </c>
      <c r="L75" s="1"/>
      <c r="M75" s="1"/>
      <c r="N75" s="9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>
      <c r="A76" s="1">
        <v>3</v>
      </c>
      <c r="B76" s="1" t="s">
        <v>29</v>
      </c>
      <c r="C76" s="98" t="s">
        <v>18</v>
      </c>
      <c r="D76" s="1">
        <v>21.535186767578125</v>
      </c>
      <c r="E76" s="1"/>
      <c r="F76" s="1" t="s">
        <v>6</v>
      </c>
      <c r="G76" s="1">
        <v>25.332649230957031</v>
      </c>
      <c r="H76" s="1"/>
      <c r="I76" s="1">
        <f>G76-D76</f>
        <v>3.7974624633789063</v>
      </c>
      <c r="J76" s="1"/>
      <c r="K76" s="1">
        <f t="shared" si="11"/>
        <v>7.1920035172158017E-2</v>
      </c>
      <c r="L76" s="1"/>
      <c r="M76" s="1"/>
      <c r="N76" s="9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>
      <c r="A77" s="1">
        <v>4</v>
      </c>
      <c r="B77" s="1" t="s">
        <v>29</v>
      </c>
      <c r="C77" s="98" t="s">
        <v>18</v>
      </c>
      <c r="D77" s="1">
        <v>23.467973709106445</v>
      </c>
      <c r="E77" s="1"/>
      <c r="F77" s="1" t="s">
        <v>6</v>
      </c>
      <c r="G77" s="1">
        <v>25.166910171508789</v>
      </c>
      <c r="H77" s="1"/>
      <c r="I77" s="1">
        <f>G77-D77</f>
        <v>1.6989364624023438</v>
      </c>
      <c r="J77" s="1"/>
      <c r="K77" s="1">
        <f t="shared" si="11"/>
        <v>0.3080130832381856</v>
      </c>
      <c r="L77" s="1"/>
      <c r="M77" s="1"/>
      <c r="N77" s="99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99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9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99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>
      <c r="A81" s="1">
        <v>1</v>
      </c>
      <c r="B81" s="1" t="s">
        <v>30</v>
      </c>
      <c r="C81" s="98" t="s">
        <v>18</v>
      </c>
      <c r="D81" s="1">
        <v>25.109580993652344</v>
      </c>
      <c r="E81" s="1"/>
      <c r="F81" s="1" t="s">
        <v>6</v>
      </c>
      <c r="G81" s="1">
        <v>26.8743896484375</v>
      </c>
      <c r="H81" s="1"/>
      <c r="I81" s="1">
        <f>G81-D81</f>
        <v>1.7648086547851563</v>
      </c>
      <c r="J81" s="1"/>
      <c r="K81" s="1">
        <f>2^(-I81)</f>
        <v>0.29426571029435772</v>
      </c>
      <c r="L81" s="1">
        <f>AVERAGE(K81:K84)</f>
        <v>0.18542183405802196</v>
      </c>
      <c r="M81" s="1"/>
      <c r="N81" s="99"/>
      <c r="O81" s="1"/>
      <c r="P81" s="1"/>
      <c r="Q81" s="1">
        <f>STDEVA(K81:K84)</f>
        <v>0.10366008761984873</v>
      </c>
      <c r="R81" s="1">
        <f>Q81/SQRT(4)</f>
        <v>5.1830043809924363E-2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>
      <c r="A82" s="1">
        <v>2</v>
      </c>
      <c r="B82" s="1" t="s">
        <v>30</v>
      </c>
      <c r="C82" s="98" t="s">
        <v>18</v>
      </c>
      <c r="D82" s="1">
        <v>24.284000396728516</v>
      </c>
      <c r="E82" s="1"/>
      <c r="F82" s="1" t="s">
        <v>6</v>
      </c>
      <c r="G82" s="1">
        <v>27.862678527832031</v>
      </c>
      <c r="H82" s="1"/>
      <c r="I82" s="1">
        <f>G82-D82</f>
        <v>3.5786781311035156</v>
      </c>
      <c r="J82" s="1"/>
      <c r="K82" s="1">
        <f t="shared" ref="K82:K84" si="12">2^(-I82)</f>
        <v>8.3697124517544783E-2</v>
      </c>
      <c r="L82" s="1"/>
      <c r="M82" s="1"/>
      <c r="N82" s="9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>
      <c r="A83" s="1">
        <v>3</v>
      </c>
      <c r="B83" s="1" t="s">
        <v>30</v>
      </c>
      <c r="C83" s="98" t="s">
        <v>18</v>
      </c>
      <c r="D83" s="1">
        <v>24.848484039306641</v>
      </c>
      <c r="E83" s="1"/>
      <c r="F83" s="1" t="s">
        <v>6</v>
      </c>
      <c r="G83" s="1">
        <v>26.833389282226563</v>
      </c>
      <c r="H83" s="1"/>
      <c r="I83" s="1">
        <f>G83-D83</f>
        <v>1.9849052429199219</v>
      </c>
      <c r="J83" s="1"/>
      <c r="K83" s="1">
        <f t="shared" si="12"/>
        <v>0.25262945393163161</v>
      </c>
      <c r="L83" s="1"/>
      <c r="M83" s="1"/>
      <c r="N83" s="9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>
      <c r="A84" s="1">
        <v>4</v>
      </c>
      <c r="B84" s="1" t="s">
        <v>30</v>
      </c>
      <c r="C84" s="98" t="s">
        <v>18</v>
      </c>
      <c r="D84" s="1">
        <v>25.121562957763672</v>
      </c>
      <c r="E84" s="1"/>
      <c r="F84" s="1" t="s">
        <v>6</v>
      </c>
      <c r="G84" s="1">
        <v>28.291696548461914</v>
      </c>
      <c r="H84" s="1"/>
      <c r="I84" s="1">
        <f>G84-D84</f>
        <v>3.1701335906982422</v>
      </c>
      <c r="J84" s="1"/>
      <c r="K84" s="1">
        <f t="shared" si="12"/>
        <v>0.11109504748855371</v>
      </c>
      <c r="L84" s="1"/>
      <c r="M84" s="1"/>
      <c r="N84" s="9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9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9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>
      <c r="A87" s="1">
        <v>1</v>
      </c>
      <c r="B87" s="1" t="s">
        <v>31</v>
      </c>
      <c r="C87" s="98" t="s">
        <v>18</v>
      </c>
      <c r="D87" s="1">
        <v>21.080926895141602</v>
      </c>
      <c r="E87" s="1"/>
      <c r="F87" s="1" t="s">
        <v>6</v>
      </c>
      <c r="G87" s="1">
        <v>29.841512680053711</v>
      </c>
      <c r="H87" s="1"/>
      <c r="I87" s="1">
        <f>G87-D87</f>
        <v>8.7605857849121094</v>
      </c>
      <c r="J87" s="1"/>
      <c r="K87" s="1">
        <f>2^(-I87)</f>
        <v>2.3056899105932394E-3</v>
      </c>
      <c r="L87" s="1">
        <f>AVERAGE(K87:K90)</f>
        <v>5.0455315709118402E-3</v>
      </c>
      <c r="M87" s="1"/>
      <c r="N87" s="99"/>
      <c r="O87" s="1"/>
      <c r="P87" s="1"/>
      <c r="Q87" s="1">
        <f>STDEVA(K87:K90)</f>
        <v>1.8926405753313536E-3</v>
      </c>
      <c r="R87" s="1">
        <f>Q87/SQRT(4)</f>
        <v>9.4632028766567682E-4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>
      <c r="A88" s="1">
        <v>2</v>
      </c>
      <c r="B88" s="1" t="s">
        <v>31</v>
      </c>
      <c r="C88" s="98" t="s">
        <v>18</v>
      </c>
      <c r="D88" s="1">
        <v>22.329303741455078</v>
      </c>
      <c r="E88" s="1"/>
      <c r="F88" s="1" t="s">
        <v>6</v>
      </c>
      <c r="G88" s="1">
        <v>29.689704895019531</v>
      </c>
      <c r="H88" s="1"/>
      <c r="I88" s="1">
        <f>G88-D88</f>
        <v>7.3604011535644531</v>
      </c>
      <c r="J88" s="1"/>
      <c r="K88" s="1">
        <f t="shared" ref="K88:K90" si="13">2^(-I88)</f>
        <v>6.0855309099535244E-3</v>
      </c>
      <c r="L88" s="1"/>
      <c r="M88" s="1"/>
      <c r="N88" s="9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>
      <c r="A89" s="1">
        <v>3</v>
      </c>
      <c r="B89" s="1" t="s">
        <v>31</v>
      </c>
      <c r="C89" s="98" t="s">
        <v>18</v>
      </c>
      <c r="D89" s="1">
        <v>21.380630493164063</v>
      </c>
      <c r="E89" s="1"/>
      <c r="F89" s="1" t="s">
        <v>6</v>
      </c>
      <c r="G89" s="1">
        <v>28.940887451171875</v>
      </c>
      <c r="H89" s="1"/>
      <c r="I89" s="1">
        <f>G89-D89</f>
        <v>7.5602569580078125</v>
      </c>
      <c r="J89" s="1"/>
      <c r="K89" s="1">
        <f t="shared" si="13"/>
        <v>5.2982918927701522E-3</v>
      </c>
      <c r="L89" s="1"/>
      <c r="M89" s="1"/>
      <c r="N89" s="9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>
      <c r="A90" s="1">
        <v>4</v>
      </c>
      <c r="B90" s="1" t="s">
        <v>31</v>
      </c>
      <c r="C90" s="98" t="s">
        <v>18</v>
      </c>
      <c r="D90" s="1">
        <v>22.267072677612305</v>
      </c>
      <c r="E90" s="1"/>
      <c r="F90" s="1" t="s">
        <v>6</v>
      </c>
      <c r="G90" s="1">
        <v>29.5340576171875</v>
      </c>
      <c r="H90" s="1"/>
      <c r="I90" s="1">
        <f>G90-D90</f>
        <v>7.2669849395751953</v>
      </c>
      <c r="J90" s="1"/>
      <c r="K90" s="1">
        <f t="shared" si="13"/>
        <v>6.4926135703304447E-3</v>
      </c>
      <c r="L90" s="1"/>
      <c r="M90" s="1"/>
      <c r="N90" s="9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9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9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>
      <c r="A93" s="1">
        <v>1</v>
      </c>
      <c r="B93" s="1" t="s">
        <v>32</v>
      </c>
      <c r="C93" s="98" t="s">
        <v>18</v>
      </c>
      <c r="D93" s="1">
        <v>23.680686950683594</v>
      </c>
      <c r="E93" s="1"/>
      <c r="F93" s="1" t="s">
        <v>6</v>
      </c>
      <c r="G93" s="1">
        <v>27.173458099365234</v>
      </c>
      <c r="H93" s="1"/>
      <c r="I93" s="1">
        <f>G93-D93</f>
        <v>3.4927711486816406</v>
      </c>
      <c r="J93" s="1"/>
      <c r="K93" s="1">
        <f t="shared" ref="K93:K97" si="14">2^(-I93)</f>
        <v>8.8832342846704215E-2</v>
      </c>
      <c r="L93" s="1">
        <f>AVERAGE(K93:K97)</f>
        <v>7.7427848627381987E-2</v>
      </c>
      <c r="M93" s="1"/>
      <c r="N93" s="99"/>
      <c r="O93" s="1"/>
      <c r="P93" s="1"/>
      <c r="Q93" s="1">
        <f>STDEVA(K93:K97)</f>
        <v>3.5394215555768237E-2</v>
      </c>
      <c r="R93" s="1">
        <f>Q93/SQRT(5)</f>
        <v>1.5828774398595653E-2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>
      <c r="A94" s="1">
        <v>2</v>
      </c>
      <c r="B94" s="1" t="s">
        <v>32</v>
      </c>
      <c r="C94" s="98" t="s">
        <v>18</v>
      </c>
      <c r="D94" s="1">
        <v>22.318157196044922</v>
      </c>
      <c r="E94" s="1"/>
      <c r="F94" s="1" t="s">
        <v>6</v>
      </c>
      <c r="G94" s="1">
        <v>27.141128540039063</v>
      </c>
      <c r="H94" s="1"/>
      <c r="I94" s="1">
        <f>G94-D94</f>
        <v>4.8229713439941406</v>
      </c>
      <c r="J94" s="1"/>
      <c r="K94" s="1">
        <f t="shared" si="14"/>
        <v>3.5329781965115548E-2</v>
      </c>
      <c r="L94" s="1"/>
      <c r="M94" s="1"/>
      <c r="N94" s="9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s="1">
        <v>3</v>
      </c>
      <c r="B95" s="1" t="s">
        <v>32</v>
      </c>
      <c r="C95" s="98" t="s">
        <v>18</v>
      </c>
      <c r="D95" s="1">
        <v>21.950836181640625</v>
      </c>
      <c r="E95" s="1"/>
      <c r="F95" s="1" t="s">
        <v>6</v>
      </c>
      <c r="G95" s="1">
        <v>26.026386260986328</v>
      </c>
      <c r="H95" s="1"/>
      <c r="I95" s="1">
        <f>G95-D95</f>
        <v>4.0755500793457031</v>
      </c>
      <c r="J95" s="1"/>
      <c r="K95" s="1">
        <f t="shared" si="14"/>
        <v>5.9311263696174857E-2</v>
      </c>
      <c r="L95" s="1"/>
      <c r="M95" s="1"/>
      <c r="N95" s="9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s="1">
        <v>4</v>
      </c>
      <c r="B96" s="1" t="s">
        <v>32</v>
      </c>
      <c r="C96" s="98" t="s">
        <v>18</v>
      </c>
      <c r="D96" s="1">
        <v>23.886611938476563</v>
      </c>
      <c r="E96" s="1"/>
      <c r="F96" s="1" t="s">
        <v>6</v>
      </c>
      <c r="G96" s="1">
        <v>26.829782485961914</v>
      </c>
      <c r="H96" s="1"/>
      <c r="I96" s="1">
        <f>G96-D96</f>
        <v>2.9431705474853516</v>
      </c>
      <c r="J96" s="1"/>
      <c r="K96" s="1">
        <f t="shared" si="14"/>
        <v>0.13002216190072485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>
      <c r="A97" s="1">
        <v>5</v>
      </c>
      <c r="B97" s="1" t="s">
        <v>32</v>
      </c>
      <c r="C97" s="98" t="s">
        <v>18</v>
      </c>
      <c r="D97" s="1">
        <v>25.365455627441406</v>
      </c>
      <c r="E97" s="1"/>
      <c r="F97" s="1" t="s">
        <v>6</v>
      </c>
      <c r="G97" s="1">
        <v>29.128749847412109</v>
      </c>
      <c r="H97" s="1"/>
      <c r="I97" s="1">
        <f>G97-D97</f>
        <v>3.7632942199707031</v>
      </c>
      <c r="J97" s="1"/>
      <c r="K97" s="1">
        <f t="shared" si="14"/>
        <v>7.3643692728190491E-2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9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s="1">
        <v>1</v>
      </c>
      <c r="B99" s="1" t="s">
        <v>33</v>
      </c>
      <c r="C99" s="98" t="s">
        <v>18</v>
      </c>
      <c r="D99" s="1">
        <v>21.539398193359375</v>
      </c>
      <c r="E99" s="1"/>
      <c r="F99" s="1" t="s">
        <v>6</v>
      </c>
      <c r="G99" s="1">
        <v>24.945350646972656</v>
      </c>
      <c r="H99" s="1"/>
      <c r="I99" s="1">
        <f>G99-D99</f>
        <v>3.4059524536132813</v>
      </c>
      <c r="J99" s="1"/>
      <c r="K99" s="1">
        <f>2^(-I99)</f>
        <v>9.4342232184651917E-2</v>
      </c>
      <c r="L99" s="1">
        <f>AVERAGE(K99:K102)</f>
        <v>8.6513570383205868E-2</v>
      </c>
      <c r="M99" s="1"/>
      <c r="N99" s="99"/>
      <c r="O99" s="1"/>
      <c r="P99" s="1"/>
      <c r="Q99" s="1">
        <f>STDEVA(K99:K102)</f>
        <v>2.6728543800232929E-2</v>
      </c>
      <c r="R99" s="1">
        <f>Q99/SQRT(4)</f>
        <v>1.3364271900116464E-2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s="1">
        <v>2</v>
      </c>
      <c r="B100" s="1" t="s">
        <v>33</v>
      </c>
      <c r="C100" s="98" t="s">
        <v>18</v>
      </c>
      <c r="D100" s="1">
        <v>22.855751037597656</v>
      </c>
      <c r="E100" s="1"/>
      <c r="F100" s="1" t="s">
        <v>6</v>
      </c>
      <c r="G100" s="1">
        <v>25.936431884765625</v>
      </c>
      <c r="H100" s="1"/>
      <c r="I100" s="1">
        <f>G100-D100</f>
        <v>3.0806808471679688</v>
      </c>
      <c r="J100" s="1"/>
      <c r="K100" s="1">
        <f t="shared" ref="K100:K102" si="15">2^(-I100)</f>
        <v>0.11820141020422568</v>
      </c>
      <c r="L100" s="1"/>
      <c r="M100" s="1"/>
      <c r="N100" s="9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>
      <c r="A101" s="1">
        <v>3</v>
      </c>
      <c r="B101" s="1" t="s">
        <v>33</v>
      </c>
      <c r="C101" s="98" t="s">
        <v>18</v>
      </c>
      <c r="D101" s="1">
        <v>19.947513580322266</v>
      </c>
      <c r="E101" s="1"/>
      <c r="F101" s="1" t="s">
        <v>6</v>
      </c>
      <c r="G101" s="1">
        <v>23.610565185546875</v>
      </c>
      <c r="H101" s="1"/>
      <c r="I101" s="1">
        <f>G101-D101</f>
        <v>3.6630516052246094</v>
      </c>
      <c r="J101" s="1"/>
      <c r="K101" s="1">
        <f t="shared" si="15"/>
        <v>7.8942630035723799E-2</v>
      </c>
      <c r="L101" s="1"/>
      <c r="M101" s="1"/>
      <c r="N101" s="9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>
      <c r="A102" s="1">
        <v>4</v>
      </c>
      <c r="B102" s="1" t="s">
        <v>33</v>
      </c>
      <c r="C102" s="98" t="s">
        <v>18</v>
      </c>
      <c r="D102" s="1">
        <v>19.833488464355469</v>
      </c>
      <c r="E102" s="1"/>
      <c r="F102" s="1" t="s">
        <v>6</v>
      </c>
      <c r="G102" s="1">
        <v>24.029289245605469</v>
      </c>
      <c r="H102" s="1"/>
      <c r="I102" s="1">
        <f>G102-D102</f>
        <v>4.19580078125</v>
      </c>
      <c r="J102" s="1"/>
      <c r="K102" s="1">
        <f t="shared" si="15"/>
        <v>5.4568009108222057E-2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99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6" spans="1:3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3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35">
      <c r="B128" s="1"/>
    </row>
    <row r="129" spans="2:17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>
      <c r="B130" s="36"/>
    </row>
    <row r="157" spans="2:17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>
      <c r="B160" s="36"/>
    </row>
  </sheetData>
  <phoneticPr fontId="4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FEA7-9399-4549-ABED-12F7D2F7F6D4}">
  <dimension ref="A1:BA192"/>
  <sheetViews>
    <sheetView zoomScale="85" zoomScaleNormal="85" workbookViewId="0">
      <selection activeCell="N1" sqref="N1:N1048576"/>
    </sheetView>
  </sheetViews>
  <sheetFormatPr defaultRowHeight="14.45"/>
  <cols>
    <col min="1" max="1" width="28.28515625" customWidth="1"/>
    <col min="2" max="2" width="29.42578125" customWidth="1"/>
    <col min="3" max="3" width="22.5703125" customWidth="1"/>
    <col min="5" max="5" width="10.42578125" customWidth="1"/>
    <col min="6" max="6" width="22" customWidth="1"/>
    <col min="7" max="7" width="18.140625" customWidth="1"/>
    <col min="8" max="8" width="10.5703125" customWidth="1"/>
    <col min="9" max="9" width="12" customWidth="1"/>
    <col min="10" max="10" width="10.5703125" customWidth="1"/>
    <col min="11" max="11" width="15.85546875" customWidth="1"/>
    <col min="12" max="12" width="27.140625" customWidth="1"/>
    <col min="14" max="14" width="11.140625" customWidth="1"/>
    <col min="15" max="15" width="11.42578125" customWidth="1"/>
    <col min="17" max="17" width="12.5703125" customWidth="1"/>
    <col min="18" max="18" width="15" customWidth="1"/>
  </cols>
  <sheetData>
    <row r="1" spans="1:53" ht="21.6" thickBot="1">
      <c r="A1" s="1"/>
      <c r="B1" s="96" t="s">
        <v>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18">
      <c r="A2" s="97" t="s">
        <v>7</v>
      </c>
      <c r="B2" s="97" t="s">
        <v>8</v>
      </c>
      <c r="C2" s="97" t="s">
        <v>9</v>
      </c>
      <c r="D2" s="97" t="s">
        <v>10</v>
      </c>
      <c r="E2" s="97"/>
      <c r="F2" s="97" t="s">
        <v>11</v>
      </c>
      <c r="G2" s="97" t="s">
        <v>10</v>
      </c>
      <c r="H2" s="97"/>
      <c r="I2" s="97" t="s">
        <v>12</v>
      </c>
      <c r="J2" s="97"/>
      <c r="K2" s="97" t="s">
        <v>13</v>
      </c>
      <c r="L2" s="97" t="s">
        <v>14</v>
      </c>
      <c r="M2" s="97"/>
      <c r="N2" s="97"/>
      <c r="O2" s="97"/>
      <c r="P2" s="97"/>
      <c r="Q2" s="97" t="s">
        <v>15</v>
      </c>
      <c r="R2" s="97" t="s">
        <v>16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>
      <c r="A3" s="1">
        <v>1</v>
      </c>
      <c r="B3" s="1" t="s">
        <v>17</v>
      </c>
      <c r="C3" s="98" t="s">
        <v>18</v>
      </c>
      <c r="D3" s="1">
        <v>20.143281936645501</v>
      </c>
      <c r="E3" s="1"/>
      <c r="F3" s="1" t="s">
        <v>34</v>
      </c>
      <c r="G3" s="1">
        <v>28.544658660888672</v>
      </c>
      <c r="H3" s="1"/>
      <c r="I3" s="1">
        <f>G3-D3</f>
        <v>8.4013767242431712</v>
      </c>
      <c r="J3" s="1"/>
      <c r="K3" s="1">
        <f>2^(-I3)</f>
        <v>2.9575602534082273E-3</v>
      </c>
      <c r="L3" s="1">
        <f>AVERAGE(K3:K6)</f>
        <v>2.9391902428354297E-3</v>
      </c>
      <c r="M3" s="1"/>
      <c r="N3" s="99"/>
      <c r="O3" s="1"/>
      <c r="P3" s="1"/>
      <c r="Q3" s="1">
        <f>STDEVA(K3:K6)</f>
        <v>1.8097531155536225E-3</v>
      </c>
      <c r="R3" s="1">
        <f>Q3/SQRT(4)</f>
        <v>9.0487655777681127E-4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>
      <c r="A4" s="1">
        <v>2</v>
      </c>
      <c r="B4" s="1" t="s">
        <v>17</v>
      </c>
      <c r="C4" s="98" t="s">
        <v>18</v>
      </c>
      <c r="D4" s="1">
        <v>18.359188079833984</v>
      </c>
      <c r="E4" s="1"/>
      <c r="F4" s="1" t="s">
        <v>34</v>
      </c>
      <c r="G4" s="1">
        <v>26.997396469116211</v>
      </c>
      <c r="H4" s="1"/>
      <c r="I4" s="1">
        <f>G4-D4</f>
        <v>8.6382083892822266</v>
      </c>
      <c r="J4" s="1"/>
      <c r="K4" s="1">
        <f t="shared" ref="K4" si="0">2^(-I4)</f>
        <v>2.5098060741445567E-3</v>
      </c>
      <c r="L4" s="1"/>
      <c r="M4" s="1"/>
      <c r="N4" s="9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>
      <c r="A5" s="1">
        <v>3</v>
      </c>
      <c r="B5" s="1" t="s">
        <v>17</v>
      </c>
      <c r="C5" s="98" t="s">
        <v>18</v>
      </c>
      <c r="D5" s="1">
        <v>18.227993011474609</v>
      </c>
      <c r="E5" s="1"/>
      <c r="F5" s="1" t="s">
        <v>34</v>
      </c>
      <c r="G5" s="1">
        <v>25.779476165771484</v>
      </c>
      <c r="H5" s="1"/>
      <c r="I5" s="1">
        <f>G5-D5</f>
        <v>7.551483154296875</v>
      </c>
      <c r="J5" s="1"/>
      <c r="K5" s="1">
        <f>2^(-I5)</f>
        <v>5.3306118304092187E-3</v>
      </c>
      <c r="L5" s="1"/>
      <c r="M5" s="1"/>
      <c r="N5" s="9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>
      <c r="A6" s="1">
        <v>4</v>
      </c>
      <c r="B6" s="1" t="s">
        <v>17</v>
      </c>
      <c r="C6" s="98" t="s">
        <v>18</v>
      </c>
      <c r="D6" s="1">
        <v>16.900539398193359</v>
      </c>
      <c r="E6" s="1"/>
      <c r="F6" s="1" t="s">
        <v>34</v>
      </c>
      <c r="G6" s="1">
        <v>26.927047729492188</v>
      </c>
      <c r="H6" s="1"/>
      <c r="I6" s="1">
        <f>G6-D6</f>
        <v>10.026508331298828</v>
      </c>
      <c r="J6" s="1"/>
      <c r="K6" s="1">
        <f>2^(-I6)</f>
        <v>9.5878281337971583E-4</v>
      </c>
      <c r="L6" s="1"/>
      <c r="M6" s="1"/>
      <c r="N6" s="9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9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9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9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>
      <c r="A10" s="1">
        <v>1</v>
      </c>
      <c r="B10" s="1" t="s">
        <v>19</v>
      </c>
      <c r="C10" s="98" t="s">
        <v>18</v>
      </c>
      <c r="D10" s="1">
        <v>18.756221771240234</v>
      </c>
      <c r="E10" s="1"/>
      <c r="F10" s="1" t="s">
        <v>34</v>
      </c>
      <c r="G10" s="1">
        <v>26.049009323120117</v>
      </c>
      <c r="H10" s="1"/>
      <c r="I10" s="1">
        <f>G10-D10</f>
        <v>7.2927875518798828</v>
      </c>
      <c r="J10" s="1"/>
      <c r="K10" s="1">
        <f>2^(-I10)</f>
        <v>6.3775253693634532E-3</v>
      </c>
      <c r="L10" s="1">
        <f>AVERAGE(K10:K13)</f>
        <v>3.6152727750240555E-3</v>
      </c>
      <c r="M10" s="1"/>
      <c r="N10" s="99"/>
      <c r="O10" s="1"/>
      <c r="P10" s="1"/>
      <c r="Q10" s="1">
        <f>STDEVA(K10:K13)</f>
        <v>2.1116807457451682E-3</v>
      </c>
      <c r="R10" s="1">
        <f>Q10/SQRT(4)</f>
        <v>1.0558403728725841E-3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>
      <c r="A11" s="1">
        <v>2</v>
      </c>
      <c r="B11" s="1" t="s">
        <v>19</v>
      </c>
      <c r="C11" s="98" t="s">
        <v>18</v>
      </c>
      <c r="D11" s="1">
        <v>17.687248229980469</v>
      </c>
      <c r="E11" s="1"/>
      <c r="F11" s="1" t="s">
        <v>34</v>
      </c>
      <c r="G11" s="1">
        <v>26.134574890136719</v>
      </c>
      <c r="H11" s="1"/>
      <c r="I11" s="1">
        <f>G11-D11</f>
        <v>8.44732666015625</v>
      </c>
      <c r="J11" s="1"/>
      <c r="K11" s="1">
        <f t="shared" ref="K11:K13" si="1">2^(-I11)</f>
        <v>2.8648460707200759E-3</v>
      </c>
      <c r="L11" s="1"/>
      <c r="M11" s="1"/>
      <c r="N11" s="9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>
      <c r="A12" s="1">
        <v>3</v>
      </c>
      <c r="B12" s="1" t="s">
        <v>19</v>
      </c>
      <c r="C12" s="98" t="s">
        <v>18</v>
      </c>
      <c r="D12" s="1">
        <v>18.46928596496582</v>
      </c>
      <c r="E12" s="1"/>
      <c r="F12" s="1" t="s">
        <v>34</v>
      </c>
      <c r="G12" s="1">
        <v>26.484050750732422</v>
      </c>
      <c r="H12" s="1"/>
      <c r="I12" s="1">
        <f>G12-D12</f>
        <v>8.0147647857666016</v>
      </c>
      <c r="J12" s="1"/>
      <c r="K12" s="1">
        <f t="shared" si="1"/>
        <v>3.866476645675626E-3</v>
      </c>
      <c r="L12" s="1"/>
      <c r="M12" s="1"/>
      <c r="N12" s="9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>
      <c r="A13" s="1">
        <v>4</v>
      </c>
      <c r="B13" s="1" t="s">
        <v>19</v>
      </c>
      <c r="C13" s="98" t="s">
        <v>18</v>
      </c>
      <c r="D13" s="1">
        <v>17.378242492675781</v>
      </c>
      <c r="E13" s="1"/>
      <c r="F13" s="1" t="s">
        <v>34</v>
      </c>
      <c r="G13" s="1">
        <v>26.908672332763672</v>
      </c>
      <c r="H13" s="1"/>
      <c r="I13" s="1">
        <f>G13-D13</f>
        <v>9.5304298400878906</v>
      </c>
      <c r="J13" s="1"/>
      <c r="K13" s="1">
        <f t="shared" si="1"/>
        <v>1.3522430143370664E-3</v>
      </c>
      <c r="L13" s="1"/>
      <c r="M13" s="1"/>
      <c r="N13" s="9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9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9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>
      <c r="A16" s="1">
        <v>1</v>
      </c>
      <c r="B16" s="1" t="s">
        <v>20</v>
      </c>
      <c r="C16" s="98" t="s">
        <v>18</v>
      </c>
      <c r="D16" s="1">
        <v>17.974868774414063</v>
      </c>
      <c r="E16" s="1"/>
      <c r="F16" s="1" t="s">
        <v>34</v>
      </c>
      <c r="G16" s="1">
        <v>26.293436050415039</v>
      </c>
      <c r="H16" s="1"/>
      <c r="I16" s="1">
        <f>G16-D16</f>
        <v>8.3185672760009766</v>
      </c>
      <c r="J16" s="1"/>
      <c r="K16" s="1">
        <f>2^(-I16)</f>
        <v>3.1322883050842491E-3</v>
      </c>
      <c r="L16" s="1">
        <f>AVERAGE(K16:K19)</f>
        <v>3.3624129813681668E-3</v>
      </c>
      <c r="M16" s="1"/>
      <c r="N16" s="99"/>
      <c r="O16" s="1"/>
      <c r="P16" s="1"/>
      <c r="Q16" s="1">
        <f>STDEVA(K16:K19)</f>
        <v>1.3595741175383715E-3</v>
      </c>
      <c r="R16" s="1">
        <f t="shared" ref="R16:R67" si="2">Q16/SQRT(4)</f>
        <v>6.7978705876918575E-4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>
      <c r="A17" s="1">
        <v>2</v>
      </c>
      <c r="B17" s="1" t="s">
        <v>20</v>
      </c>
      <c r="C17" s="98" t="s">
        <v>18</v>
      </c>
      <c r="D17" s="1">
        <v>19.398357391357422</v>
      </c>
      <c r="E17" s="1"/>
      <c r="F17" s="1" t="s">
        <v>34</v>
      </c>
      <c r="G17" s="1">
        <v>27.059865951538086</v>
      </c>
      <c r="H17" s="1"/>
      <c r="I17" s="1">
        <f>G17-D17</f>
        <v>7.6615085601806641</v>
      </c>
      <c r="J17" s="1"/>
      <c r="K17" s="1">
        <f t="shared" ref="K17:K19" si="3">2^(-I17)</f>
        <v>4.9391943045686247E-3</v>
      </c>
      <c r="L17" s="1"/>
      <c r="M17" s="1"/>
      <c r="N17" s="9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>
      <c r="A18" s="1">
        <v>3</v>
      </c>
      <c r="B18" s="1" t="s">
        <v>20</v>
      </c>
      <c r="C18" s="98" t="s">
        <v>18</v>
      </c>
      <c r="D18" s="1">
        <v>20.825607299804688</v>
      </c>
      <c r="E18" s="1"/>
      <c r="F18" s="1" t="s">
        <v>34</v>
      </c>
      <c r="G18" s="1">
        <v>28.898561477661133</v>
      </c>
      <c r="H18" s="1"/>
      <c r="I18" s="1">
        <f>G18-D18</f>
        <v>8.0729541778564453</v>
      </c>
      <c r="J18" s="1"/>
      <c r="K18" s="1">
        <f t="shared" si="3"/>
        <v>3.7136300627285193E-3</v>
      </c>
      <c r="L18" s="1"/>
      <c r="M18" s="1"/>
      <c r="N18" s="9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>
      <c r="A19" s="1">
        <v>4</v>
      </c>
      <c r="B19" s="1" t="s">
        <v>20</v>
      </c>
      <c r="C19" s="98" t="s">
        <v>18</v>
      </c>
      <c r="D19" s="1">
        <v>19.177194595336914</v>
      </c>
      <c r="E19" s="1"/>
      <c r="F19" s="1" t="s">
        <v>34</v>
      </c>
      <c r="G19" s="1">
        <v>28.407855987548828</v>
      </c>
      <c r="H19" s="1"/>
      <c r="I19" s="1">
        <f>G19-D19</f>
        <v>9.2306613922119141</v>
      </c>
      <c r="J19" s="1"/>
      <c r="K19" s="1">
        <f t="shared" si="3"/>
        <v>1.6645392530912741E-3</v>
      </c>
      <c r="L19" s="1"/>
      <c r="M19" s="1"/>
      <c r="N19" s="9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9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9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9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>
      <c r="A23" s="1">
        <v>1</v>
      </c>
      <c r="B23" s="1" t="s">
        <v>21</v>
      </c>
      <c r="C23" s="98" t="s">
        <v>18</v>
      </c>
      <c r="D23" s="1">
        <v>18.806591033935547</v>
      </c>
      <c r="E23" s="1"/>
      <c r="F23" s="1" t="s">
        <v>34</v>
      </c>
      <c r="G23" s="1">
        <v>27.141622543334961</v>
      </c>
      <c r="H23" s="1"/>
      <c r="I23" s="1">
        <f>G23-D23</f>
        <v>8.3350315093994141</v>
      </c>
      <c r="J23" s="1"/>
      <c r="K23" s="1">
        <f>2^(-I23)</f>
        <v>3.0967453979587195E-3</v>
      </c>
      <c r="L23" s="1">
        <f>AVERAGE(K23:K26)</f>
        <v>8.4387102516575649E-3</v>
      </c>
      <c r="M23" s="1"/>
      <c r="N23" s="99"/>
      <c r="O23" s="1"/>
      <c r="P23" s="1"/>
      <c r="Q23" s="1">
        <f>STDEVA(K23:K26)</f>
        <v>6.0931139429784278E-3</v>
      </c>
      <c r="R23" s="1">
        <f t="shared" si="2"/>
        <v>3.0465569714892139E-3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>
      <c r="A24" s="1">
        <v>2</v>
      </c>
      <c r="B24" s="1" t="s">
        <v>21</v>
      </c>
      <c r="C24" s="98" t="s">
        <v>18</v>
      </c>
      <c r="D24" s="1">
        <v>20.654462814331055</v>
      </c>
      <c r="E24" s="1"/>
      <c r="F24" s="1" t="s">
        <v>34</v>
      </c>
      <c r="G24" s="1">
        <v>26.606796264648438</v>
      </c>
      <c r="H24" s="1"/>
      <c r="I24" s="1">
        <f>G24-D24</f>
        <v>5.9523334503173828</v>
      </c>
      <c r="J24" s="1"/>
      <c r="K24" s="1">
        <f t="shared" ref="K24:K26" si="4">2^(-I24)</f>
        <v>1.6149872100150672E-2</v>
      </c>
      <c r="L24" s="1"/>
      <c r="M24" s="1"/>
      <c r="N24" s="9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>
      <c r="A25" s="1">
        <v>3</v>
      </c>
      <c r="B25" s="1" t="s">
        <v>21</v>
      </c>
      <c r="C25" s="98" t="s">
        <v>18</v>
      </c>
      <c r="D25" s="1">
        <v>17.149078369140625</v>
      </c>
      <c r="E25" s="1"/>
      <c r="F25" s="1" t="s">
        <v>34</v>
      </c>
      <c r="G25" s="1">
        <v>25.098060607910156</v>
      </c>
      <c r="H25" s="1"/>
      <c r="I25" s="1">
        <f>G25-D25</f>
        <v>7.9489822387695313</v>
      </c>
      <c r="J25" s="1"/>
      <c r="K25" s="1">
        <f t="shared" si="4"/>
        <v>4.0468574913063906E-3</v>
      </c>
      <c r="L25" s="1"/>
      <c r="M25" s="1"/>
      <c r="N25" s="9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>
      <c r="A26" s="1">
        <v>4</v>
      </c>
      <c r="B26" s="1" t="s">
        <v>21</v>
      </c>
      <c r="C26" s="98" t="s">
        <v>18</v>
      </c>
      <c r="D26" s="1">
        <v>21.388389587402344</v>
      </c>
      <c r="E26" s="1"/>
      <c r="F26" s="1" t="s">
        <v>34</v>
      </c>
      <c r="G26" s="1">
        <v>27.967174530029297</v>
      </c>
      <c r="H26" s="1"/>
      <c r="I26" s="1">
        <f>G26-D26</f>
        <v>6.5787849426269531</v>
      </c>
      <c r="J26" s="1"/>
      <c r="K26" s="1">
        <f t="shared" si="4"/>
        <v>1.0461366017214483E-2</v>
      </c>
      <c r="L26" s="1"/>
      <c r="M26" s="1"/>
      <c r="N26" s="9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9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9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>
      <c r="A29" s="1">
        <v>1</v>
      </c>
      <c r="B29" s="1" t="s">
        <v>22</v>
      </c>
      <c r="C29" s="98" t="s">
        <v>18</v>
      </c>
      <c r="D29" s="1">
        <v>20.428304672241211</v>
      </c>
      <c r="E29" s="1"/>
      <c r="F29" s="1" t="s">
        <v>34</v>
      </c>
      <c r="G29" s="1">
        <v>26.483295440673828</v>
      </c>
      <c r="H29" s="1"/>
      <c r="I29" s="1">
        <f>G29-D29</f>
        <v>6.0549907684326172</v>
      </c>
      <c r="J29" s="1"/>
      <c r="K29" s="1">
        <f>2^(-I29)</f>
        <v>1.5040634415693423E-2</v>
      </c>
      <c r="L29" s="1">
        <f>AVERAGE(K29:K32)</f>
        <v>3.5010307076210265E-2</v>
      </c>
      <c r="M29" s="1"/>
      <c r="N29" s="99"/>
      <c r="O29" s="1"/>
      <c r="P29" s="1"/>
      <c r="Q29" s="1">
        <f>STDEVA(K29:K32)</f>
        <v>1.9232396035817115E-2</v>
      </c>
      <c r="R29" s="1">
        <f>Q29/SQRT(4)</f>
        <v>9.6161980179085577E-3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>
      <c r="A30" s="1">
        <v>2</v>
      </c>
      <c r="B30" s="1" t="s">
        <v>22</v>
      </c>
      <c r="C30" s="98" t="s">
        <v>18</v>
      </c>
      <c r="D30" s="1">
        <v>21.355932235717773</v>
      </c>
      <c r="E30" s="1"/>
      <c r="F30" s="1" t="s">
        <v>34</v>
      </c>
      <c r="G30" s="1">
        <v>26.151386260986328</v>
      </c>
      <c r="H30" s="1"/>
      <c r="I30" s="1">
        <f>G30-D30</f>
        <v>4.7954540252685547</v>
      </c>
      <c r="J30" s="1"/>
      <c r="K30" s="1">
        <f t="shared" ref="K30:K32" si="5">2^(-I30)</f>
        <v>3.6010113943080388E-2</v>
      </c>
      <c r="L30" s="1"/>
      <c r="M30" s="1"/>
      <c r="N30" s="9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>
      <c r="A31" s="1">
        <v>3</v>
      </c>
      <c r="B31" s="1" t="s">
        <v>22</v>
      </c>
      <c r="C31" s="98" t="s">
        <v>18</v>
      </c>
      <c r="D31" s="1">
        <v>21.055217742919922</v>
      </c>
      <c r="E31" s="1"/>
      <c r="F31" s="1" t="s">
        <v>34</v>
      </c>
      <c r="G31" s="1">
        <v>25.095640182495117</v>
      </c>
      <c r="H31" s="1"/>
      <c r="I31" s="1">
        <f>G31-D31</f>
        <v>4.0404224395751953</v>
      </c>
      <c r="J31" s="1"/>
      <c r="K31" s="1">
        <f t="shared" si="5"/>
        <v>6.0773136455408459E-2</v>
      </c>
      <c r="L31" s="1"/>
      <c r="M31" s="1"/>
      <c r="N31" s="9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>
      <c r="A32" s="1">
        <v>4</v>
      </c>
      <c r="B32" s="1" t="s">
        <v>22</v>
      </c>
      <c r="C32" s="98" t="s">
        <v>18</v>
      </c>
      <c r="D32" s="1">
        <v>21.066230773925781</v>
      </c>
      <c r="E32" s="1"/>
      <c r="F32" s="1" t="s">
        <v>34</v>
      </c>
      <c r="G32" s="1">
        <v>26.213504791259766</v>
      </c>
      <c r="H32" s="1"/>
      <c r="I32" s="1">
        <f>G32-D32</f>
        <v>5.1472740173339844</v>
      </c>
      <c r="J32" s="1"/>
      <c r="K32" s="1">
        <f t="shared" si="5"/>
        <v>2.8217343490658811E-2</v>
      </c>
      <c r="L32" s="1"/>
      <c r="M32" s="1"/>
      <c r="N32" s="99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9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9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>
      <c r="A35" s="1">
        <v>1</v>
      </c>
      <c r="B35" s="1" t="s">
        <v>23</v>
      </c>
      <c r="C35" s="98" t="s">
        <v>18</v>
      </c>
      <c r="D35" s="1">
        <v>19.902528762817383</v>
      </c>
      <c r="E35" s="1"/>
      <c r="F35" s="1" t="s">
        <v>34</v>
      </c>
      <c r="G35" s="1">
        <v>27.326301574707031</v>
      </c>
      <c r="H35" s="1"/>
      <c r="I35" s="1">
        <f>G35-D35</f>
        <v>7.4237728118896484</v>
      </c>
      <c r="J35" s="1"/>
      <c r="K35" s="1">
        <f>2^(-I35)</f>
        <v>5.82400451015898E-3</v>
      </c>
      <c r="L35" s="1">
        <f>AVERAGE(K35:K38)</f>
        <v>4.6161539656344452E-2</v>
      </c>
      <c r="M35" s="1"/>
      <c r="N35" s="99"/>
      <c r="O35" s="1"/>
      <c r="P35" s="1"/>
      <c r="Q35" s="1">
        <f>STDEVA(K35:K38)</f>
        <v>3.1433183070479591E-2</v>
      </c>
      <c r="R35" s="1">
        <f t="shared" si="2"/>
        <v>1.5716591535239795E-2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>
      <c r="A36" s="1">
        <v>2</v>
      </c>
      <c r="B36" s="1" t="s">
        <v>23</v>
      </c>
      <c r="C36" s="98" t="s">
        <v>18</v>
      </c>
      <c r="D36" s="1">
        <v>20.900043487548828</v>
      </c>
      <c r="E36" s="1"/>
      <c r="F36" s="1" t="s">
        <v>34</v>
      </c>
      <c r="G36" s="1">
        <v>25.648324966430664</v>
      </c>
      <c r="H36" s="1"/>
      <c r="I36" s="1">
        <f>G36-D36</f>
        <v>4.7482814788818359</v>
      </c>
      <c r="J36" s="1"/>
      <c r="K36" s="1">
        <f t="shared" ref="K36:K38" si="6">2^(-I36)</f>
        <v>3.7207016511361934E-2</v>
      </c>
      <c r="L36" s="1"/>
      <c r="M36" s="1"/>
      <c r="N36" s="9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>
      <c r="A37" s="1">
        <v>3</v>
      </c>
      <c r="B37" s="1" t="s">
        <v>23</v>
      </c>
      <c r="C37" s="98" t="s">
        <v>18</v>
      </c>
      <c r="D37" s="1">
        <v>20.884977340698242</v>
      </c>
      <c r="E37" s="1"/>
      <c r="F37" s="1" t="s">
        <v>34</v>
      </c>
      <c r="G37" s="1">
        <v>24.801435470581055</v>
      </c>
      <c r="H37" s="1"/>
      <c r="I37" s="1">
        <f>G37-D37</f>
        <v>3.9164581298828125</v>
      </c>
      <c r="J37" s="1"/>
      <c r="K37" s="1">
        <f t="shared" si="6"/>
        <v>6.6226015456548243E-2</v>
      </c>
      <c r="L37" s="1"/>
      <c r="M37" s="1"/>
      <c r="N37" s="9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>
      <c r="A38" s="1">
        <v>4</v>
      </c>
      <c r="B38" s="1" t="s">
        <v>23</v>
      </c>
      <c r="C38" s="98" t="s">
        <v>18</v>
      </c>
      <c r="D38" s="1">
        <v>22.629596710205078</v>
      </c>
      <c r="E38" s="1"/>
      <c r="F38" s="1" t="s">
        <v>34</v>
      </c>
      <c r="G38" s="1">
        <v>26.359096527099609</v>
      </c>
      <c r="H38" s="1"/>
      <c r="I38" s="1">
        <f>G38-D38</f>
        <v>3.7294998168945313</v>
      </c>
      <c r="J38" s="1"/>
      <c r="K38" s="1">
        <f t="shared" si="6"/>
        <v>7.538912214730864E-2</v>
      </c>
      <c r="L38" s="1"/>
      <c r="M38" s="1"/>
      <c r="N38" s="9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9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9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9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>
      <c r="A42" s="1">
        <v>1</v>
      </c>
      <c r="B42" s="1" t="s">
        <v>24</v>
      </c>
      <c r="C42" s="98" t="s">
        <v>18</v>
      </c>
      <c r="D42" s="1">
        <v>20.576499938964844</v>
      </c>
      <c r="E42" s="1"/>
      <c r="F42" s="1" t="s">
        <v>34</v>
      </c>
      <c r="G42" s="1">
        <v>29.972570419311523</v>
      </c>
      <c r="H42" s="1"/>
      <c r="I42" s="1">
        <f>G42-D42</f>
        <v>9.3960704803466797</v>
      </c>
      <c r="J42" s="1"/>
      <c r="K42" s="1">
        <f>2^(-I42)</f>
        <v>1.4842291063875029E-3</v>
      </c>
      <c r="L42" s="1">
        <f>AVERAGE(K42:K45)</f>
        <v>3.9525122701263266E-2</v>
      </c>
      <c r="M42" s="1"/>
      <c r="N42" s="99"/>
      <c r="O42" s="1"/>
      <c r="P42" s="1"/>
      <c r="Q42" s="1">
        <f>STDEVA(K42:K45)</f>
        <v>2.5882421794781636E-2</v>
      </c>
      <c r="R42" s="1">
        <f t="shared" si="2"/>
        <v>1.2941210897390818E-2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>
      <c r="A43" s="1">
        <v>2</v>
      </c>
      <c r="B43" s="1" t="s">
        <v>24</v>
      </c>
      <c r="C43" s="98" t="s">
        <v>18</v>
      </c>
      <c r="D43" s="1">
        <v>23.511343002319336</v>
      </c>
      <c r="E43" s="1"/>
      <c r="F43" s="1" t="s">
        <v>34</v>
      </c>
      <c r="G43" s="1">
        <v>27.985006332397461</v>
      </c>
      <c r="H43" s="1"/>
      <c r="I43" s="1">
        <f>G43-D43</f>
        <v>4.473663330078125</v>
      </c>
      <c r="J43" s="1"/>
      <c r="K43" s="1">
        <f t="shared" ref="K43:K45" si="7">2^(-I43)</f>
        <v>4.5008355709376904E-2</v>
      </c>
      <c r="L43" s="1"/>
      <c r="M43" s="1"/>
      <c r="N43" s="9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>
      <c r="A44" s="1">
        <v>3</v>
      </c>
      <c r="B44" s="1" t="s">
        <v>24</v>
      </c>
      <c r="C44" s="98" t="s">
        <v>18</v>
      </c>
      <c r="D44" s="1">
        <v>23.595056533813477</v>
      </c>
      <c r="E44" s="1"/>
      <c r="F44" s="1" t="s">
        <v>34</v>
      </c>
      <c r="G44" s="1">
        <v>27.787879943847656</v>
      </c>
      <c r="H44" s="1"/>
      <c r="I44" s="1">
        <f>G44-D44</f>
        <v>4.1928234100341797</v>
      </c>
      <c r="J44" s="1"/>
      <c r="K44" s="1">
        <f t="shared" si="7"/>
        <v>5.46807404747639E-2</v>
      </c>
      <c r="L44" s="1"/>
      <c r="M44" s="1"/>
      <c r="N44" s="9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>
      <c r="A45" s="1">
        <v>4</v>
      </c>
      <c r="B45" s="1" t="s">
        <v>24</v>
      </c>
      <c r="C45" s="98" t="s">
        <v>18</v>
      </c>
      <c r="D45" s="1">
        <v>23.765975952148438</v>
      </c>
      <c r="E45" s="1"/>
      <c r="F45" s="1" t="s">
        <v>34</v>
      </c>
      <c r="G45" s="1">
        <v>27.900714874267578</v>
      </c>
      <c r="H45" s="1"/>
      <c r="I45" s="1">
        <f>G45-D45</f>
        <v>4.1347389221191406</v>
      </c>
      <c r="J45" s="1"/>
      <c r="K45" s="1">
        <f t="shared" si="7"/>
        <v>5.6927165514524765E-2</v>
      </c>
      <c r="L45" s="1"/>
      <c r="M45" s="1"/>
      <c r="N45" s="9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5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9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9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3">
      <c r="A48" s="1">
        <v>1</v>
      </c>
      <c r="B48" s="1" t="s">
        <v>25</v>
      </c>
      <c r="C48" s="98" t="s">
        <v>18</v>
      </c>
      <c r="D48" s="1">
        <v>20.593772888183594</v>
      </c>
      <c r="E48" s="1"/>
      <c r="F48" s="1" t="s">
        <v>34</v>
      </c>
      <c r="G48" s="1">
        <v>24.741073608398438</v>
      </c>
      <c r="H48" s="1"/>
      <c r="I48" s="1">
        <f>G48-D48</f>
        <v>4.1473007202148438</v>
      </c>
      <c r="J48" s="1"/>
      <c r="K48" s="1">
        <f>2^(-I48)</f>
        <v>5.6433642439862972E-2</v>
      </c>
      <c r="L48" s="1">
        <f>AVERAGE(K48:K51)</f>
        <v>5.8591151433505725E-2</v>
      </c>
      <c r="M48" s="1"/>
      <c r="N48" s="99"/>
      <c r="O48" s="1"/>
      <c r="P48" s="1"/>
      <c r="Q48" s="1">
        <f>STDEVA(K48:K51)</f>
        <v>2.5883247902432824E-2</v>
      </c>
      <c r="R48" s="1">
        <f t="shared" si="2"/>
        <v>1.2941623951216412E-2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1:53">
      <c r="A49" s="1">
        <v>2</v>
      </c>
      <c r="B49" s="1" t="s">
        <v>25</v>
      </c>
      <c r="C49" s="98" t="s">
        <v>18</v>
      </c>
      <c r="D49" s="1">
        <v>20.266637802124023</v>
      </c>
      <c r="E49" s="1"/>
      <c r="F49" s="1" t="s">
        <v>34</v>
      </c>
      <c r="G49" s="1">
        <v>25.082891464233398</v>
      </c>
      <c r="H49" s="1"/>
      <c r="I49" s="1">
        <f>G49-D49</f>
        <v>4.816253662109375</v>
      </c>
      <c r="J49" s="1"/>
      <c r="K49" s="1">
        <f t="shared" ref="K49:K51" si="8">2^(-I49)</f>
        <v>3.549467311875628E-2</v>
      </c>
      <c r="L49" s="1"/>
      <c r="M49" s="1"/>
      <c r="N49" s="9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>
      <c r="A50" s="1">
        <v>3</v>
      </c>
      <c r="B50" s="1" t="s">
        <v>25</v>
      </c>
      <c r="C50" s="98" t="s">
        <v>18</v>
      </c>
      <c r="D50" s="1">
        <v>21.060832977294922</v>
      </c>
      <c r="E50" s="1"/>
      <c r="F50" s="1" t="s">
        <v>34</v>
      </c>
      <c r="G50" s="1">
        <v>24.453319549560547</v>
      </c>
      <c r="H50" s="1"/>
      <c r="I50" s="1">
        <f>G50-D50</f>
        <v>3.392486572265625</v>
      </c>
      <c r="J50" s="1"/>
      <c r="K50" s="1">
        <f t="shared" si="8"/>
        <v>9.5226929655530548E-2</v>
      </c>
      <c r="L50" s="1"/>
      <c r="M50" s="1"/>
      <c r="N50" s="9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3">
      <c r="A51" s="1">
        <v>4</v>
      </c>
      <c r="B51" s="1" t="s">
        <v>25</v>
      </c>
      <c r="C51" s="98" t="s">
        <v>18</v>
      </c>
      <c r="D51" s="1">
        <v>22.017650604248047</v>
      </c>
      <c r="E51" s="1"/>
      <c r="F51" s="1" t="s">
        <v>34</v>
      </c>
      <c r="G51" s="1">
        <v>26.422433853149414</v>
      </c>
      <c r="H51" s="1"/>
      <c r="I51" s="1">
        <f>G51-D51</f>
        <v>4.4047832489013672</v>
      </c>
      <c r="J51" s="1"/>
      <c r="K51" s="1">
        <f t="shared" si="8"/>
        <v>4.7209360519873129E-2</v>
      </c>
      <c r="L51" s="1"/>
      <c r="M51" s="1"/>
      <c r="N51" s="9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9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9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>
      <c r="A54" s="1">
        <v>1</v>
      </c>
      <c r="B54" s="1" t="s">
        <v>26</v>
      </c>
      <c r="C54" s="98" t="s">
        <v>18</v>
      </c>
      <c r="D54" s="1">
        <v>22.192726135253906</v>
      </c>
      <c r="E54" s="1"/>
      <c r="F54" s="1" t="s">
        <v>34</v>
      </c>
      <c r="G54" s="1">
        <v>28.641201019287109</v>
      </c>
      <c r="H54" s="1"/>
      <c r="I54" s="1">
        <f>G54-D54</f>
        <v>6.4484748840332031</v>
      </c>
      <c r="J54" s="1"/>
      <c r="K54" s="1">
        <f>2^(-I54)</f>
        <v>1.1450267523245607E-2</v>
      </c>
      <c r="L54" s="1">
        <f>AVERAGE(K54:K57)</f>
        <v>5.9479327509160802E-2</v>
      </c>
      <c r="M54" s="1"/>
      <c r="N54" s="99"/>
      <c r="O54" s="1"/>
      <c r="P54" s="1"/>
      <c r="Q54" s="1">
        <f>STDEVA(K54:K57)</f>
        <v>8.2235540617494912E-2</v>
      </c>
      <c r="R54" s="1">
        <f t="shared" si="2"/>
        <v>4.1117770308747456E-2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1:53">
      <c r="A55" s="1">
        <v>2</v>
      </c>
      <c r="B55" s="1" t="s">
        <v>26</v>
      </c>
      <c r="C55" s="98" t="s">
        <v>18</v>
      </c>
      <c r="D55" s="1">
        <v>23.074626922607422</v>
      </c>
      <c r="E55" s="1"/>
      <c r="F55" s="1" t="s">
        <v>34</v>
      </c>
      <c r="G55" s="1">
        <v>28.581863403320313</v>
      </c>
      <c r="H55" s="1"/>
      <c r="I55" s="1">
        <f>G55-D55</f>
        <v>5.5072364807128906</v>
      </c>
      <c r="J55" s="1"/>
      <c r="K55" s="1">
        <f t="shared" ref="K55:K56" si="9">2^(-I55)</f>
        <v>2.1986526626905294E-2</v>
      </c>
      <c r="L55" s="1"/>
      <c r="M55" s="1"/>
      <c r="N55" s="9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>
      <c r="A56" s="1">
        <v>3</v>
      </c>
      <c r="B56" s="1" t="s">
        <v>26</v>
      </c>
      <c r="C56" s="98" t="s">
        <v>18</v>
      </c>
      <c r="D56" s="1">
        <v>22.212917327880859</v>
      </c>
      <c r="E56" s="1"/>
      <c r="F56" s="1" t="s">
        <v>34</v>
      </c>
      <c r="G56" s="1">
        <v>27.727779388427734</v>
      </c>
      <c r="H56" s="1"/>
      <c r="I56" s="1">
        <f>G56-D56</f>
        <v>5.514862060546875</v>
      </c>
      <c r="J56" s="1"/>
      <c r="K56" s="1">
        <f t="shared" si="9"/>
        <v>2.1870620151196569E-2</v>
      </c>
      <c r="L56" s="1"/>
      <c r="M56" s="1"/>
      <c r="N56" s="9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>
      <c r="A57" s="1">
        <v>4</v>
      </c>
      <c r="B57" s="1" t="s">
        <v>26</v>
      </c>
      <c r="C57" s="98" t="s">
        <v>18</v>
      </c>
      <c r="D57" s="1">
        <v>23.384590148925781</v>
      </c>
      <c r="E57" s="1"/>
      <c r="F57" s="1" t="s">
        <v>34</v>
      </c>
      <c r="G57" s="1">
        <v>25.837753295898438</v>
      </c>
      <c r="H57" s="1"/>
      <c r="I57" s="1">
        <f>G57-D57</f>
        <v>2.4531631469726563</v>
      </c>
      <c r="J57" s="1"/>
      <c r="K57" s="1">
        <f>2^(-I57)</f>
        <v>0.18260989573529574</v>
      </c>
      <c r="L57" s="1"/>
      <c r="M57" s="1"/>
      <c r="N57" s="9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9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9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1:5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9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1:53">
      <c r="A61" s="1">
        <v>1</v>
      </c>
      <c r="B61" s="1" t="s">
        <v>27</v>
      </c>
      <c r="C61" s="98" t="s">
        <v>18</v>
      </c>
      <c r="D61" s="1">
        <v>21.02461051940918</v>
      </c>
      <c r="E61" s="1"/>
      <c r="F61" s="1" t="s">
        <v>34</v>
      </c>
      <c r="G61" s="1">
        <v>27.791126251220703</v>
      </c>
      <c r="H61" s="1"/>
      <c r="I61" s="1">
        <f>G61-D61</f>
        <v>6.7665157318115234</v>
      </c>
      <c r="J61" s="1"/>
      <c r="K61" s="1">
        <f>2^(-I61)</f>
        <v>9.1849288954737561E-3</v>
      </c>
      <c r="L61" s="1">
        <f>AVERAGE(K61:K64)</f>
        <v>1.9119484535251786E-2</v>
      </c>
      <c r="M61" s="1"/>
      <c r="N61" s="99"/>
      <c r="O61" s="1"/>
      <c r="P61" s="1"/>
      <c r="Q61" s="1">
        <f>STDEVA(K61:K64)</f>
        <v>1.185969617476439E-2</v>
      </c>
      <c r="R61" s="1">
        <f t="shared" si="2"/>
        <v>5.9298480873821949E-3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1:53">
      <c r="A62" s="1">
        <v>2</v>
      </c>
      <c r="B62" s="1" t="s">
        <v>27</v>
      </c>
      <c r="C62" s="98" t="s">
        <v>18</v>
      </c>
      <c r="D62" s="1">
        <v>20.557044982910156</v>
      </c>
      <c r="E62" s="1"/>
      <c r="F62" s="1" t="s">
        <v>34</v>
      </c>
      <c r="G62" s="1">
        <v>27.007045745849609</v>
      </c>
      <c r="H62" s="1"/>
      <c r="I62" s="1">
        <f>G62-D62</f>
        <v>6.4500007629394531</v>
      </c>
      <c r="J62" s="1"/>
      <c r="K62" s="1">
        <f t="shared" ref="K62:K64" si="10">2^(-I62)</f>
        <v>1.1438163450737277E-2</v>
      </c>
      <c r="L62" s="1"/>
      <c r="M62" s="1"/>
      <c r="N62" s="9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1:53">
      <c r="A63" s="1">
        <v>3</v>
      </c>
      <c r="B63" s="1" t="s">
        <v>27</v>
      </c>
      <c r="C63" s="98" t="s">
        <v>18</v>
      </c>
      <c r="D63" s="1">
        <v>22.679468154907227</v>
      </c>
      <c r="E63" s="1"/>
      <c r="F63" s="1" t="s">
        <v>34</v>
      </c>
      <c r="G63" s="1">
        <v>27.503116607666016</v>
      </c>
      <c r="H63" s="1"/>
      <c r="I63" s="1">
        <f>G63-D63</f>
        <v>4.8236484527587891</v>
      </c>
      <c r="J63" s="1"/>
      <c r="K63" s="1">
        <f t="shared" si="10"/>
        <v>3.5313204316015021E-2</v>
      </c>
      <c r="L63" s="1"/>
      <c r="M63" s="1"/>
      <c r="N63" s="9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1:53">
      <c r="A64" s="1">
        <v>4</v>
      </c>
      <c r="B64" s="1" t="s">
        <v>27</v>
      </c>
      <c r="C64" s="98" t="s">
        <v>18</v>
      </c>
      <c r="D64" s="1">
        <v>20.665248870849609</v>
      </c>
      <c r="E64" s="1"/>
      <c r="F64" s="1" t="s">
        <v>34</v>
      </c>
      <c r="G64" s="1">
        <v>26.270553588867188</v>
      </c>
      <c r="H64" s="1"/>
      <c r="I64" s="1">
        <f>G64-D64</f>
        <v>5.6053047180175781</v>
      </c>
      <c r="J64" s="1"/>
      <c r="K64" s="1">
        <f t="shared" si="10"/>
        <v>2.0541641478781091E-2</v>
      </c>
      <c r="L64" s="1"/>
      <c r="M64" s="1"/>
      <c r="N64" s="9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1:5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9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1:5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9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1:53">
      <c r="A67" s="1">
        <v>1</v>
      </c>
      <c r="B67" s="1" t="s">
        <v>28</v>
      </c>
      <c r="C67" s="98" t="s">
        <v>18</v>
      </c>
      <c r="D67" s="1">
        <v>20.644145965576172</v>
      </c>
      <c r="E67" s="1"/>
      <c r="F67" s="1" t="s">
        <v>34</v>
      </c>
      <c r="G67" s="1">
        <v>27.146474838256836</v>
      </c>
      <c r="H67" s="1"/>
      <c r="I67" s="1">
        <f>G67-D67</f>
        <v>6.5023288726806641</v>
      </c>
      <c r="J67" s="1"/>
      <c r="K67" s="1">
        <f>2^(-I67)</f>
        <v>1.1030722715282987E-2</v>
      </c>
      <c r="L67" s="1">
        <f>AVERAGE(K67:K70)</f>
        <v>1.5918574627301733E-2</v>
      </c>
      <c r="M67" s="1"/>
      <c r="N67" s="99"/>
      <c r="O67" s="1"/>
      <c r="P67" s="1"/>
      <c r="Q67" s="1">
        <f>STDEVA(K67:K70)</f>
        <v>4.7349048059345802E-3</v>
      </c>
      <c r="R67" s="1">
        <f t="shared" si="2"/>
        <v>2.3674524029672901E-3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1:53">
      <c r="A68" s="1">
        <v>2</v>
      </c>
      <c r="B68" s="1" t="s">
        <v>28</v>
      </c>
      <c r="C68" s="98" t="s">
        <v>18</v>
      </c>
      <c r="D68" s="1">
        <v>20.571266174316406</v>
      </c>
      <c r="E68" s="1"/>
      <c r="F68" s="1" t="s">
        <v>34</v>
      </c>
      <c r="G68" s="1">
        <v>26.398405075073242</v>
      </c>
      <c r="H68" s="1"/>
      <c r="I68" s="1">
        <f>G68-D68</f>
        <v>5.8271389007568359</v>
      </c>
      <c r="J68" s="1"/>
      <c r="K68" s="1">
        <f t="shared" ref="K68:K70" si="11">2^(-I68)</f>
        <v>1.7613935511883748E-2</v>
      </c>
      <c r="L68" s="1"/>
      <c r="M68" s="1"/>
      <c r="N68" s="9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>
      <c r="A69" s="1">
        <v>3</v>
      </c>
      <c r="B69" s="1" t="s">
        <v>28</v>
      </c>
      <c r="C69" s="98" t="s">
        <v>18</v>
      </c>
      <c r="D69" s="1">
        <v>21.043220520019531</v>
      </c>
      <c r="E69" s="1"/>
      <c r="F69" s="1" t="s">
        <v>34</v>
      </c>
      <c r="G69" s="1">
        <v>27.274795532226563</v>
      </c>
      <c r="H69" s="1"/>
      <c r="I69" s="1">
        <f>G69-D69</f>
        <v>6.2315750122070313</v>
      </c>
      <c r="J69" s="1"/>
      <c r="K69" s="1">
        <f t="shared" si="11"/>
        <v>1.3307883830540769E-2</v>
      </c>
      <c r="L69" s="1"/>
      <c r="M69" s="1"/>
      <c r="N69" s="9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>
      <c r="A70" s="1">
        <v>4</v>
      </c>
      <c r="B70" s="1" t="s">
        <v>28</v>
      </c>
      <c r="C70" s="98" t="s">
        <v>18</v>
      </c>
      <c r="D70" s="1">
        <v>20.611846923828125</v>
      </c>
      <c r="E70" s="1"/>
      <c r="F70" s="1" t="s">
        <v>34</v>
      </c>
      <c r="G70" s="1">
        <v>26.136562347412109</v>
      </c>
      <c r="H70" s="1"/>
      <c r="I70" s="1">
        <f>G70-D70</f>
        <v>5.5247154235839844</v>
      </c>
      <c r="J70" s="1"/>
      <c r="K70" s="1">
        <f t="shared" si="11"/>
        <v>2.172175645149943E-2</v>
      </c>
      <c r="L70" s="1"/>
      <c r="M70" s="1"/>
      <c r="N70" s="9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9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9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>
      <c r="A73" s="1">
        <v>1</v>
      </c>
      <c r="B73" s="1" t="s">
        <v>29</v>
      </c>
      <c r="C73" s="98" t="s">
        <v>18</v>
      </c>
      <c r="D73" s="1">
        <v>20.773025512695313</v>
      </c>
      <c r="E73" s="1"/>
      <c r="F73" s="1" t="s">
        <v>34</v>
      </c>
      <c r="G73" s="1">
        <v>26.779819488525391</v>
      </c>
      <c r="H73" s="1"/>
      <c r="I73" s="1">
        <f>G73-D73</f>
        <v>6.0067939758300781</v>
      </c>
      <c r="J73" s="1"/>
      <c r="K73" s="1">
        <f>2^(-I73)</f>
        <v>1.5551591341001373E-2</v>
      </c>
      <c r="L73" s="1">
        <f>AVERAGE(K73:K76)</f>
        <v>1.9128665537236335E-2</v>
      </c>
      <c r="M73" s="1"/>
      <c r="N73" s="99"/>
      <c r="O73" s="1"/>
      <c r="P73" s="1"/>
      <c r="Q73" s="1">
        <f>STDEVA(K73:K76)</f>
        <v>1.3499707300191493E-2</v>
      </c>
      <c r="R73" s="1">
        <f t="shared" ref="R73:R98" si="12">Q73/SQRT(4)</f>
        <v>6.7498536500957464E-3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>
      <c r="A74" s="1">
        <v>2</v>
      </c>
      <c r="B74" s="1" t="s">
        <v>29</v>
      </c>
      <c r="C74" s="98" t="s">
        <v>18</v>
      </c>
      <c r="D74" s="1">
        <v>20.899147033691406</v>
      </c>
      <c r="E74" s="1"/>
      <c r="F74" s="1" t="s">
        <v>34</v>
      </c>
      <c r="G74" s="1">
        <v>27.789890289306641</v>
      </c>
      <c r="H74" s="1"/>
      <c r="I74" s="1">
        <f>G74-D74</f>
        <v>6.8907432556152344</v>
      </c>
      <c r="J74" s="1"/>
      <c r="K74" s="1">
        <f t="shared" ref="K74:K76" si="13">2^(-I74)</f>
        <v>8.4271279447394615E-3</v>
      </c>
      <c r="L74" s="1"/>
      <c r="M74" s="1"/>
      <c r="N74" s="9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>
      <c r="A75" s="1">
        <v>3</v>
      </c>
      <c r="B75" s="1" t="s">
        <v>29</v>
      </c>
      <c r="C75" s="98" t="s">
        <v>18</v>
      </c>
      <c r="D75" s="1">
        <v>21.535186767578125</v>
      </c>
      <c r="E75" s="1"/>
      <c r="F75" s="1" t="s">
        <v>34</v>
      </c>
      <c r="G75" s="1">
        <v>27.72813606262207</v>
      </c>
      <c r="H75" s="1"/>
      <c r="I75" s="1">
        <f>G75-D75</f>
        <v>6.1929492950439453</v>
      </c>
      <c r="J75" s="1"/>
      <c r="K75" s="1">
        <f t="shared" si="13"/>
        <v>1.3668992353580076E-2</v>
      </c>
      <c r="L75" s="1"/>
      <c r="M75" s="1"/>
      <c r="N75" s="9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53">
      <c r="A76" s="1">
        <v>4</v>
      </c>
      <c r="B76" s="1" t="s">
        <v>29</v>
      </c>
      <c r="C76" s="98" t="s">
        <v>18</v>
      </c>
      <c r="D76" s="1">
        <v>23.467973709106445</v>
      </c>
      <c r="E76" s="1"/>
      <c r="F76" s="1" t="s">
        <v>34</v>
      </c>
      <c r="G76" s="1">
        <v>28.153285980224609</v>
      </c>
      <c r="H76" s="1"/>
      <c r="I76" s="1">
        <f>G76-D76</f>
        <v>4.6853122711181641</v>
      </c>
      <c r="J76" s="1"/>
      <c r="K76" s="1">
        <f t="shared" si="13"/>
        <v>3.8866950509624423E-2</v>
      </c>
      <c r="L76" s="1"/>
      <c r="M76" s="1"/>
      <c r="N76" s="9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99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99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9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>
      <c r="A80" s="1">
        <v>1</v>
      </c>
      <c r="B80" s="1" t="s">
        <v>30</v>
      </c>
      <c r="C80" s="98" t="s">
        <v>18</v>
      </c>
      <c r="D80" s="1">
        <v>25.109580993652344</v>
      </c>
      <c r="E80" s="1"/>
      <c r="F80" s="1" t="s">
        <v>34</v>
      </c>
      <c r="G80" s="1">
        <v>28.6561279296875</v>
      </c>
      <c r="H80" s="1"/>
      <c r="I80" s="1">
        <f>G80-D80</f>
        <v>3.5465469360351563</v>
      </c>
      <c r="J80" s="1"/>
      <c r="K80" s="1">
        <f>2^(-I80)</f>
        <v>8.5582110305342338E-2</v>
      </c>
      <c r="L80" s="1">
        <f>AVERAGE(K80:K83)</f>
        <v>7.3176986130940661E-2</v>
      </c>
      <c r="M80" s="1"/>
      <c r="N80" s="99"/>
      <c r="O80" s="1"/>
      <c r="P80" s="1"/>
      <c r="Q80" s="1">
        <f>STDEVA(K80:K83)</f>
        <v>1.8223563403940438E-2</v>
      </c>
      <c r="R80" s="1">
        <f t="shared" si="12"/>
        <v>9.1117817019702192E-3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>
      <c r="A81" s="1">
        <v>2</v>
      </c>
      <c r="B81" s="1" t="s">
        <v>30</v>
      </c>
      <c r="C81" s="98" t="s">
        <v>18</v>
      </c>
      <c r="D81" s="1">
        <v>24.284000396728516</v>
      </c>
      <c r="E81" s="1"/>
      <c r="F81" s="1" t="s">
        <v>34</v>
      </c>
      <c r="G81" s="1">
        <v>28.723085403442383</v>
      </c>
      <c r="H81" s="1"/>
      <c r="I81" s="1">
        <f>G81-D81</f>
        <v>4.4390850067138672</v>
      </c>
      <c r="J81" s="1"/>
      <c r="K81" s="1">
        <f t="shared" ref="K81:K83" si="14">2^(-I81)</f>
        <v>4.6100141633703573E-2</v>
      </c>
      <c r="L81" s="1"/>
      <c r="M81" s="1"/>
      <c r="N81" s="9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>
      <c r="A82" s="1">
        <v>3</v>
      </c>
      <c r="B82" s="1" t="s">
        <v>30</v>
      </c>
      <c r="C82" s="98" t="s">
        <v>18</v>
      </c>
      <c r="D82" s="1">
        <v>24.848484039306641</v>
      </c>
      <c r="E82" s="1"/>
      <c r="F82" s="1" t="s">
        <v>34</v>
      </c>
      <c r="G82" s="1">
        <v>28.499351501464844</v>
      </c>
      <c r="H82" s="1"/>
      <c r="I82" s="1">
        <f>G82-D82</f>
        <v>3.6508674621582031</v>
      </c>
      <c r="J82" s="1"/>
      <c r="K82" s="1">
        <f t="shared" si="14"/>
        <v>7.9612155699901099E-2</v>
      </c>
      <c r="L82" s="1"/>
      <c r="M82" s="1"/>
      <c r="N82" s="9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>
      <c r="A83" s="1">
        <v>4</v>
      </c>
      <c r="B83" s="1" t="s">
        <v>30</v>
      </c>
      <c r="C83" s="98" t="s">
        <v>18</v>
      </c>
      <c r="D83" s="1">
        <v>25.121562957763672</v>
      </c>
      <c r="E83" s="1"/>
      <c r="F83" s="1" t="s">
        <v>34</v>
      </c>
      <c r="G83" s="1">
        <v>28.740150451660156</v>
      </c>
      <c r="H83" s="1"/>
      <c r="I83" s="1">
        <f>G83-D83</f>
        <v>3.6185874938964844</v>
      </c>
      <c r="J83" s="1"/>
      <c r="K83" s="1">
        <f t="shared" si="14"/>
        <v>8.1413536884815618E-2</v>
      </c>
      <c r="L83" s="1"/>
      <c r="M83" s="1"/>
      <c r="N83" s="9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9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99"/>
      <c r="O85" s="1"/>
      <c r="P85" s="1"/>
      <c r="Q85" s="1">
        <f>STDEVA(K85:K88)</f>
        <v>2.7831616499428315E-3</v>
      </c>
      <c r="R85" s="1">
        <f t="shared" si="12"/>
        <v>1.3915808249714157E-3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>
      <c r="A86" s="1">
        <v>1</v>
      </c>
      <c r="B86" s="1" t="s">
        <v>31</v>
      </c>
      <c r="C86" s="98" t="s">
        <v>18</v>
      </c>
      <c r="D86" s="1">
        <v>21.080926895141602</v>
      </c>
      <c r="E86" s="1"/>
      <c r="F86" s="1" t="s">
        <v>34</v>
      </c>
      <c r="G86" s="1">
        <v>27.935348510742188</v>
      </c>
      <c r="H86" s="1"/>
      <c r="I86" s="1">
        <f>G86-D86</f>
        <v>6.8544216156005859</v>
      </c>
      <c r="J86" s="1"/>
      <c r="K86" s="1">
        <f>2^(-I86)</f>
        <v>8.6419846539795685E-3</v>
      </c>
      <c r="L86" s="1">
        <f>AVERAGE(K86:K89)</f>
        <v>6.1191160507091816E-3</v>
      </c>
      <c r="M86" s="1"/>
      <c r="N86" s="9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>
      <c r="A87" s="1">
        <v>2</v>
      </c>
      <c r="B87" s="1" t="s">
        <v>31</v>
      </c>
      <c r="C87" s="98" t="s">
        <v>18</v>
      </c>
      <c r="D87" s="1">
        <v>22.329303741455078</v>
      </c>
      <c r="E87" s="1"/>
      <c r="F87" s="1" t="s">
        <v>34</v>
      </c>
      <c r="G87" s="1">
        <v>29.637443542480469</v>
      </c>
      <c r="H87" s="1"/>
      <c r="I87" s="1">
        <f>G87-D87</f>
        <v>7.3081398010253906</v>
      </c>
      <c r="J87" s="1"/>
      <c r="K87" s="1">
        <f t="shared" ref="K87:K89" si="15">2^(-I87)</f>
        <v>6.310019587597685E-3</v>
      </c>
      <c r="L87" s="1"/>
      <c r="M87" s="1"/>
      <c r="N87" s="9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>
      <c r="A88" s="1">
        <v>3</v>
      </c>
      <c r="B88" s="1" t="s">
        <v>31</v>
      </c>
      <c r="C88" s="98" t="s">
        <v>18</v>
      </c>
      <c r="D88" s="1">
        <v>21.380630493164063</v>
      </c>
      <c r="E88" s="1"/>
      <c r="F88" s="1" t="s">
        <v>34</v>
      </c>
      <c r="G88" s="1">
        <v>29.714679718017578</v>
      </c>
      <c r="H88" s="1"/>
      <c r="I88" s="1">
        <f>G88-D88</f>
        <v>8.3340492248535156</v>
      </c>
      <c r="J88" s="1"/>
      <c r="K88" s="1">
        <f t="shared" si="15"/>
        <v>3.0988545900309116E-3</v>
      </c>
      <c r="L88" s="1"/>
      <c r="M88" s="1"/>
      <c r="N88" s="9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>
      <c r="A89" s="1">
        <v>4</v>
      </c>
      <c r="B89" s="1" t="s">
        <v>31</v>
      </c>
      <c r="C89" s="98" t="s">
        <v>18</v>
      </c>
      <c r="D89" s="1">
        <v>22.267072677612305</v>
      </c>
      <c r="E89" s="1"/>
      <c r="F89" s="1" t="s">
        <v>34</v>
      </c>
      <c r="G89" s="1">
        <v>29.54902458190918</v>
      </c>
      <c r="H89" s="1"/>
      <c r="I89" s="1">
        <f>G89-D89</f>
        <v>7.281951904296875</v>
      </c>
      <c r="J89" s="1"/>
      <c r="K89" s="1">
        <f t="shared" si="15"/>
        <v>6.4256053712285627E-3</v>
      </c>
      <c r="L89" s="1"/>
      <c r="M89" s="1"/>
      <c r="N89" s="9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9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9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>
      <c r="A92" s="1">
        <v>1</v>
      </c>
      <c r="B92" s="1" t="s">
        <v>32</v>
      </c>
      <c r="C92" s="98" t="s">
        <v>18</v>
      </c>
      <c r="D92" s="1">
        <v>23.680686950683594</v>
      </c>
      <c r="E92" s="1"/>
      <c r="F92" s="1" t="s">
        <v>34</v>
      </c>
      <c r="G92" s="1">
        <v>30.982761383056641</v>
      </c>
      <c r="H92" s="1"/>
      <c r="I92" s="1">
        <f>G92-D92</f>
        <v>7.3020744323730469</v>
      </c>
      <c r="J92" s="1"/>
      <c r="K92" s="1">
        <f>2^(-I92)</f>
        <v>6.3366039727044158E-3</v>
      </c>
      <c r="L92" s="1">
        <f>AVERAGE(K92:K96)</f>
        <v>1.2181957244849287E-2</v>
      </c>
      <c r="M92" s="1"/>
      <c r="N92" s="99"/>
      <c r="O92" s="1"/>
      <c r="P92" s="1"/>
      <c r="Q92" s="1">
        <f>STDEVA(K92:K96)</f>
        <v>8.9337823428105711E-3</v>
      </c>
      <c r="R92" s="1">
        <f>Q92/SQRT(5)</f>
        <v>3.9953089229423531E-3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>
      <c r="A93" s="1">
        <v>2</v>
      </c>
      <c r="B93" s="1" t="s">
        <v>32</v>
      </c>
      <c r="C93" s="98" t="s">
        <v>18</v>
      </c>
      <c r="D93" s="1">
        <v>22.318157196044922</v>
      </c>
      <c r="E93" s="1"/>
      <c r="F93" s="1" t="s">
        <v>34</v>
      </c>
      <c r="G93" s="1">
        <v>30.518661499023438</v>
      </c>
      <c r="H93" s="1"/>
      <c r="I93" s="1">
        <f>G93-D93</f>
        <v>8.2005043029785156</v>
      </c>
      <c r="J93" s="1"/>
      <c r="K93" s="1">
        <f>2^(-I93)</f>
        <v>3.3993996489839746E-3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>
      <c r="A94" s="1">
        <v>3</v>
      </c>
      <c r="B94" s="1" t="s">
        <v>32</v>
      </c>
      <c r="C94" s="98" t="s">
        <v>18</v>
      </c>
      <c r="D94" s="1">
        <v>21.950836181640625</v>
      </c>
      <c r="E94" s="1"/>
      <c r="F94" s="1" t="s">
        <v>34</v>
      </c>
      <c r="G94" s="1">
        <v>28.615715026855469</v>
      </c>
      <c r="H94" s="1"/>
      <c r="I94" s="1">
        <f>G94-D94</f>
        <v>6.6648788452148438</v>
      </c>
      <c r="J94" s="1"/>
      <c r="K94" s="1">
        <f>2^(-I94)</f>
        <v>9.8553386043322023E-3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>
      <c r="A95" s="1">
        <v>4</v>
      </c>
      <c r="B95" s="1" t="s">
        <v>32</v>
      </c>
      <c r="C95" s="98" t="s">
        <v>18</v>
      </c>
      <c r="D95" s="1">
        <v>23.886611938476563</v>
      </c>
      <c r="E95" s="1"/>
      <c r="F95" s="1" t="s">
        <v>34</v>
      </c>
      <c r="G95" s="1">
        <v>29.147428512573242</v>
      </c>
      <c r="H95" s="1"/>
      <c r="I95" s="1">
        <f>G95-D95</f>
        <v>5.2608165740966797</v>
      </c>
      <c r="J95" s="1"/>
      <c r="K95" s="1">
        <f>2^(-I95)</f>
        <v>2.6081730886511209E-2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>
      <c r="A96" s="1">
        <v>5</v>
      </c>
      <c r="B96" s="1" t="s">
        <v>32</v>
      </c>
      <c r="C96" s="98" t="s">
        <v>18</v>
      </c>
      <c r="D96" s="1">
        <v>25.365455627441406</v>
      </c>
      <c r="E96" s="1"/>
      <c r="F96" s="1" t="s">
        <v>34</v>
      </c>
      <c r="G96" s="1">
        <v>31.401760101318359</v>
      </c>
      <c r="H96" s="1"/>
      <c r="I96" s="1">
        <f>G96-D96</f>
        <v>6.0363044738769531</v>
      </c>
      <c r="J96" s="1"/>
      <c r="K96" s="1">
        <f>2^(-I96)</f>
        <v>1.5236713111714636E-2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1:5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9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1:53">
      <c r="A98" s="1">
        <v>1</v>
      </c>
      <c r="B98" s="1" t="s">
        <v>33</v>
      </c>
      <c r="C98" s="98" t="s">
        <v>18</v>
      </c>
      <c r="D98" s="1">
        <v>21.539398193359375</v>
      </c>
      <c r="E98" s="1"/>
      <c r="F98" s="1" t="s">
        <v>34</v>
      </c>
      <c r="G98" s="1">
        <v>27.437479019165039</v>
      </c>
      <c r="H98" s="1"/>
      <c r="I98" s="1">
        <f>G98-D98</f>
        <v>5.8980808258056641</v>
      </c>
      <c r="J98" s="1"/>
      <c r="K98" s="1">
        <f>2^(-I98)</f>
        <v>1.6768752492984589E-2</v>
      </c>
      <c r="L98" s="1">
        <f>AVERAGE(K98:K101)</f>
        <v>1.1675446320147127E-2</v>
      </c>
      <c r="M98" s="1"/>
      <c r="N98" s="99"/>
      <c r="O98" s="1"/>
      <c r="P98" s="1"/>
      <c r="Q98" s="1">
        <f>STDEVA(K98:K101)</f>
        <v>6.0611024526589828E-3</v>
      </c>
      <c r="R98" s="1">
        <f t="shared" si="12"/>
        <v>3.0305512263294914E-3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1:53">
      <c r="A99" s="1">
        <v>2</v>
      </c>
      <c r="B99" s="1" t="s">
        <v>33</v>
      </c>
      <c r="C99" s="98" t="s">
        <v>18</v>
      </c>
      <c r="D99" s="1">
        <v>22.855751037597656</v>
      </c>
      <c r="E99" s="1"/>
      <c r="F99" s="1" t="s">
        <v>34</v>
      </c>
      <c r="G99" s="1">
        <v>28.773838043212891</v>
      </c>
      <c r="H99" s="1"/>
      <c r="I99" s="1">
        <f>G99-D99</f>
        <v>5.9180870056152344</v>
      </c>
      <c r="J99" s="1"/>
      <c r="K99" s="1">
        <f t="shared" ref="K99:K100" si="16">2^(-I99)</f>
        <v>1.6537821281936028E-2</v>
      </c>
      <c r="L99" s="1"/>
      <c r="M99" s="1"/>
      <c r="N99" s="9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53">
      <c r="A100" s="1">
        <v>3</v>
      </c>
      <c r="B100" s="1" t="s">
        <v>33</v>
      </c>
      <c r="C100" s="98" t="s">
        <v>18</v>
      </c>
      <c r="D100" s="1">
        <v>19.947513580322266</v>
      </c>
      <c r="E100" s="1"/>
      <c r="F100" s="1" t="s">
        <v>34</v>
      </c>
      <c r="G100" s="1">
        <v>26.735361099243164</v>
      </c>
      <c r="H100" s="1"/>
      <c r="I100" s="1">
        <f>G100-D100</f>
        <v>6.7878475189208984</v>
      </c>
      <c r="J100" s="1"/>
      <c r="K100" s="1">
        <f t="shared" si="16"/>
        <v>9.0501190214907767E-3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53">
      <c r="A101" s="1">
        <v>4</v>
      </c>
      <c r="B101" s="1" t="s">
        <v>33</v>
      </c>
      <c r="C101" s="98" t="s">
        <v>18</v>
      </c>
      <c r="D101" s="1">
        <v>19.833488464355469</v>
      </c>
      <c r="E101" s="1"/>
      <c r="F101" s="1" t="s">
        <v>34</v>
      </c>
      <c r="G101" s="1">
        <v>27.679885864257813</v>
      </c>
      <c r="H101" s="1"/>
      <c r="I101" s="1">
        <f>G101-D101</f>
        <v>7.8463973999023438</v>
      </c>
      <c r="J101" s="1"/>
      <c r="K101" s="1">
        <f>2^(-I101)</f>
        <v>4.3450924841771125E-3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1:5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1:5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1:5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1:5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1:5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1:5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1:5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1:5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1:5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1:5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1:5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1:5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1:5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1:5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1:5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1:5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1:5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1:5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1:5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1:5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1:5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1:5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1:5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1:5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1:5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1:5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1:5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1:5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1:5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1:5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1:5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1:5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1:5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1:5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1:5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1:5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1:5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1:5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1:5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1:5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1:5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1:5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1:5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1:5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1:5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1:5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1:5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1:5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1:5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1:5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1:5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1: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1:5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1:5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1:5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1:5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1:5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1:5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1:5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1:5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1:5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1:5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1:5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1:5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1:5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1:5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1:5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1:5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1:5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1:5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1:5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1:5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1:5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1:5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1:5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1:5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1:5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1:5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1:5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1:5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1:5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1:5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1:5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1:5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1:5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1:5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1:5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1:5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1:5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1:5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1:5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</sheetData>
  <phoneticPr fontId="4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2785-30F6-4245-9648-234DA76E2421}">
  <dimension ref="B3:S144"/>
  <sheetViews>
    <sheetView topLeftCell="C1" zoomScale="85" zoomScaleNormal="85" workbookViewId="0">
      <selection activeCell="O1" sqref="O1:O1048576"/>
    </sheetView>
  </sheetViews>
  <sheetFormatPr defaultRowHeight="14.45"/>
  <cols>
    <col min="2" max="2" width="28" customWidth="1"/>
    <col min="3" max="3" width="25.42578125" customWidth="1"/>
    <col min="4" max="4" width="22.140625" customWidth="1"/>
    <col min="6" max="6" width="24.5703125" customWidth="1"/>
    <col min="7" max="7" width="20.28515625" customWidth="1"/>
    <col min="8" max="8" width="14" customWidth="1"/>
    <col min="9" max="9" width="7" customWidth="1"/>
    <col min="12" max="12" width="16.42578125" customWidth="1"/>
    <col min="13" max="13" width="25.42578125" customWidth="1"/>
    <col min="14" max="14" width="15.7109375" customWidth="1"/>
    <col min="15" max="15" width="17.28515625" customWidth="1"/>
    <col min="22" max="22" width="12.140625" customWidth="1"/>
  </cols>
  <sheetData>
    <row r="3" spans="2:19" ht="15" thickBot="1"/>
    <row r="4" spans="2:19" ht="21.6" thickBot="1">
      <c r="B4" s="1"/>
      <c r="C4" s="96" t="s">
        <v>35</v>
      </c>
      <c r="D4" s="1"/>
    </row>
    <row r="5" spans="2:19" ht="18">
      <c r="B5" s="97" t="s">
        <v>7</v>
      </c>
      <c r="C5" s="97" t="s">
        <v>8</v>
      </c>
      <c r="D5" s="97" t="s">
        <v>9</v>
      </c>
      <c r="E5" s="97" t="s">
        <v>10</v>
      </c>
      <c r="F5" s="97"/>
      <c r="G5" s="97" t="s">
        <v>11</v>
      </c>
      <c r="H5" s="97" t="s">
        <v>10</v>
      </c>
      <c r="I5" s="97"/>
      <c r="J5" s="97" t="s">
        <v>12</v>
      </c>
      <c r="K5" s="97"/>
      <c r="L5" s="97" t="s">
        <v>13</v>
      </c>
      <c r="M5" s="97" t="s">
        <v>14</v>
      </c>
      <c r="N5" s="97"/>
      <c r="O5" s="97"/>
      <c r="P5" s="97"/>
      <c r="Q5" s="97"/>
      <c r="R5" s="97" t="s">
        <v>15</v>
      </c>
      <c r="S5" s="97" t="s">
        <v>16</v>
      </c>
    </row>
    <row r="6" spans="2:19">
      <c r="B6" s="1">
        <v>1</v>
      </c>
      <c r="C6" s="1" t="s">
        <v>17</v>
      </c>
      <c r="D6" s="98" t="s">
        <v>18</v>
      </c>
      <c r="E6">
        <v>19.898590087890625</v>
      </c>
      <c r="G6" t="s">
        <v>36</v>
      </c>
      <c r="H6">
        <v>27.247274398803711</v>
      </c>
      <c r="J6">
        <f>H6-E6</f>
        <v>7.3486843109130859</v>
      </c>
      <c r="L6">
        <f>2^(-J6)</f>
        <v>6.1351557689204245E-3</v>
      </c>
      <c r="M6">
        <f>AVERAGE(L6:L9)</f>
        <v>1.4981991003759222E-2</v>
      </c>
      <c r="R6">
        <f>STDEVA(L6:L9)</f>
        <v>9.2017620251725919E-3</v>
      </c>
      <c r="S6">
        <f>R6/SQRT(4)</f>
        <v>4.600881012586296E-3</v>
      </c>
    </row>
    <row r="7" spans="2:19">
      <c r="B7" s="1">
        <v>2</v>
      </c>
      <c r="C7" s="1" t="s">
        <v>17</v>
      </c>
      <c r="D7" s="98" t="s">
        <v>18</v>
      </c>
      <c r="E7">
        <v>19.777618408203125</v>
      </c>
      <c r="G7" t="s">
        <v>36</v>
      </c>
      <c r="H7">
        <v>25.636661529541016</v>
      </c>
      <c r="J7">
        <f t="shared" ref="J7:J70" si="0">H7-E7</f>
        <v>5.8590431213378906</v>
      </c>
      <c r="L7">
        <f t="shared" ref="L7:L70" si="1">2^(-J7)</f>
        <v>1.7228690709445736E-2</v>
      </c>
    </row>
    <row r="8" spans="2:19">
      <c r="B8" s="1">
        <v>3</v>
      </c>
      <c r="C8" s="1" t="s">
        <v>17</v>
      </c>
      <c r="D8" s="98" t="s">
        <v>18</v>
      </c>
      <c r="E8">
        <v>18.290992736816406</v>
      </c>
      <c r="G8" t="s">
        <v>36</v>
      </c>
      <c r="H8">
        <v>23.506645202636719</v>
      </c>
      <c r="J8">
        <f t="shared" si="0"/>
        <v>5.2156524658203125</v>
      </c>
      <c r="L8">
        <f t="shared" si="1"/>
        <v>2.6911144043212962E-2</v>
      </c>
    </row>
    <row r="9" spans="2:19">
      <c r="B9" s="1">
        <v>4</v>
      </c>
      <c r="C9" s="1" t="s">
        <v>17</v>
      </c>
      <c r="D9" s="98" t="s">
        <v>18</v>
      </c>
      <c r="E9">
        <v>17.948677062988281</v>
      </c>
      <c r="G9" t="s">
        <v>36</v>
      </c>
      <c r="H9">
        <v>24.643487930297852</v>
      </c>
      <c r="J9">
        <f t="shared" si="0"/>
        <v>6.6948108673095703</v>
      </c>
      <c r="L9">
        <f t="shared" si="1"/>
        <v>9.6529734934577682E-3</v>
      </c>
    </row>
    <row r="10" spans="2:19">
      <c r="B10" s="1"/>
      <c r="C10" s="1"/>
      <c r="D10" s="1"/>
    </row>
    <row r="11" spans="2:19">
      <c r="B11" s="1">
        <v>1</v>
      </c>
      <c r="C11" s="1" t="s">
        <v>19</v>
      </c>
      <c r="D11" s="98" t="s">
        <v>18</v>
      </c>
      <c r="E11">
        <v>19.460693359375</v>
      </c>
      <c r="G11" t="s">
        <v>36</v>
      </c>
      <c r="H11">
        <v>26.962879180908203</v>
      </c>
      <c r="J11">
        <f t="shared" si="0"/>
        <v>7.5021858215332031</v>
      </c>
      <c r="L11">
        <f t="shared" si="1"/>
        <v>5.5159082631659412E-3</v>
      </c>
      <c r="M11">
        <f t="shared" ref="M11:M67" si="2">AVERAGE(L11:L14)</f>
        <v>5.2617452543079679E-3</v>
      </c>
      <c r="R11">
        <f>STDEVA(L11:L14)</f>
        <v>3.2944474134431056E-4</v>
      </c>
      <c r="S11">
        <f>R11/SQRT(4)</f>
        <v>1.6472237067215528E-4</v>
      </c>
    </row>
    <row r="12" spans="2:19">
      <c r="B12" s="1">
        <v>2</v>
      </c>
      <c r="C12" s="1" t="s">
        <v>19</v>
      </c>
      <c r="D12" s="98" t="s">
        <v>18</v>
      </c>
      <c r="E12">
        <v>18.407295227050781</v>
      </c>
      <c r="G12" t="s">
        <v>36</v>
      </c>
      <c r="H12">
        <v>25.930694580078125</v>
      </c>
      <c r="J12">
        <f t="shared" si="0"/>
        <v>7.5233993530273438</v>
      </c>
      <c r="L12">
        <f t="shared" si="1"/>
        <v>5.4353951857789807E-3</v>
      </c>
    </row>
    <row r="13" spans="2:19">
      <c r="B13" s="1">
        <v>3</v>
      </c>
      <c r="C13" s="1" t="s">
        <v>19</v>
      </c>
      <c r="D13" s="98" t="s">
        <v>18</v>
      </c>
      <c r="E13">
        <v>19.087779998779297</v>
      </c>
      <c r="G13" t="s">
        <v>36</v>
      </c>
      <c r="H13">
        <v>26.644367218017578</v>
      </c>
      <c r="J13">
        <f t="shared" si="0"/>
        <v>7.5565872192382813</v>
      </c>
      <c r="L13">
        <f t="shared" si="1"/>
        <v>5.3117861492280377E-3</v>
      </c>
    </row>
    <row r="14" spans="2:19">
      <c r="B14" s="1">
        <v>4</v>
      </c>
      <c r="C14" s="1" t="s">
        <v>19</v>
      </c>
      <c r="D14" s="98" t="s">
        <v>18</v>
      </c>
      <c r="E14">
        <v>18.866905212402344</v>
      </c>
      <c r="G14" t="s">
        <v>36</v>
      </c>
      <c r="H14">
        <v>26.574504852294922</v>
      </c>
      <c r="J14">
        <f t="shared" si="0"/>
        <v>7.7075996398925781</v>
      </c>
      <c r="L14">
        <f t="shared" si="1"/>
        <v>4.7838914190589119E-3</v>
      </c>
    </row>
    <row r="15" spans="2:19">
      <c r="B15" s="1"/>
      <c r="C15" s="1"/>
      <c r="D15" s="1"/>
    </row>
    <row r="16" spans="2:19">
      <c r="B16" s="1">
        <v>1</v>
      </c>
      <c r="C16" s="1" t="s">
        <v>20</v>
      </c>
      <c r="D16" s="98" t="s">
        <v>18</v>
      </c>
      <c r="E16">
        <v>19.839059829711914</v>
      </c>
      <c r="G16" t="s">
        <v>36</v>
      </c>
      <c r="H16">
        <v>26.555742263793945</v>
      </c>
      <c r="J16">
        <f t="shared" si="0"/>
        <v>6.7166824340820313</v>
      </c>
      <c r="L16">
        <f t="shared" si="1"/>
        <v>9.5077360386101161E-3</v>
      </c>
      <c r="M16">
        <f t="shared" si="2"/>
        <v>0.30241963994160004</v>
      </c>
      <c r="R16">
        <f>STDEVA(L16:L19)</f>
        <v>0.57922048123934367</v>
      </c>
      <c r="S16">
        <f>R16/SQRT(4)</f>
        <v>0.28961024061967183</v>
      </c>
    </row>
    <row r="17" spans="2:19">
      <c r="B17" s="1">
        <v>2</v>
      </c>
      <c r="C17" s="1" t="s">
        <v>20</v>
      </c>
      <c r="D17" s="98" t="s">
        <v>18</v>
      </c>
      <c r="E17">
        <v>20.241542816162109</v>
      </c>
      <c r="G17" t="s">
        <v>36</v>
      </c>
      <c r="H17">
        <v>26.382688522338867</v>
      </c>
      <c r="J17">
        <f t="shared" si="0"/>
        <v>6.1411457061767578</v>
      </c>
      <c r="L17">
        <f t="shared" si="1"/>
        <v>1.4168730334698303E-2</v>
      </c>
    </row>
    <row r="18" spans="2:19">
      <c r="B18" s="1">
        <v>3</v>
      </c>
      <c r="C18" s="1" t="s">
        <v>20</v>
      </c>
      <c r="D18" s="98" t="s">
        <v>18</v>
      </c>
      <c r="E18">
        <v>21.299552917480469</v>
      </c>
      <c r="G18" t="s">
        <v>36</v>
      </c>
      <c r="H18">
        <v>27.381826400756836</v>
      </c>
      <c r="J18">
        <f t="shared" si="0"/>
        <v>6.0822734832763672</v>
      </c>
      <c r="L18">
        <f t="shared" si="1"/>
        <v>1.4758874496712465E-2</v>
      </c>
    </row>
    <row r="19" spans="2:19">
      <c r="B19" s="1">
        <v>4</v>
      </c>
      <c r="C19" s="1" t="s">
        <v>20</v>
      </c>
      <c r="D19" s="98" t="s">
        <v>18</v>
      </c>
      <c r="E19">
        <v>20.598623275756836</v>
      </c>
      <c r="G19" t="s">
        <v>36</v>
      </c>
      <c r="H19">
        <v>20.370582580566406</v>
      </c>
      <c r="J19">
        <f t="shared" si="0"/>
        <v>-0.22804069519042969</v>
      </c>
      <c r="L19">
        <f t="shared" si="1"/>
        <v>1.1712432188963793</v>
      </c>
    </row>
    <row r="20" spans="2:19">
      <c r="B20" s="1"/>
      <c r="C20" s="1"/>
      <c r="D20" s="1"/>
    </row>
    <row r="21" spans="2:19">
      <c r="B21" s="1"/>
      <c r="C21" s="1"/>
      <c r="D21" s="1"/>
    </row>
    <row r="22" spans="2:19">
      <c r="B22" s="1"/>
      <c r="C22" s="1"/>
      <c r="D22" s="1"/>
    </row>
    <row r="23" spans="2:19">
      <c r="B23" s="1">
        <v>1</v>
      </c>
      <c r="C23" s="1" t="s">
        <v>21</v>
      </c>
      <c r="D23" s="98" t="s">
        <v>18</v>
      </c>
      <c r="E23">
        <v>21.276721954345703</v>
      </c>
      <c r="G23" t="s">
        <v>36</v>
      </c>
      <c r="H23">
        <v>30.489086151123047</v>
      </c>
      <c r="J23">
        <f t="shared" si="0"/>
        <v>9.2123641967773438</v>
      </c>
      <c r="L23">
        <f t="shared" si="1"/>
        <v>1.6857844588724236E-3</v>
      </c>
      <c r="M23">
        <f t="shared" si="2"/>
        <v>1.3258789314725319E-3</v>
      </c>
      <c r="R23">
        <f>STDEVA(L23:L26)</f>
        <v>7.5178876996020798E-4</v>
      </c>
      <c r="S23">
        <f>R23/SQRT(4)</f>
        <v>3.7589438498010399E-4</v>
      </c>
    </row>
    <row r="24" spans="2:19">
      <c r="B24" s="1">
        <v>2</v>
      </c>
      <c r="C24" s="1" t="s">
        <v>21</v>
      </c>
      <c r="D24" s="98" t="s">
        <v>18</v>
      </c>
      <c r="E24">
        <v>20.663053512573242</v>
      </c>
      <c r="G24" t="s">
        <v>36</v>
      </c>
      <c r="H24">
        <v>29.935459136962891</v>
      </c>
      <c r="J24">
        <f t="shared" si="0"/>
        <v>9.2724056243896484</v>
      </c>
      <c r="L24">
        <f t="shared" si="1"/>
        <v>1.6170661088928014E-3</v>
      </c>
    </row>
    <row r="25" spans="2:19">
      <c r="B25" s="1">
        <v>3</v>
      </c>
      <c r="C25" s="1" t="s">
        <v>21</v>
      </c>
      <c r="D25" s="98" t="s">
        <v>18</v>
      </c>
      <c r="E25">
        <v>19.231725692749023</v>
      </c>
      <c r="G25" t="s">
        <v>36</v>
      </c>
      <c r="H25">
        <v>31.493057250976563</v>
      </c>
      <c r="J25">
        <f t="shared" si="0"/>
        <v>12.261331558227539</v>
      </c>
      <c r="L25">
        <f t="shared" si="1"/>
        <v>2.0369080014521015E-4</v>
      </c>
    </row>
    <row r="26" spans="2:19">
      <c r="B26" s="1">
        <v>4</v>
      </c>
      <c r="C26" s="1" t="s">
        <v>21</v>
      </c>
      <c r="D26" s="98" t="s">
        <v>18</v>
      </c>
      <c r="E26">
        <v>22.440858840942383</v>
      </c>
      <c r="G26" t="s">
        <v>36</v>
      </c>
      <c r="H26">
        <v>31.561073303222656</v>
      </c>
      <c r="J26">
        <f t="shared" si="0"/>
        <v>9.1202144622802734</v>
      </c>
      <c r="L26">
        <f t="shared" si="1"/>
        <v>1.7969743579796928E-3</v>
      </c>
    </row>
    <row r="27" spans="2:19">
      <c r="B27" s="1"/>
      <c r="C27" s="1"/>
      <c r="D27" s="1"/>
    </row>
    <row r="28" spans="2:19">
      <c r="B28" s="1"/>
      <c r="C28" s="1"/>
      <c r="D28" s="1"/>
    </row>
    <row r="29" spans="2:19">
      <c r="B29" s="1">
        <v>1</v>
      </c>
      <c r="C29" s="1" t="s">
        <v>22</v>
      </c>
      <c r="D29" s="98" t="s">
        <v>18</v>
      </c>
      <c r="E29">
        <v>34.488082885742188</v>
      </c>
      <c r="G29" t="s">
        <v>36</v>
      </c>
      <c r="H29">
        <v>31.629682540893555</v>
      </c>
      <c r="J29">
        <f t="shared" si="0"/>
        <v>-2.8584003448486328</v>
      </c>
      <c r="L29">
        <f t="shared" si="1"/>
        <v>7.2521076716117063</v>
      </c>
      <c r="M29">
        <f t="shared" si="2"/>
        <v>3.1532157152917151</v>
      </c>
      <c r="R29">
        <f>STDEVA(L29:L32)</f>
        <v>3.3973348254531093</v>
      </c>
      <c r="S29">
        <f>R29/SQRT(4)</f>
        <v>1.6986674127265546</v>
      </c>
    </row>
    <row r="30" spans="2:19">
      <c r="B30" s="1">
        <v>2</v>
      </c>
      <c r="C30" s="1" t="s">
        <v>22</v>
      </c>
      <c r="D30" s="98" t="s">
        <v>18</v>
      </c>
      <c r="E30">
        <v>21.828939437866211</v>
      </c>
      <c r="G30" t="s">
        <v>36</v>
      </c>
      <c r="H30">
        <v>27.493083953857422</v>
      </c>
      <c r="J30">
        <f t="shared" si="0"/>
        <v>5.6641445159912109</v>
      </c>
      <c r="L30">
        <f t="shared" si="1"/>
        <v>1.9720712462241219E-2</v>
      </c>
    </row>
    <row r="31" spans="2:19">
      <c r="B31" s="1">
        <v>3</v>
      </c>
      <c r="C31" s="1" t="s">
        <v>22</v>
      </c>
      <c r="D31" s="98" t="s">
        <v>18</v>
      </c>
      <c r="E31">
        <v>31.193092346191406</v>
      </c>
      <c r="G31" t="s">
        <v>36</v>
      </c>
      <c r="H31">
        <v>31.649349212646484</v>
      </c>
      <c r="J31">
        <f t="shared" si="0"/>
        <v>0.45625686645507813</v>
      </c>
      <c r="L31">
        <f t="shared" si="1"/>
        <v>0.72887490440467106</v>
      </c>
    </row>
    <row r="32" spans="2:19">
      <c r="B32" s="1">
        <v>4</v>
      </c>
      <c r="C32" s="1" t="s">
        <v>22</v>
      </c>
      <c r="D32" s="98" t="s">
        <v>18</v>
      </c>
      <c r="E32">
        <v>33.599437713623047</v>
      </c>
      <c r="G32" t="s">
        <v>36</v>
      </c>
      <c r="H32">
        <v>31.39399528503418</v>
      </c>
      <c r="J32">
        <f t="shared" si="0"/>
        <v>-2.2054424285888672</v>
      </c>
      <c r="L32">
        <f t="shared" si="1"/>
        <v>4.6121595726882427</v>
      </c>
    </row>
    <row r="33" spans="2:19">
      <c r="B33" s="1"/>
      <c r="C33" s="1"/>
      <c r="D33" s="1"/>
    </row>
    <row r="34" spans="2:19">
      <c r="B34" s="1"/>
      <c r="C34" s="1"/>
      <c r="D34" s="1"/>
    </row>
    <row r="35" spans="2:19">
      <c r="B35" s="1">
        <v>1</v>
      </c>
      <c r="C35" s="1" t="s">
        <v>23</v>
      </c>
      <c r="D35" s="98" t="s">
        <v>18</v>
      </c>
      <c r="E35">
        <v>20.383794784545898</v>
      </c>
      <c r="G35" t="s">
        <v>36</v>
      </c>
      <c r="H35">
        <v>25.851055145263672</v>
      </c>
      <c r="J35">
        <f t="shared" si="0"/>
        <v>5.4672603607177734</v>
      </c>
      <c r="L35">
        <f t="shared" si="1"/>
        <v>2.2604277868065639E-2</v>
      </c>
      <c r="M35">
        <f t="shared" si="2"/>
        <v>6.6016297769060789E-2</v>
      </c>
      <c r="R35">
        <f>STDEVA(L35:L38)</f>
        <v>4.8226812886623852E-2</v>
      </c>
      <c r="S35">
        <f>R35/SQRT(4)</f>
        <v>2.4113406443311926E-2</v>
      </c>
    </row>
    <row r="36" spans="2:19">
      <c r="B36" s="1">
        <v>2</v>
      </c>
      <c r="C36" s="1" t="s">
        <v>23</v>
      </c>
      <c r="D36" s="98" t="s">
        <v>18</v>
      </c>
      <c r="E36">
        <v>20.717281341552734</v>
      </c>
      <c r="G36" t="s">
        <v>36</v>
      </c>
      <c r="H36">
        <v>25.305984497070313</v>
      </c>
      <c r="J36">
        <f t="shared" si="0"/>
        <v>4.5887031555175781</v>
      </c>
      <c r="L36">
        <f t="shared" si="1"/>
        <v>4.1558772255839149E-2</v>
      </c>
    </row>
    <row r="37" spans="2:19">
      <c r="B37" s="1">
        <v>3</v>
      </c>
      <c r="C37" s="1" t="s">
        <v>23</v>
      </c>
      <c r="D37" s="98" t="s">
        <v>18</v>
      </c>
      <c r="E37">
        <v>20.905355453491211</v>
      </c>
      <c r="G37" t="s">
        <v>36</v>
      </c>
      <c r="H37">
        <v>24.808317184448242</v>
      </c>
      <c r="J37">
        <f t="shared" si="0"/>
        <v>3.9029617309570313</v>
      </c>
      <c r="L37">
        <f t="shared" si="1"/>
        <v>6.6848466197020825E-2</v>
      </c>
    </row>
    <row r="38" spans="2:19">
      <c r="B38" s="1">
        <v>4</v>
      </c>
      <c r="C38" s="1" t="s">
        <v>23</v>
      </c>
      <c r="D38" s="98" t="s">
        <v>18</v>
      </c>
      <c r="E38">
        <v>22.757638931274414</v>
      </c>
      <c r="G38" t="s">
        <v>36</v>
      </c>
      <c r="H38">
        <v>25.667558670043945</v>
      </c>
      <c r="J38">
        <f t="shared" si="0"/>
        <v>2.9099197387695313</v>
      </c>
      <c r="L38">
        <f t="shared" si="1"/>
        <v>0.13305367475531754</v>
      </c>
    </row>
    <row r="39" spans="2:19">
      <c r="B39" s="1"/>
      <c r="C39" s="1"/>
      <c r="D39" s="1"/>
    </row>
    <row r="40" spans="2:19">
      <c r="B40" s="1"/>
      <c r="C40" s="1"/>
      <c r="D40" s="1"/>
    </row>
    <row r="41" spans="2:19">
      <c r="B41" s="1"/>
      <c r="C41" s="1"/>
      <c r="D41" s="1"/>
    </row>
    <row r="42" spans="2:19">
      <c r="B42" s="1">
        <v>1</v>
      </c>
      <c r="C42" s="1" t="s">
        <v>24</v>
      </c>
      <c r="D42" s="98" t="s">
        <v>18</v>
      </c>
      <c r="E42">
        <v>31.798271179199219</v>
      </c>
      <c r="G42" t="s">
        <v>36</v>
      </c>
      <c r="H42">
        <v>31.506221771240234</v>
      </c>
      <c r="J42">
        <f t="shared" si="0"/>
        <v>-0.29204940795898438</v>
      </c>
      <c r="L42">
        <f t="shared" si="1"/>
        <v>1.2243783229512841</v>
      </c>
      <c r="M42">
        <f t="shared" si="2"/>
        <v>0.42570376929788606</v>
      </c>
      <c r="R42">
        <f>STDEVA(L42:L45)</f>
        <v>0.53272193791934808</v>
      </c>
      <c r="S42">
        <f>R42/SQRT(4)</f>
        <v>0.26636096895967404</v>
      </c>
    </row>
    <row r="43" spans="2:19">
      <c r="B43" s="1">
        <v>2</v>
      </c>
      <c r="C43" s="1" t="s">
        <v>24</v>
      </c>
      <c r="D43" s="98" t="s">
        <v>18</v>
      </c>
      <c r="E43">
        <v>25.717449188232422</v>
      </c>
      <c r="G43" t="s">
        <v>36</v>
      </c>
      <c r="H43">
        <v>28.588668823242188</v>
      </c>
      <c r="J43">
        <f t="shared" si="0"/>
        <v>2.8712196350097656</v>
      </c>
      <c r="L43">
        <f t="shared" si="1"/>
        <v>0.13667112387347238</v>
      </c>
    </row>
    <row r="44" spans="2:19">
      <c r="B44" s="1">
        <v>3</v>
      </c>
      <c r="C44" s="1" t="s">
        <v>24</v>
      </c>
      <c r="D44" s="98" t="s">
        <v>18</v>
      </c>
      <c r="E44">
        <v>26.881877899169922</v>
      </c>
      <c r="G44" t="s">
        <v>36</v>
      </c>
      <c r="H44">
        <v>29.375356674194336</v>
      </c>
      <c r="J44">
        <f t="shared" si="0"/>
        <v>2.4934787750244141</v>
      </c>
      <c r="L44">
        <f t="shared" si="1"/>
        <v>0.17757756445083675</v>
      </c>
    </row>
    <row r="45" spans="2:19">
      <c r="B45" s="1">
        <v>4</v>
      </c>
      <c r="C45" s="1" t="s">
        <v>24</v>
      </c>
      <c r="D45" s="98" t="s">
        <v>18</v>
      </c>
      <c r="E45">
        <v>26.686351776123047</v>
      </c>
      <c r="G45" t="s">
        <v>36</v>
      </c>
      <c r="H45">
        <v>29.292930603027344</v>
      </c>
      <c r="J45">
        <f t="shared" si="0"/>
        <v>2.6065788269042969</v>
      </c>
      <c r="L45">
        <f t="shared" si="1"/>
        <v>0.16418806591595098</v>
      </c>
    </row>
    <row r="46" spans="2:19">
      <c r="B46" s="1"/>
      <c r="C46" s="1"/>
      <c r="D46" s="1"/>
    </row>
    <row r="47" spans="2:19">
      <c r="B47" s="1"/>
      <c r="C47" s="1"/>
      <c r="D47" s="1"/>
    </row>
    <row r="48" spans="2:19">
      <c r="B48" s="1">
        <v>1</v>
      </c>
      <c r="C48" s="1" t="s">
        <v>25</v>
      </c>
      <c r="D48" s="98" t="s">
        <v>18</v>
      </c>
      <c r="E48">
        <v>21.877571105957031</v>
      </c>
      <c r="G48" t="s">
        <v>36</v>
      </c>
      <c r="H48">
        <v>25.5067138671875</v>
      </c>
      <c r="J48">
        <f t="shared" si="0"/>
        <v>3.6291427612304688</v>
      </c>
      <c r="L48">
        <f t="shared" si="1"/>
        <v>8.0820060335011545E-2</v>
      </c>
      <c r="M48">
        <f t="shared" si="2"/>
        <v>0.10698136174360093</v>
      </c>
      <c r="R48">
        <f>STDEVA(L48:L51)</f>
        <v>2.8495894313759627E-2</v>
      </c>
      <c r="S48">
        <f>R48/SQRT(4)</f>
        <v>1.4247947156879813E-2</v>
      </c>
    </row>
    <row r="49" spans="2:19">
      <c r="B49" s="1">
        <v>2</v>
      </c>
      <c r="C49" s="1" t="s">
        <v>25</v>
      </c>
      <c r="D49" s="98" t="s">
        <v>18</v>
      </c>
      <c r="E49">
        <v>22.17626953125</v>
      </c>
      <c r="G49" t="s">
        <v>36</v>
      </c>
      <c r="H49">
        <v>25.345930099487305</v>
      </c>
      <c r="J49">
        <f t="shared" si="0"/>
        <v>3.1696605682373047</v>
      </c>
      <c r="L49">
        <f t="shared" si="1"/>
        <v>0.11113147865881591</v>
      </c>
    </row>
    <row r="50" spans="2:19">
      <c r="B50" s="1">
        <v>3</v>
      </c>
      <c r="C50" s="1" t="s">
        <v>25</v>
      </c>
      <c r="D50" s="98" t="s">
        <v>18</v>
      </c>
      <c r="E50">
        <v>22.357076644897461</v>
      </c>
      <c r="G50" t="s">
        <v>36</v>
      </c>
      <c r="H50">
        <v>25.139955520629883</v>
      </c>
      <c r="J50">
        <f t="shared" si="0"/>
        <v>2.7828788757324219</v>
      </c>
      <c r="L50">
        <f t="shared" si="1"/>
        <v>0.1453014619944713</v>
      </c>
    </row>
    <row r="51" spans="2:19">
      <c r="B51" s="1">
        <v>4</v>
      </c>
      <c r="C51" s="1" t="s">
        <v>25</v>
      </c>
      <c r="D51" s="98" t="s">
        <v>18</v>
      </c>
      <c r="E51">
        <v>22.953765869140625</v>
      </c>
      <c r="G51" t="s">
        <v>36</v>
      </c>
      <c r="H51">
        <v>26.416957855224609</v>
      </c>
      <c r="J51">
        <f t="shared" si="0"/>
        <v>3.4631919860839844</v>
      </c>
      <c r="L51">
        <f t="shared" si="1"/>
        <v>9.0672445986104966E-2</v>
      </c>
    </row>
    <row r="52" spans="2:19">
      <c r="B52" s="1"/>
      <c r="C52" s="1"/>
      <c r="D52" s="1"/>
    </row>
    <row r="53" spans="2:19">
      <c r="B53" s="1"/>
      <c r="C53" s="1"/>
      <c r="D53" s="1"/>
    </row>
    <row r="54" spans="2:19">
      <c r="B54" s="1">
        <v>1</v>
      </c>
      <c r="C54" s="1" t="s">
        <v>26</v>
      </c>
      <c r="D54" s="98" t="s">
        <v>18</v>
      </c>
      <c r="E54">
        <v>24.433509826660156</v>
      </c>
      <c r="G54" t="s">
        <v>36</v>
      </c>
      <c r="H54">
        <v>27.581754684448242</v>
      </c>
      <c r="J54">
        <f t="shared" si="0"/>
        <v>3.1482448577880859</v>
      </c>
      <c r="L54">
        <f t="shared" si="1"/>
        <v>0.11279344572421275</v>
      </c>
      <c r="M54">
        <f t="shared" si="2"/>
        <v>0.11854744886647595</v>
      </c>
      <c r="R54">
        <f>STDEVA(L54:L57)</f>
        <v>4.9451414755171015E-2</v>
      </c>
      <c r="S54">
        <f>R54/SQRT(4)</f>
        <v>2.4725707377585508E-2</v>
      </c>
    </row>
    <row r="55" spans="2:19">
      <c r="B55" s="1">
        <v>2</v>
      </c>
      <c r="C55" s="1" t="s">
        <v>26</v>
      </c>
      <c r="D55" s="98" t="s">
        <v>18</v>
      </c>
      <c r="E55">
        <v>25.033220291137695</v>
      </c>
      <c r="G55" t="s">
        <v>36</v>
      </c>
      <c r="H55">
        <v>28.598892211914063</v>
      </c>
      <c r="J55">
        <f t="shared" si="0"/>
        <v>3.5656719207763672</v>
      </c>
      <c r="L55">
        <f t="shared" si="1"/>
        <v>8.4455083793076952E-2</v>
      </c>
    </row>
    <row r="56" spans="2:19">
      <c r="B56" s="1">
        <v>3</v>
      </c>
      <c r="C56" s="1" t="s">
        <v>26</v>
      </c>
      <c r="D56" s="98" t="s">
        <v>18</v>
      </c>
      <c r="E56">
        <v>24.264125823974609</v>
      </c>
      <c r="G56" t="s">
        <v>36</v>
      </c>
      <c r="H56">
        <v>27.790878295898438</v>
      </c>
      <c r="J56">
        <f t="shared" si="0"/>
        <v>3.5267524719238281</v>
      </c>
      <c r="L56">
        <f t="shared" si="1"/>
        <v>8.6764430128731182E-2</v>
      </c>
    </row>
    <row r="57" spans="2:19">
      <c r="B57" s="1">
        <v>4</v>
      </c>
      <c r="C57" s="1" t="s">
        <v>26</v>
      </c>
      <c r="D57" s="98" t="s">
        <v>18</v>
      </c>
      <c r="E57">
        <v>23.956212997436523</v>
      </c>
      <c r="G57" t="s">
        <v>36</v>
      </c>
      <c r="H57">
        <v>26.350799560546875</v>
      </c>
      <c r="J57">
        <f t="shared" si="0"/>
        <v>2.3945865631103516</v>
      </c>
      <c r="L57">
        <f t="shared" si="1"/>
        <v>0.1901768358198829</v>
      </c>
    </row>
    <row r="58" spans="2:19">
      <c r="B58" s="1"/>
      <c r="C58" s="1"/>
      <c r="D58" s="1"/>
    </row>
    <row r="59" spans="2:19">
      <c r="B59" s="1"/>
      <c r="C59" s="1"/>
      <c r="D59" s="1"/>
    </row>
    <row r="60" spans="2:19">
      <c r="B60" s="1"/>
      <c r="C60" s="1"/>
      <c r="D60" s="1"/>
    </row>
    <row r="61" spans="2:19">
      <c r="B61" s="1">
        <v>1</v>
      </c>
      <c r="C61" s="1" t="s">
        <v>27</v>
      </c>
      <c r="D61" s="98" t="s">
        <v>18</v>
      </c>
      <c r="E61">
        <v>22.904478073120117</v>
      </c>
      <c r="G61" t="s">
        <v>36</v>
      </c>
      <c r="H61">
        <v>27.317695617675799</v>
      </c>
      <c r="J61">
        <f t="shared" si="0"/>
        <v>4.4132175445556818</v>
      </c>
      <c r="L61">
        <f t="shared" si="1"/>
        <v>4.693416996124164E-2</v>
      </c>
      <c r="M61">
        <f>AVERAGE(L61:L64)</f>
        <v>4.2673870957381406E-2</v>
      </c>
      <c r="R61">
        <f>STDEVA(L61:L64)</f>
        <v>4.7776968556423917E-3</v>
      </c>
      <c r="S61">
        <f>R61/SQRT(4)</f>
        <v>2.3888484278211958E-3</v>
      </c>
    </row>
    <row r="62" spans="2:19">
      <c r="B62" s="1">
        <v>2</v>
      </c>
      <c r="C62" s="1" t="s">
        <v>27</v>
      </c>
      <c r="D62" s="98" t="s">
        <v>18</v>
      </c>
      <c r="E62">
        <v>22.196540832519531</v>
      </c>
      <c r="G62" t="s">
        <v>36</v>
      </c>
      <c r="H62">
        <v>26.878253936767578</v>
      </c>
      <c r="J62">
        <f t="shared" si="0"/>
        <v>4.6817131042480469</v>
      </c>
      <c r="L62">
        <f t="shared" si="1"/>
        <v>3.8964034976959917E-2</v>
      </c>
    </row>
    <row r="63" spans="2:19">
      <c r="B63" s="1">
        <v>3</v>
      </c>
      <c r="C63" s="1" t="s">
        <v>27</v>
      </c>
      <c r="D63" s="98" t="s">
        <v>18</v>
      </c>
      <c r="E63">
        <v>23.352169036865234</v>
      </c>
      <c r="G63" t="s">
        <v>36</v>
      </c>
      <c r="H63">
        <v>28.065036773681641</v>
      </c>
      <c r="J63">
        <f t="shared" si="0"/>
        <v>4.7128677368164063</v>
      </c>
      <c r="L63">
        <f t="shared" si="1"/>
        <v>3.8131636612335311E-2</v>
      </c>
    </row>
    <row r="64" spans="2:19">
      <c r="B64" s="1">
        <v>4</v>
      </c>
      <c r="C64" s="1" t="s">
        <v>27</v>
      </c>
      <c r="D64" s="98" t="s">
        <v>18</v>
      </c>
      <c r="E64">
        <v>22.720499038696289</v>
      </c>
      <c r="G64" t="s">
        <v>36</v>
      </c>
      <c r="H64">
        <v>27.141994476318359</v>
      </c>
      <c r="J64">
        <f t="shared" si="0"/>
        <v>4.4214954376220703</v>
      </c>
      <c r="L64">
        <f t="shared" si="1"/>
        <v>4.6665642278988756E-2</v>
      </c>
    </row>
    <row r="65" spans="2:19">
      <c r="B65" s="1"/>
      <c r="C65" s="1"/>
      <c r="D65" s="1"/>
    </row>
    <row r="66" spans="2:19">
      <c r="B66" s="1"/>
      <c r="C66" s="1"/>
      <c r="D66" s="1"/>
    </row>
    <row r="67" spans="2:19">
      <c r="B67" s="1">
        <v>1</v>
      </c>
      <c r="C67" s="1" t="s">
        <v>28</v>
      </c>
      <c r="D67" s="98" t="s">
        <v>18</v>
      </c>
      <c r="E67">
        <v>22.957788467407227</v>
      </c>
      <c r="G67" t="s">
        <v>36</v>
      </c>
      <c r="H67">
        <v>28.718025207519531</v>
      </c>
      <c r="J67">
        <f t="shared" si="0"/>
        <v>5.7602367401123047</v>
      </c>
      <c r="L67">
        <f t="shared" si="1"/>
        <v>1.8449982522857344E-2</v>
      </c>
      <c r="M67">
        <f t="shared" si="2"/>
        <v>1.8700860344837821E-2</v>
      </c>
      <c r="R67">
        <f>STDEVA(L67:L70)</f>
        <v>1.0332062594093477E-2</v>
      </c>
      <c r="S67">
        <f>R67/SQRT(4)</f>
        <v>5.1660312970467385E-3</v>
      </c>
    </row>
    <row r="68" spans="2:19">
      <c r="B68" s="1">
        <v>2</v>
      </c>
      <c r="C68" s="1" t="s">
        <v>28</v>
      </c>
      <c r="D68" s="98" t="s">
        <v>18</v>
      </c>
      <c r="E68">
        <v>22.011611938476563</v>
      </c>
      <c r="G68" t="s">
        <v>36</v>
      </c>
      <c r="H68">
        <v>27.897256851196289</v>
      </c>
      <c r="J68">
        <f t="shared" si="0"/>
        <v>5.8856449127197266</v>
      </c>
      <c r="L68">
        <f t="shared" si="1"/>
        <v>1.6913922544094843E-2</v>
      </c>
    </row>
    <row r="69" spans="2:19">
      <c r="B69" s="1">
        <v>3</v>
      </c>
      <c r="C69" s="1" t="s">
        <v>28</v>
      </c>
      <c r="D69" s="98" t="s">
        <v>18</v>
      </c>
      <c r="E69">
        <v>22.179103851318359</v>
      </c>
      <c r="G69" t="s">
        <v>36</v>
      </c>
      <c r="H69">
        <v>27.132850646972656</v>
      </c>
      <c r="J69">
        <f t="shared" si="0"/>
        <v>4.9537467956542969</v>
      </c>
      <c r="L69">
        <f t="shared" si="1"/>
        <v>3.2268117045663111E-2</v>
      </c>
    </row>
    <row r="70" spans="2:19">
      <c r="B70" s="1">
        <v>4</v>
      </c>
      <c r="C70" s="1" t="s">
        <v>28</v>
      </c>
      <c r="D70" s="98" t="s">
        <v>18</v>
      </c>
      <c r="E70">
        <v>21.81895637512207</v>
      </c>
      <c r="G70" t="s">
        <v>36</v>
      </c>
      <c r="H70">
        <v>28.942481994628906</v>
      </c>
      <c r="J70">
        <f t="shared" si="0"/>
        <v>7.1235256195068359</v>
      </c>
      <c r="L70">
        <f t="shared" si="1"/>
        <v>7.1714192667359919E-3</v>
      </c>
    </row>
    <row r="71" spans="2:19">
      <c r="B71" s="1"/>
      <c r="C71" s="1"/>
      <c r="D71" s="1"/>
    </row>
    <row r="72" spans="2:19">
      <c r="B72" s="1"/>
      <c r="C72" s="1"/>
      <c r="D72" s="1"/>
    </row>
    <row r="73" spans="2:19">
      <c r="B73" s="1">
        <v>1</v>
      </c>
      <c r="C73" s="1" t="s">
        <v>29</v>
      </c>
      <c r="D73" s="98" t="s">
        <v>18</v>
      </c>
      <c r="E73">
        <v>22.92498779296875</v>
      </c>
      <c r="G73" t="s">
        <v>36</v>
      </c>
      <c r="H73">
        <v>27.742855072021484</v>
      </c>
      <c r="J73">
        <f t="shared" ref="J73:J101" si="3">H73-E73</f>
        <v>4.8178672790527344</v>
      </c>
      <c r="L73">
        <f t="shared" ref="L73:L101" si="4">2^(-J73)</f>
        <v>3.5454995441861495E-2</v>
      </c>
      <c r="M73">
        <f t="shared" ref="M73:M91" si="5">AVERAGE(L73:L76)</f>
        <v>2.9476760151883913E-2</v>
      </c>
      <c r="R73">
        <f>STDEVA(L73:L76)</f>
        <v>5.235771982110172E-3</v>
      </c>
      <c r="S73">
        <f>R73/SQRT(4)</f>
        <v>2.617885991055086E-3</v>
      </c>
    </row>
    <row r="74" spans="2:19">
      <c r="B74" s="1">
        <v>2</v>
      </c>
      <c r="C74" s="1" t="s">
        <v>29</v>
      </c>
      <c r="D74" s="98" t="s">
        <v>18</v>
      </c>
      <c r="E74">
        <v>23.115434646606445</v>
      </c>
      <c r="G74" t="s">
        <v>36</v>
      </c>
      <c r="H74">
        <v>28.074375152587891</v>
      </c>
      <c r="J74">
        <f t="shared" si="3"/>
        <v>4.9589405059814453</v>
      </c>
      <c r="L74">
        <f t="shared" si="4"/>
        <v>3.2152160488706165E-2</v>
      </c>
    </row>
    <row r="75" spans="2:19">
      <c r="B75" s="1">
        <v>3</v>
      </c>
      <c r="C75" s="1" t="s">
        <v>29</v>
      </c>
      <c r="D75" s="98" t="s">
        <v>18</v>
      </c>
      <c r="E75">
        <v>23.528841018676758</v>
      </c>
      <c r="G75" t="s">
        <v>36</v>
      </c>
      <c r="H75">
        <v>28.787284851074219</v>
      </c>
      <c r="J75">
        <f t="shared" si="3"/>
        <v>5.2584438323974609</v>
      </c>
      <c r="L75">
        <f t="shared" si="4"/>
        <v>2.6124661739295875E-2</v>
      </c>
    </row>
    <row r="76" spans="2:19">
      <c r="B76" s="1">
        <v>4</v>
      </c>
      <c r="C76" s="1" t="s">
        <v>29</v>
      </c>
      <c r="D76" s="98" t="s">
        <v>18</v>
      </c>
      <c r="E76">
        <v>24.138660430908203</v>
      </c>
      <c r="G76" t="s">
        <v>36</v>
      </c>
      <c r="H76">
        <v>29.508987426757813</v>
      </c>
      <c r="J76">
        <f t="shared" si="3"/>
        <v>5.3703269958496094</v>
      </c>
      <c r="L76">
        <f t="shared" si="4"/>
        <v>2.4175222937672131E-2</v>
      </c>
    </row>
    <row r="77" spans="2:19">
      <c r="B77" s="1"/>
      <c r="C77" s="1"/>
      <c r="D77" s="1"/>
    </row>
    <row r="78" spans="2:19">
      <c r="B78" s="1"/>
      <c r="C78" s="1"/>
      <c r="D78" s="1"/>
    </row>
    <row r="79" spans="2:19">
      <c r="B79" s="1">
        <v>1</v>
      </c>
      <c r="C79" s="1" t="s">
        <v>30</v>
      </c>
      <c r="D79" s="98" t="s">
        <v>18</v>
      </c>
      <c r="E79">
        <v>24.430965423583984</v>
      </c>
      <c r="G79" t="s">
        <v>36</v>
      </c>
      <c r="H79">
        <v>29.683841705322266</v>
      </c>
      <c r="J79">
        <f t="shared" si="3"/>
        <v>5.2528762817382813</v>
      </c>
      <c r="L79">
        <f t="shared" si="4"/>
        <v>2.6225675044978573E-2</v>
      </c>
      <c r="M79">
        <f t="shared" si="5"/>
        <v>4.119178728293979E-2</v>
      </c>
      <c r="R79">
        <f>STDEVA(L79:L82)</f>
        <v>1.8469360290319922E-2</v>
      </c>
      <c r="S79">
        <f>R79/SQRT(4)</f>
        <v>9.2346801451599608E-3</v>
      </c>
    </row>
    <row r="80" spans="2:19">
      <c r="B80" s="1">
        <v>2</v>
      </c>
      <c r="C80" s="1" t="s">
        <v>30</v>
      </c>
      <c r="D80" s="98" t="s">
        <v>18</v>
      </c>
      <c r="E80">
        <v>23.652011871337891</v>
      </c>
      <c r="G80" t="s">
        <v>36</v>
      </c>
      <c r="H80">
        <v>28.785903930664063</v>
      </c>
      <c r="J80">
        <f t="shared" si="3"/>
        <v>5.1338920593261719</v>
      </c>
      <c r="L80">
        <f t="shared" si="4"/>
        <v>2.8480295801005813E-2</v>
      </c>
    </row>
    <row r="81" spans="2:19">
      <c r="B81" s="1">
        <v>3</v>
      </c>
      <c r="C81" s="1" t="s">
        <v>30</v>
      </c>
      <c r="D81" s="98" t="s">
        <v>18</v>
      </c>
      <c r="E81">
        <v>24.594663619995117</v>
      </c>
      <c r="G81" t="s">
        <v>36</v>
      </c>
      <c r="H81">
        <v>28.509143829345703</v>
      </c>
      <c r="J81">
        <f t="shared" si="3"/>
        <v>3.9144802093505859</v>
      </c>
      <c r="L81">
        <f t="shared" si="4"/>
        <v>6.6316872932262627E-2</v>
      </c>
    </row>
    <row r="82" spans="2:19">
      <c r="B82" s="1">
        <v>4</v>
      </c>
      <c r="C82" s="1" t="s">
        <v>30</v>
      </c>
      <c r="D82" s="98" t="s">
        <v>18</v>
      </c>
      <c r="E82">
        <v>25.758684158325195</v>
      </c>
      <c r="G82" t="s">
        <v>36</v>
      </c>
      <c r="H82">
        <v>30.273445129394531</v>
      </c>
      <c r="J82">
        <f t="shared" si="3"/>
        <v>4.5147609710693359</v>
      </c>
      <c r="L82">
        <f t="shared" si="4"/>
        <v>4.3744305353512147E-2</v>
      </c>
    </row>
    <row r="83" spans="2:19">
      <c r="B83" s="1"/>
      <c r="C83" s="1"/>
      <c r="D83" s="1"/>
    </row>
    <row r="84" spans="2:19">
      <c r="B84" s="1"/>
      <c r="C84" s="1"/>
      <c r="D84" s="1"/>
    </row>
    <row r="85" spans="2:19">
      <c r="B85" s="1">
        <v>1</v>
      </c>
      <c r="C85" s="1" t="s">
        <v>31</v>
      </c>
      <c r="D85" s="98" t="s">
        <v>18</v>
      </c>
      <c r="E85">
        <v>21.967319488525391</v>
      </c>
      <c r="G85" t="s">
        <v>36</v>
      </c>
      <c r="H85">
        <v>32.435962677001953</v>
      </c>
      <c r="J85">
        <f t="shared" si="3"/>
        <v>10.468643188476563</v>
      </c>
      <c r="L85">
        <f t="shared" si="4"/>
        <v>7.0570693676649983E-4</v>
      </c>
      <c r="M85">
        <f t="shared" si="5"/>
        <v>6.7950851458529332E-4</v>
      </c>
      <c r="R85">
        <f>STDEVA(L85:L88)</f>
        <v>7.9067577479724949E-5</v>
      </c>
      <c r="S85">
        <f>R85/SQRT(4)</f>
        <v>3.9533788739862474E-5</v>
      </c>
    </row>
    <row r="86" spans="2:19">
      <c r="B86" s="1">
        <v>2</v>
      </c>
      <c r="C86" s="1" t="s">
        <v>31</v>
      </c>
      <c r="D86" s="98" t="s">
        <v>18</v>
      </c>
      <c r="E86">
        <v>22.715259552001953</v>
      </c>
      <c r="G86" t="s">
        <v>36</v>
      </c>
      <c r="H86">
        <v>33.087608337402344</v>
      </c>
      <c r="J86">
        <f t="shared" si="3"/>
        <v>10.372348785400391</v>
      </c>
      <c r="L86">
        <f t="shared" si="4"/>
        <v>7.5441773634891756E-4</v>
      </c>
    </row>
    <row r="87" spans="2:19">
      <c r="B87" s="1">
        <v>3</v>
      </c>
      <c r="C87" s="1" t="s">
        <v>31</v>
      </c>
      <c r="D87" s="98" t="s">
        <v>18</v>
      </c>
      <c r="E87">
        <v>21.894901275634766</v>
      </c>
      <c r="G87" t="s">
        <v>36</v>
      </c>
      <c r="H87">
        <v>32.675834655761719</v>
      </c>
      <c r="J87">
        <f t="shared" si="3"/>
        <v>10.780933380126953</v>
      </c>
      <c r="L87">
        <f t="shared" si="4"/>
        <v>5.6834974742074444E-4</v>
      </c>
    </row>
    <row r="88" spans="2:19">
      <c r="B88" s="1">
        <v>4</v>
      </c>
      <c r="C88" s="1" t="s">
        <v>31</v>
      </c>
      <c r="D88" s="98" t="s">
        <v>18</v>
      </c>
      <c r="E88">
        <v>22.677608489990234</v>
      </c>
      <c r="G88" t="s">
        <v>36</v>
      </c>
      <c r="H88">
        <v>33.179645538330078</v>
      </c>
      <c r="J88">
        <f t="shared" si="3"/>
        <v>10.502037048339844</v>
      </c>
      <c r="L88">
        <f t="shared" si="4"/>
        <v>6.8955963780501189E-4</v>
      </c>
    </row>
    <row r="89" spans="2:19">
      <c r="B89" s="1"/>
      <c r="C89" s="1"/>
      <c r="D89" s="1"/>
    </row>
    <row r="90" spans="2:19">
      <c r="B90" s="1"/>
      <c r="C90" s="1"/>
      <c r="D90" s="1"/>
    </row>
    <row r="91" spans="2:19">
      <c r="B91" s="1">
        <v>1</v>
      </c>
      <c r="C91" s="1" t="s">
        <v>32</v>
      </c>
      <c r="D91" s="98" t="s">
        <v>18</v>
      </c>
      <c r="E91">
        <v>24.792686462402344</v>
      </c>
      <c r="G91" t="s">
        <v>36</v>
      </c>
      <c r="H91">
        <v>31.662723541259766</v>
      </c>
      <c r="J91">
        <f t="shared" si="3"/>
        <v>6.8700370788574219</v>
      </c>
      <c r="L91">
        <f t="shared" si="4"/>
        <v>8.5489498208149231E-3</v>
      </c>
      <c r="M91">
        <f t="shared" si="5"/>
        <v>2.7821049986742164E-2</v>
      </c>
      <c r="R91">
        <f>STDEVA(L91:L94)</f>
        <v>2.3674703042568065E-2</v>
      </c>
      <c r="S91">
        <f>R91/SQRT(4)</f>
        <v>1.1837351521284033E-2</v>
      </c>
    </row>
    <row r="92" spans="2:19">
      <c r="B92" s="1">
        <v>2</v>
      </c>
      <c r="C92" s="1" t="s">
        <v>32</v>
      </c>
      <c r="D92" s="98" t="s">
        <v>18</v>
      </c>
      <c r="E92">
        <v>22.498241424560547</v>
      </c>
      <c r="G92" t="s">
        <v>36</v>
      </c>
      <c r="H92">
        <v>28.710292816162109</v>
      </c>
      <c r="J92">
        <f t="shared" si="3"/>
        <v>6.2120513916015625</v>
      </c>
      <c r="L92">
        <f t="shared" si="4"/>
        <v>1.3489200082640429E-2</v>
      </c>
    </row>
    <row r="93" spans="2:19">
      <c r="B93" s="1">
        <v>3</v>
      </c>
      <c r="C93" s="1" t="s">
        <v>32</v>
      </c>
      <c r="D93" s="98" t="s">
        <v>18</v>
      </c>
      <c r="E93">
        <v>26.895618438720703</v>
      </c>
      <c r="G93" t="s">
        <v>36</v>
      </c>
      <c r="H93">
        <v>32.044258117675781</v>
      </c>
      <c r="J93">
        <f t="shared" si="3"/>
        <v>5.1486396789550781</v>
      </c>
      <c r="L93">
        <f t="shared" si="4"/>
        <v>2.8190645464498204E-2</v>
      </c>
    </row>
    <row r="94" spans="2:19">
      <c r="B94" s="1">
        <v>4</v>
      </c>
      <c r="C94" s="1" t="s">
        <v>32</v>
      </c>
      <c r="D94" s="98" t="s">
        <v>18</v>
      </c>
      <c r="E94">
        <v>22.879055023193359</v>
      </c>
      <c r="G94" t="s">
        <v>36</v>
      </c>
      <c r="H94">
        <v>26.912792205810547</v>
      </c>
      <c r="J94">
        <f t="shared" si="3"/>
        <v>4.0337371826171875</v>
      </c>
      <c r="L94">
        <f t="shared" si="4"/>
        <v>6.10554045790151E-2</v>
      </c>
    </row>
    <row r="95" spans="2:19">
      <c r="B95" s="1"/>
      <c r="C95" s="1"/>
      <c r="D95" s="98"/>
    </row>
    <row r="96" spans="2:19">
      <c r="B96" s="1"/>
      <c r="C96" s="1"/>
      <c r="D96" s="1"/>
    </row>
    <row r="97" spans="2:19">
      <c r="B97" s="1"/>
      <c r="C97" s="1"/>
      <c r="D97" s="1"/>
    </row>
    <row r="98" spans="2:19">
      <c r="B98" s="1">
        <v>1</v>
      </c>
      <c r="C98" s="1" t="s">
        <v>33</v>
      </c>
      <c r="D98" s="98" t="s">
        <v>18</v>
      </c>
      <c r="E98">
        <v>21.927757263183594</v>
      </c>
      <c r="G98" t="s">
        <v>36</v>
      </c>
      <c r="H98">
        <v>28.779487609863281</v>
      </c>
      <c r="J98">
        <f t="shared" si="3"/>
        <v>6.8517303466796875</v>
      </c>
      <c r="L98">
        <f t="shared" si="4"/>
        <v>8.6581208509763138E-3</v>
      </c>
      <c r="M98">
        <f>AVERAGE(L98:L101)</f>
        <v>1.8785555082862702E-2</v>
      </c>
      <c r="R98">
        <f>STDEVA(L98:L101)</f>
        <v>1.116131569158128E-2</v>
      </c>
      <c r="S98">
        <f>R98/SQRT(4)</f>
        <v>5.5806578457906399E-3</v>
      </c>
    </row>
    <row r="99" spans="2:19">
      <c r="B99" s="1">
        <v>2</v>
      </c>
      <c r="C99" s="1" t="s">
        <v>33</v>
      </c>
      <c r="D99" s="98" t="s">
        <v>18</v>
      </c>
      <c r="E99">
        <v>23.917150497436523</v>
      </c>
      <c r="G99" t="s">
        <v>36</v>
      </c>
      <c r="H99">
        <v>28.824432373046875</v>
      </c>
      <c r="J99">
        <f t="shared" si="3"/>
        <v>4.9072818756103516</v>
      </c>
      <c r="L99">
        <f t="shared" si="4"/>
        <v>3.3324294071509435E-2</v>
      </c>
    </row>
    <row r="100" spans="2:19">
      <c r="B100" s="1">
        <v>3</v>
      </c>
      <c r="C100" s="1" t="s">
        <v>33</v>
      </c>
      <c r="D100" s="98" t="s">
        <v>18</v>
      </c>
      <c r="E100">
        <v>21.656503677368164</v>
      </c>
      <c r="G100" t="s">
        <v>36</v>
      </c>
      <c r="H100">
        <v>27.190486907958984</v>
      </c>
      <c r="J100">
        <f t="shared" si="3"/>
        <v>5.5339832305908203</v>
      </c>
      <c r="L100">
        <f t="shared" si="4"/>
        <v>2.1582664120526996E-2</v>
      </c>
    </row>
    <row r="101" spans="2:19">
      <c r="B101" s="1">
        <v>4</v>
      </c>
      <c r="C101" s="1" t="s">
        <v>33</v>
      </c>
      <c r="D101" s="98" t="s">
        <v>18</v>
      </c>
      <c r="E101">
        <v>22.371358871459961</v>
      </c>
      <c r="G101" t="s">
        <v>36</v>
      </c>
      <c r="H101">
        <v>28.803936004638672</v>
      </c>
      <c r="J101">
        <f t="shared" si="3"/>
        <v>6.4325771331787109</v>
      </c>
      <c r="L101">
        <f t="shared" si="4"/>
        <v>1.1577141288438062E-2</v>
      </c>
    </row>
    <row r="102" spans="2:19">
      <c r="B102" s="1"/>
      <c r="C102" s="1"/>
      <c r="D102" s="1"/>
    </row>
    <row r="103" spans="2:19">
      <c r="B103" s="1"/>
      <c r="C103" s="1"/>
      <c r="D103" s="1"/>
    </row>
    <row r="104" spans="2:19">
      <c r="B104" s="1"/>
      <c r="C104" s="1"/>
      <c r="D104" s="1"/>
    </row>
    <row r="105" spans="2:19">
      <c r="B105" s="1"/>
      <c r="C105" s="1"/>
      <c r="D105" s="1"/>
    </row>
    <row r="106" spans="2:19">
      <c r="B106" s="1"/>
      <c r="C106" s="1"/>
      <c r="D106" s="1"/>
    </row>
    <row r="107" spans="2:19">
      <c r="B107" s="1"/>
      <c r="C107" s="1"/>
      <c r="D107" s="1"/>
    </row>
    <row r="108" spans="2:19">
      <c r="B108" s="1"/>
      <c r="C108" s="1"/>
      <c r="D108" s="1"/>
    </row>
    <row r="109" spans="2:19">
      <c r="B109" s="1"/>
      <c r="C109" s="1"/>
      <c r="D109" s="1"/>
    </row>
    <row r="110" spans="2:19">
      <c r="B110" s="1"/>
      <c r="C110" s="1"/>
      <c r="D110" s="1"/>
    </row>
    <row r="111" spans="2:19">
      <c r="B111" s="1"/>
      <c r="C111" s="1"/>
      <c r="D111" s="1"/>
    </row>
    <row r="112" spans="2:19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  <row r="141" spans="2:4">
      <c r="B141" s="1"/>
      <c r="C141" s="1"/>
      <c r="D141" s="1"/>
    </row>
    <row r="142" spans="2:4">
      <c r="B142" s="1"/>
      <c r="C142" s="1"/>
      <c r="D142" s="1"/>
    </row>
    <row r="143" spans="2:4">
      <c r="B143" s="1"/>
      <c r="C143" s="1"/>
      <c r="D143" s="1"/>
    </row>
    <row r="144" spans="2:4">
      <c r="B144" s="1"/>
      <c r="C144" s="1"/>
      <c r="D144" s="1"/>
    </row>
  </sheetData>
  <phoneticPr fontId="4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A5F5-4868-4261-980D-8AF8A9FC794F}">
  <dimension ref="A1:AV202"/>
  <sheetViews>
    <sheetView zoomScale="85" zoomScaleNormal="85" workbookViewId="0">
      <selection activeCell="N1" sqref="N1:N1048576"/>
    </sheetView>
  </sheetViews>
  <sheetFormatPr defaultRowHeight="14.45"/>
  <cols>
    <col min="1" max="1" width="28" customWidth="1"/>
    <col min="2" max="2" width="26" customWidth="1"/>
    <col min="3" max="3" width="20.5703125" customWidth="1"/>
    <col min="4" max="4" width="16.140625" customWidth="1"/>
    <col min="6" max="6" width="17" customWidth="1"/>
    <col min="11" max="11" width="16.85546875" customWidth="1"/>
    <col min="12" max="12" width="22.28515625" customWidth="1"/>
    <col min="13" max="13" width="13.7109375" customWidth="1"/>
    <col min="18" max="18" width="14.5703125" customWidth="1"/>
  </cols>
  <sheetData>
    <row r="1" spans="1:48" ht="1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21.6" thickBot="1">
      <c r="A2" s="1"/>
      <c r="B2" s="96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18">
      <c r="A3" s="97" t="s">
        <v>7</v>
      </c>
      <c r="B3" s="97" t="s">
        <v>8</v>
      </c>
      <c r="C3" s="97" t="s">
        <v>9</v>
      </c>
      <c r="D3" s="97" t="s">
        <v>10</v>
      </c>
      <c r="E3" s="97"/>
      <c r="F3" s="97" t="s">
        <v>11</v>
      </c>
      <c r="G3" s="97" t="s">
        <v>10</v>
      </c>
      <c r="H3" s="97"/>
      <c r="I3" s="97" t="s">
        <v>12</v>
      </c>
      <c r="J3" s="97"/>
      <c r="K3" s="97" t="s">
        <v>13</v>
      </c>
      <c r="L3" s="97" t="s">
        <v>14</v>
      </c>
      <c r="M3" s="97"/>
      <c r="N3" s="97"/>
      <c r="O3" s="97"/>
      <c r="P3" s="97"/>
      <c r="Q3" s="97" t="s">
        <v>15</v>
      </c>
      <c r="R3" s="97" t="s">
        <v>16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>
      <c r="A4" s="1">
        <v>1</v>
      </c>
      <c r="B4" s="1" t="s">
        <v>17</v>
      </c>
      <c r="C4" s="98" t="s">
        <v>18</v>
      </c>
      <c r="D4" s="1">
        <v>20.143281936645501</v>
      </c>
      <c r="E4" s="1"/>
      <c r="F4" s="1" t="s">
        <v>37</v>
      </c>
      <c r="G4" s="1">
        <v>24.981937408447266</v>
      </c>
      <c r="H4" s="1"/>
      <c r="I4" s="1">
        <f>G4-D4</f>
        <v>4.8386554718017649</v>
      </c>
      <c r="J4" s="1"/>
      <c r="K4" s="1">
        <f>2^(-I4)</f>
        <v>3.4947777681309737E-2</v>
      </c>
      <c r="L4" s="1">
        <f>AVERAGE(K4:K7)</f>
        <v>1.3775171129601698E-2</v>
      </c>
      <c r="M4" s="1"/>
      <c r="N4" s="99"/>
      <c r="O4" s="1"/>
      <c r="P4" s="1"/>
      <c r="Q4" s="1">
        <f>STDEVA(K4:K7)</f>
        <v>1.5004819670713022E-2</v>
      </c>
      <c r="R4" s="1">
        <f>Q4/SQRT(4)</f>
        <v>7.5024098353565112E-3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>
      <c r="A5" s="1">
        <v>2</v>
      </c>
      <c r="B5" s="1" t="s">
        <v>17</v>
      </c>
      <c r="C5" s="98" t="s">
        <v>18</v>
      </c>
      <c r="D5" s="1">
        <v>18.359188079833984</v>
      </c>
      <c r="E5" s="1"/>
      <c r="F5" s="1" t="s">
        <v>37</v>
      </c>
      <c r="G5" s="1">
        <v>30.243877410888672</v>
      </c>
      <c r="H5" s="1"/>
      <c r="I5" s="1">
        <f>G5-D5</f>
        <v>11.884689331054688</v>
      </c>
      <c r="J5" s="1"/>
      <c r="K5" s="1">
        <f t="shared" ref="K5:K7" si="0">2^(-I5)</f>
        <v>2.6445514592995586E-4</v>
      </c>
      <c r="L5" s="1"/>
      <c r="M5" s="1"/>
      <c r="N5" s="9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>
      <c r="A6" s="1">
        <v>3</v>
      </c>
      <c r="B6" s="1" t="s">
        <v>17</v>
      </c>
      <c r="C6" s="98" t="s">
        <v>18</v>
      </c>
      <c r="D6" s="1">
        <v>18.227993011474609</v>
      </c>
      <c r="E6" s="1"/>
      <c r="F6" s="1" t="s">
        <v>37</v>
      </c>
      <c r="G6" s="1">
        <v>24.526256561279297</v>
      </c>
      <c r="H6" s="1"/>
      <c r="I6" s="1">
        <f>G6-D6</f>
        <v>6.2982635498046875</v>
      </c>
      <c r="J6" s="1"/>
      <c r="K6" s="1">
        <f t="shared" si="0"/>
        <v>1.2706728508812515E-2</v>
      </c>
      <c r="L6" s="1"/>
      <c r="M6" s="1"/>
      <c r="N6" s="9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>
      <c r="A7" s="1">
        <v>4</v>
      </c>
      <c r="B7" s="1" t="s">
        <v>17</v>
      </c>
      <c r="C7" s="98" t="s">
        <v>18</v>
      </c>
      <c r="D7" s="1">
        <v>16.900539398193359</v>
      </c>
      <c r="E7" s="1"/>
      <c r="F7" s="1" t="s">
        <v>37</v>
      </c>
      <c r="G7" s="1">
        <v>24.021993637084961</v>
      </c>
      <c r="H7" s="1"/>
      <c r="I7" s="1">
        <f>G7-D7</f>
        <v>7.1214542388916016</v>
      </c>
      <c r="J7" s="1"/>
      <c r="K7" s="1">
        <f t="shared" si="0"/>
        <v>7.1817231823545916E-3</v>
      </c>
      <c r="L7" s="1"/>
      <c r="M7" s="1"/>
      <c r="N7" s="9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9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9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9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>
      <c r="A11" s="1">
        <v>1</v>
      </c>
      <c r="B11" s="1" t="s">
        <v>19</v>
      </c>
      <c r="C11" s="98" t="s">
        <v>18</v>
      </c>
      <c r="D11" s="1">
        <v>18.756221771240234</v>
      </c>
      <c r="E11" s="1"/>
      <c r="F11" s="1" t="s">
        <v>37</v>
      </c>
      <c r="G11" s="1">
        <v>21.950904846191406</v>
      </c>
      <c r="H11" s="1"/>
      <c r="I11" s="1">
        <f>G11-D11</f>
        <v>3.1946830749511719</v>
      </c>
      <c r="J11" s="1"/>
      <c r="K11" s="1">
        <f>2^(-I11)</f>
        <v>0.10922060246717089</v>
      </c>
      <c r="L11" s="1">
        <f>AVERAGE(K11:K14)</f>
        <v>7.5411627676843285E-2</v>
      </c>
      <c r="M11" s="1"/>
      <c r="N11" s="99"/>
      <c r="O11" s="1"/>
      <c r="P11" s="1"/>
      <c r="Q11" s="1">
        <f>STDEVA(K11:K14)</f>
        <v>2.5056597245289278E-2</v>
      </c>
      <c r="R11" s="1">
        <f>Q11/SQRT(4)</f>
        <v>1.2528298622644639E-2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>
      <c r="A12" s="1">
        <v>2</v>
      </c>
      <c r="B12" s="1" t="s">
        <v>19</v>
      </c>
      <c r="C12" s="98" t="s">
        <v>18</v>
      </c>
      <c r="D12" s="1">
        <v>17.687248229980469</v>
      </c>
      <c r="E12" s="1"/>
      <c r="F12" s="1" t="s">
        <v>37</v>
      </c>
      <c r="G12" s="1">
        <v>21.722339630126953</v>
      </c>
      <c r="H12" s="1"/>
      <c r="I12" s="1">
        <f>G12-D12</f>
        <v>4.0350914001464844</v>
      </c>
      <c r="J12" s="1"/>
      <c r="K12" s="1">
        <f t="shared" ref="K12:K14" si="1">2^(-I12)</f>
        <v>6.099812046618884E-2</v>
      </c>
      <c r="L12" s="1"/>
      <c r="M12" s="1"/>
      <c r="N12" s="9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>
      <c r="A13" s="1">
        <v>3</v>
      </c>
      <c r="B13" s="1" t="s">
        <v>19</v>
      </c>
      <c r="C13" s="98" t="s">
        <v>18</v>
      </c>
      <c r="D13" s="1">
        <v>18.46928596496582</v>
      </c>
      <c r="E13" s="1"/>
      <c r="F13" s="1" t="s">
        <v>37</v>
      </c>
      <c r="G13" s="1">
        <v>22.718425750732422</v>
      </c>
      <c r="H13" s="1"/>
      <c r="I13" s="1">
        <f>G13-D13</f>
        <v>4.2491397857666016</v>
      </c>
      <c r="J13" s="1"/>
      <c r="K13" s="1">
        <f t="shared" si="1"/>
        <v>5.2587372094539349E-2</v>
      </c>
      <c r="L13" s="1"/>
      <c r="M13" s="1"/>
      <c r="N13" s="9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>
      <c r="A14" s="1">
        <v>4</v>
      </c>
      <c r="B14" s="1" t="s">
        <v>19</v>
      </c>
      <c r="C14" s="98" t="s">
        <v>18</v>
      </c>
      <c r="D14" s="1">
        <v>17.378242492675781</v>
      </c>
      <c r="E14" s="1"/>
      <c r="F14" s="1" t="s">
        <v>37</v>
      </c>
      <c r="G14" s="1">
        <v>21.043163299560547</v>
      </c>
      <c r="H14" s="1"/>
      <c r="I14" s="1">
        <f>G14-D14</f>
        <v>3.6649208068847656</v>
      </c>
      <c r="J14" s="1"/>
      <c r="K14" s="1">
        <f t="shared" si="1"/>
        <v>7.8840415679474085E-2</v>
      </c>
      <c r="L14" s="1"/>
      <c r="M14" s="1"/>
      <c r="N14" s="9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9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9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>
      <c r="A17" s="1">
        <v>1</v>
      </c>
      <c r="B17" s="1" t="s">
        <v>20</v>
      </c>
      <c r="C17" s="98" t="s">
        <v>18</v>
      </c>
      <c r="D17" s="1">
        <v>19.946256637573242</v>
      </c>
      <c r="E17" s="1"/>
      <c r="F17" s="1" t="s">
        <v>37</v>
      </c>
      <c r="G17" s="1">
        <v>25.920120239257813</v>
      </c>
      <c r="H17" s="1"/>
      <c r="I17" s="1">
        <f>G17-D17</f>
        <v>5.9738636016845703</v>
      </c>
      <c r="J17" s="1"/>
      <c r="K17" s="1">
        <f>2^(-I17)</f>
        <v>1.5910647933228026E-2</v>
      </c>
      <c r="L17" s="1">
        <f>AVERAGE(K17:K20)</f>
        <v>1.9963384697603899E-2</v>
      </c>
      <c r="M17" s="1"/>
      <c r="N17" s="99"/>
      <c r="O17" s="1"/>
      <c r="P17" s="1"/>
      <c r="Q17" s="1">
        <f>STDEVA(K17:K20)</f>
        <v>2.7874331853828703E-3</v>
      </c>
      <c r="R17" s="1">
        <f>Q17/SQRT(4)</f>
        <v>1.3937165926914351E-3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>
      <c r="A18" s="1">
        <v>2</v>
      </c>
      <c r="B18" s="1" t="s">
        <v>20</v>
      </c>
      <c r="C18" s="98" t="s">
        <v>18</v>
      </c>
      <c r="D18" s="1">
        <v>19.637285232543945</v>
      </c>
      <c r="E18" s="1"/>
      <c r="F18" s="1" t="s">
        <v>37</v>
      </c>
      <c r="G18" s="1">
        <v>25.139930725097656</v>
      </c>
      <c r="H18" s="1"/>
      <c r="I18" s="1">
        <f>G18-D18</f>
        <v>5.5026454925537109</v>
      </c>
      <c r="J18" s="1"/>
      <c r="K18" s="1">
        <f t="shared" ref="K18:K20" si="2">2^(-I18)</f>
        <v>2.205660426495519E-2</v>
      </c>
      <c r="L18" s="1"/>
      <c r="M18" s="1"/>
      <c r="N18" s="9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>
      <c r="A19" s="1">
        <v>3</v>
      </c>
      <c r="B19" s="1" t="s">
        <v>20</v>
      </c>
      <c r="C19" s="98" t="s">
        <v>18</v>
      </c>
      <c r="D19" s="1">
        <v>20.199956893920898</v>
      </c>
      <c r="E19" s="1"/>
      <c r="F19" s="1" t="s">
        <v>37</v>
      </c>
      <c r="G19" s="1">
        <v>25.740606307983398</v>
      </c>
      <c r="H19" s="1"/>
      <c r="I19" s="1">
        <f>G19-D19</f>
        <v>5.5406494140625</v>
      </c>
      <c r="J19" s="1"/>
      <c r="K19" s="1">
        <f t="shared" si="2"/>
        <v>2.1483168308378306E-2</v>
      </c>
      <c r="L19" s="1"/>
      <c r="M19" s="1"/>
      <c r="N19" s="9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>
      <c r="A20" s="1">
        <v>4</v>
      </c>
      <c r="B20" s="1" t="s">
        <v>20</v>
      </c>
      <c r="C20" s="98" t="s">
        <v>18</v>
      </c>
      <c r="D20" s="1">
        <v>19.329313278198242</v>
      </c>
      <c r="E20" s="1"/>
      <c r="F20" s="1" t="s">
        <v>37</v>
      </c>
      <c r="G20" s="1">
        <v>24.944379806518555</v>
      </c>
      <c r="H20" s="1"/>
      <c r="I20" s="1">
        <f>G20-D20</f>
        <v>5.6150665283203125</v>
      </c>
      <c r="J20" s="1"/>
      <c r="K20" s="1">
        <f t="shared" si="2"/>
        <v>2.0403118283854074E-2</v>
      </c>
      <c r="L20" s="1"/>
      <c r="M20" s="1"/>
      <c r="N20" s="9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9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9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9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>
      <c r="A24" s="1">
        <v>1</v>
      </c>
      <c r="B24" s="1" t="s">
        <v>21</v>
      </c>
      <c r="C24" s="98" t="s">
        <v>18</v>
      </c>
      <c r="D24" s="1">
        <v>18.806591033935547</v>
      </c>
      <c r="E24" s="1"/>
      <c r="F24" s="1" t="s">
        <v>37</v>
      </c>
      <c r="G24" s="1">
        <v>23.383323669433594</v>
      </c>
      <c r="H24" s="1"/>
      <c r="I24" s="1">
        <f>G24-D24</f>
        <v>4.5767326354980469</v>
      </c>
      <c r="J24" s="1"/>
      <c r="K24" s="1">
        <f>2^(-I24)</f>
        <v>4.1905033731825032E-2</v>
      </c>
      <c r="L24" s="1">
        <f>AVERAGE(K24:K27)</f>
        <v>0.12845905647954386</v>
      </c>
      <c r="M24" s="1"/>
      <c r="N24" s="99"/>
      <c r="O24" s="1"/>
      <c r="P24" s="1"/>
      <c r="Q24" s="1">
        <f>STDEVA(K24:K27)</f>
        <v>0.10163222930078677</v>
      </c>
      <c r="R24" s="1">
        <f>Q24/SQRT(4)</f>
        <v>5.0816114650393387E-2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>
      <c r="A25" s="1">
        <v>2</v>
      </c>
      <c r="B25" s="1" t="s">
        <v>21</v>
      </c>
      <c r="C25" s="98" t="s">
        <v>18</v>
      </c>
      <c r="D25" s="1">
        <v>20.654462814331055</v>
      </c>
      <c r="E25" s="1"/>
      <c r="F25" s="1" t="s">
        <v>37</v>
      </c>
      <c r="G25" s="1">
        <v>23.010005950927734</v>
      </c>
      <c r="H25" s="1"/>
      <c r="I25" s="1">
        <f>G25-D25</f>
        <v>2.3555431365966797</v>
      </c>
      <c r="J25" s="1"/>
      <c r="K25" s="1">
        <f t="shared" ref="K25:K27" si="3">2^(-I25)</f>
        <v>0.19539383631249374</v>
      </c>
      <c r="L25" s="1"/>
      <c r="M25" s="1"/>
      <c r="N25" s="9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>
      <c r="A26" s="1">
        <v>3</v>
      </c>
      <c r="B26" s="1" t="s">
        <v>21</v>
      </c>
      <c r="C26" s="98" t="s">
        <v>18</v>
      </c>
      <c r="D26" s="1">
        <v>17.149078369140625</v>
      </c>
      <c r="E26" s="1"/>
      <c r="F26" s="1" t="s">
        <v>37</v>
      </c>
      <c r="G26" s="1">
        <v>21.74833869934082</v>
      </c>
      <c r="H26" s="1"/>
      <c r="I26" s="1">
        <f>G26-D26</f>
        <v>4.5992603302001953</v>
      </c>
      <c r="J26" s="1"/>
      <c r="K26" s="1">
        <f t="shared" si="3"/>
        <v>4.125576862437693E-2</v>
      </c>
      <c r="L26" s="1"/>
      <c r="M26" s="1"/>
      <c r="N26" s="9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>
      <c r="A27" s="1">
        <v>4</v>
      </c>
      <c r="B27" s="1" t="s">
        <v>21</v>
      </c>
      <c r="C27" s="98" t="s">
        <v>18</v>
      </c>
      <c r="D27" s="1">
        <v>21.388389587402344</v>
      </c>
      <c r="E27" s="1"/>
      <c r="F27" s="1" t="s">
        <v>37</v>
      </c>
      <c r="G27" s="1">
        <v>23.475929260253906</v>
      </c>
      <c r="H27" s="1"/>
      <c r="I27" s="1">
        <f>G27-D27</f>
        <v>2.0875396728515625</v>
      </c>
      <c r="J27" s="1"/>
      <c r="K27" s="1">
        <f t="shared" si="3"/>
        <v>0.23528158724947976</v>
      </c>
      <c r="L27" s="1"/>
      <c r="M27" s="1"/>
      <c r="N27" s="9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9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9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>
      <c r="A30" s="1">
        <v>1</v>
      </c>
      <c r="B30" s="1" t="s">
        <v>22</v>
      </c>
      <c r="C30" s="98" t="s">
        <v>18</v>
      </c>
      <c r="D30" s="1">
        <v>20.428304672241211</v>
      </c>
      <c r="E30" s="1"/>
      <c r="F30" s="1" t="s">
        <v>37</v>
      </c>
      <c r="G30" s="1">
        <v>31.885955810546875</v>
      </c>
      <c r="H30" s="1"/>
      <c r="I30" s="1">
        <f>G30-D30</f>
        <v>11.457651138305664</v>
      </c>
      <c r="J30" s="1"/>
      <c r="K30" s="1">
        <f>2^(-I30)</f>
        <v>3.5555216504964358E-4</v>
      </c>
      <c r="L30" s="1">
        <f>AVERAGE(K30:K33)</f>
        <v>1.1447168973331722E-3</v>
      </c>
      <c r="M30" s="1"/>
      <c r="N30" s="99"/>
      <c r="O30" s="1"/>
      <c r="P30" s="1"/>
      <c r="Q30" s="1">
        <f>STDEVA(K30:K33)</f>
        <v>9.0379915650197951E-4</v>
      </c>
      <c r="R30" s="1">
        <f>Q30/SQRT(4)</f>
        <v>4.5189957825098975E-4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>
      <c r="A31" s="1">
        <v>2</v>
      </c>
      <c r="B31" s="1" t="s">
        <v>22</v>
      </c>
      <c r="C31" s="98" t="s">
        <v>18</v>
      </c>
      <c r="D31" s="1">
        <v>21.355932235717773</v>
      </c>
      <c r="E31" s="1"/>
      <c r="F31" s="1" t="s">
        <v>37</v>
      </c>
      <c r="G31" s="1">
        <v>31.536479949951172</v>
      </c>
      <c r="H31" s="1"/>
      <c r="I31" s="1">
        <f>G31-D31</f>
        <v>10.180547714233398</v>
      </c>
      <c r="J31" s="1"/>
      <c r="K31" s="1">
        <f t="shared" ref="K31:K33" si="4">2^(-I31)</f>
        <v>8.6168744602006288E-4</v>
      </c>
      <c r="L31" s="1"/>
      <c r="M31" s="1"/>
      <c r="N31" s="9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>
      <c r="A32" s="1">
        <v>3</v>
      </c>
      <c r="B32" s="1" t="s">
        <v>22</v>
      </c>
      <c r="C32" s="98" t="s">
        <v>18</v>
      </c>
      <c r="D32" s="1">
        <v>21.055217742919922</v>
      </c>
      <c r="E32" s="1"/>
      <c r="F32" s="1" t="s">
        <v>37</v>
      </c>
      <c r="G32" s="1">
        <v>31.14912223815918</v>
      </c>
      <c r="H32" s="1"/>
      <c r="I32" s="1">
        <f>G32-D32</f>
        <v>10.093904495239258</v>
      </c>
      <c r="J32" s="1"/>
      <c r="K32" s="1">
        <f t="shared" si="4"/>
        <v>9.1502292192676511E-4</v>
      </c>
      <c r="L32" s="1"/>
      <c r="M32" s="1"/>
      <c r="N32" s="99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>
      <c r="A33" s="1">
        <v>4</v>
      </c>
      <c r="B33" s="1" t="s">
        <v>22</v>
      </c>
      <c r="C33" s="98" t="s">
        <v>18</v>
      </c>
      <c r="D33" s="1">
        <v>21.066230773925781</v>
      </c>
      <c r="E33" s="1"/>
      <c r="F33" s="1" t="s">
        <v>37</v>
      </c>
      <c r="G33" s="1">
        <v>29.741233825683594</v>
      </c>
      <c r="H33" s="1"/>
      <c r="I33" s="1">
        <f>G33-D33</f>
        <v>8.6750030517578125</v>
      </c>
      <c r="J33" s="1"/>
      <c r="K33" s="1">
        <f t="shared" si="4"/>
        <v>2.4466050563362166E-3</v>
      </c>
      <c r="L33" s="1"/>
      <c r="M33" s="1"/>
      <c r="N33" s="9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9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9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>
      <c r="A36" s="1">
        <v>1</v>
      </c>
      <c r="B36" s="1" t="s">
        <v>23</v>
      </c>
      <c r="C36" s="98" t="s">
        <v>18</v>
      </c>
      <c r="D36" s="1">
        <v>19.902528762817383</v>
      </c>
      <c r="E36" s="1"/>
      <c r="F36" s="1" t="s">
        <v>37</v>
      </c>
      <c r="G36" s="1">
        <v>25.6785888671875</v>
      </c>
      <c r="H36" s="1"/>
      <c r="I36" s="1">
        <f>G36-D36</f>
        <v>5.7760601043701172</v>
      </c>
      <c r="J36" s="1"/>
      <c r="K36" s="1">
        <f>2^(-I36)</f>
        <v>1.8248730261453794E-2</v>
      </c>
      <c r="L36" s="1">
        <f>AVERAGE(K36:K39)</f>
        <v>0.11809115771932019</v>
      </c>
      <c r="M36" s="1"/>
      <c r="N36" s="99"/>
      <c r="O36" s="1"/>
      <c r="P36" s="1"/>
      <c r="Q36" s="1">
        <f>STDEVA(K36:K39)</f>
        <v>7.3686944382623618E-2</v>
      </c>
      <c r="R36" s="1">
        <f>Q36/SQRT(4)</f>
        <v>3.6843472191311809E-2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>
      <c r="A37" s="1">
        <v>2</v>
      </c>
      <c r="B37" s="1" t="s">
        <v>23</v>
      </c>
      <c r="C37" s="98" t="s">
        <v>18</v>
      </c>
      <c r="D37" s="1">
        <v>20.900043487548828</v>
      </c>
      <c r="E37" s="1"/>
      <c r="F37" s="1" t="s">
        <v>37</v>
      </c>
      <c r="G37" s="1">
        <v>23.896812438964844</v>
      </c>
      <c r="H37" s="1"/>
      <c r="I37" s="1">
        <f>G37-D37</f>
        <v>2.9967689514160156</v>
      </c>
      <c r="J37" s="1"/>
      <c r="K37" s="1">
        <f t="shared" ref="K37:K39" si="5">2^(-I37)</f>
        <v>0.12528026274701895</v>
      </c>
      <c r="L37" s="1"/>
      <c r="M37" s="1"/>
      <c r="N37" s="9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>
      <c r="A38" s="1">
        <v>3</v>
      </c>
      <c r="B38" s="1" t="s">
        <v>23</v>
      </c>
      <c r="C38" s="98" t="s">
        <v>18</v>
      </c>
      <c r="D38" s="1">
        <v>20.884977340698242</v>
      </c>
      <c r="E38" s="1"/>
      <c r="F38" s="1" t="s">
        <v>37</v>
      </c>
      <c r="G38" s="1">
        <v>23.795705795288086</v>
      </c>
      <c r="H38" s="1"/>
      <c r="I38" s="1">
        <f>G38-D38</f>
        <v>2.9107284545898438</v>
      </c>
      <c r="J38" s="1"/>
      <c r="K38" s="1">
        <f t="shared" si="5"/>
        <v>0.1329791112089686</v>
      </c>
      <c r="L38" s="1"/>
      <c r="M38" s="1"/>
      <c r="N38" s="9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>
      <c r="A39" s="1">
        <v>4</v>
      </c>
      <c r="B39" s="1" t="s">
        <v>23</v>
      </c>
      <c r="C39" s="98" t="s">
        <v>18</v>
      </c>
      <c r="D39" s="1">
        <v>22.629596710205078</v>
      </c>
      <c r="E39" s="1"/>
      <c r="F39" s="1" t="s">
        <v>37</v>
      </c>
      <c r="G39" s="1">
        <v>24.981727600097656</v>
      </c>
      <c r="H39" s="1"/>
      <c r="I39" s="1">
        <f>G39-D39</f>
        <v>2.3521308898925781</v>
      </c>
      <c r="J39" s="1"/>
      <c r="K39" s="1">
        <f t="shared" si="5"/>
        <v>0.19585652665983941</v>
      </c>
      <c r="L39" s="1"/>
      <c r="M39" s="1"/>
      <c r="N39" s="9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9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9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9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>
      <c r="A43" s="1">
        <v>1</v>
      </c>
      <c r="B43" s="1" t="s">
        <v>24</v>
      </c>
      <c r="C43" s="98" t="s">
        <v>18</v>
      </c>
      <c r="D43" s="1">
        <v>20.576499938964844</v>
      </c>
      <c r="E43" s="1"/>
      <c r="F43" s="1" t="s">
        <v>37</v>
      </c>
      <c r="G43" s="1">
        <v>31.129575729370117</v>
      </c>
      <c r="H43" s="1"/>
      <c r="I43" s="1">
        <f>G43-D43</f>
        <v>10.553075790405273</v>
      </c>
      <c r="J43" s="1"/>
      <c r="K43" s="1">
        <f>2^(-I43)</f>
        <v>6.6559130605776669E-4</v>
      </c>
      <c r="L43" s="1">
        <f>AVERAGE(K43:K46)</f>
        <v>7.8658355469024763E-3</v>
      </c>
      <c r="M43" s="1"/>
      <c r="N43" s="99"/>
      <c r="O43" s="1"/>
      <c r="P43" s="1"/>
      <c r="Q43" s="1">
        <f>STDEVA(K43:K46)</f>
        <v>1.3575364479211661E-2</v>
      </c>
      <c r="R43" s="1">
        <f>Q43/SQRT(4)</f>
        <v>6.7876822396058306E-3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>
      <c r="A44" s="1">
        <v>2</v>
      </c>
      <c r="B44" s="1" t="s">
        <v>24</v>
      </c>
      <c r="C44" s="98" t="s">
        <v>18</v>
      </c>
      <c r="D44" s="1">
        <v>23.511343002319336</v>
      </c>
      <c r="E44" s="1"/>
      <c r="F44" s="1" t="s">
        <v>37</v>
      </c>
      <c r="G44" s="1">
        <v>28.658309936523438</v>
      </c>
      <c r="H44" s="1"/>
      <c r="I44" s="1">
        <f>G44-D44</f>
        <v>5.1469669342041016</v>
      </c>
      <c r="J44" s="1"/>
      <c r="K44" s="1">
        <f t="shared" ref="K44:K46" si="6">2^(-I44)</f>
        <v>2.8223350298870176E-2</v>
      </c>
      <c r="L44" s="1"/>
      <c r="M44" s="1"/>
      <c r="N44" s="9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>
        <v>3</v>
      </c>
      <c r="B45" s="1" t="s">
        <v>24</v>
      </c>
      <c r="C45" s="98" t="s">
        <v>18</v>
      </c>
      <c r="D45" s="1">
        <v>23.595056533813477</v>
      </c>
      <c r="E45" s="1"/>
      <c r="F45" s="1" t="s">
        <v>37</v>
      </c>
      <c r="G45" s="1">
        <v>33.041389465332031</v>
      </c>
      <c r="H45" s="1"/>
      <c r="I45" s="1">
        <f>G45-D45</f>
        <v>9.4463329315185547</v>
      </c>
      <c r="J45" s="1"/>
      <c r="K45" s="1">
        <f t="shared" si="6"/>
        <v>1.4334100285197566E-3</v>
      </c>
      <c r="L45" s="1"/>
      <c r="M45" s="1"/>
      <c r="N45" s="9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>
      <c r="A46" s="1">
        <v>4</v>
      </c>
      <c r="B46" s="1" t="s">
        <v>24</v>
      </c>
      <c r="C46" s="98" t="s">
        <v>18</v>
      </c>
      <c r="D46" s="1">
        <v>23.765975952148438</v>
      </c>
      <c r="E46" s="1"/>
      <c r="F46" s="1" t="s">
        <v>37</v>
      </c>
      <c r="G46" s="1">
        <v>33.541473388671875</v>
      </c>
      <c r="H46" s="1"/>
      <c r="I46" s="1">
        <f>G46-D46</f>
        <v>9.7754974365234375</v>
      </c>
      <c r="J46" s="1"/>
      <c r="K46" s="1">
        <f t="shared" si="6"/>
        <v>1.1409905541622104E-3</v>
      </c>
      <c r="L46" s="1"/>
      <c r="M46" s="1"/>
      <c r="N46" s="9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9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9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>
      <c r="A49" s="1">
        <v>1</v>
      </c>
      <c r="B49" s="1" t="s">
        <v>25</v>
      </c>
      <c r="C49" s="98" t="s">
        <v>18</v>
      </c>
      <c r="D49" s="1">
        <v>20.593772888183594</v>
      </c>
      <c r="E49" s="1"/>
      <c r="F49" s="1" t="s">
        <v>37</v>
      </c>
      <c r="G49" s="1">
        <v>26.042976379394531</v>
      </c>
      <c r="H49" s="1"/>
      <c r="I49" s="1">
        <f>G49-D49</f>
        <v>5.4492034912109375</v>
      </c>
      <c r="J49" s="1"/>
      <c r="K49" s="1">
        <f>2^(-I49)</f>
        <v>2.2888972463207209E-2</v>
      </c>
      <c r="L49" s="1">
        <f>AVERAGE(K49:K52)</f>
        <v>3.0848257786176329E-2</v>
      </c>
      <c r="M49" s="1"/>
      <c r="N49" s="99"/>
      <c r="O49" s="1"/>
      <c r="P49" s="1"/>
      <c r="Q49" s="1">
        <f>STDEVA(K49:K52)</f>
        <v>8.9725849698271531E-3</v>
      </c>
      <c r="R49" s="1">
        <f>Q49/SQRT(4)</f>
        <v>4.4862924849135765E-3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>
      <c r="A50" s="1">
        <v>2</v>
      </c>
      <c r="B50" s="1" t="s">
        <v>25</v>
      </c>
      <c r="C50" s="98" t="s">
        <v>18</v>
      </c>
      <c r="D50" s="1">
        <v>20.266637802124023</v>
      </c>
      <c r="E50" s="1"/>
      <c r="F50" s="1" t="s">
        <v>37</v>
      </c>
      <c r="G50" s="1">
        <v>25.646869659423828</v>
      </c>
      <c r="H50" s="1"/>
      <c r="I50" s="1">
        <f>G50-D50</f>
        <v>5.3802318572998047</v>
      </c>
      <c r="J50" s="1"/>
      <c r="K50" s="1">
        <f t="shared" ref="K50:K52" si="7">2^(-I50)</f>
        <v>2.4009815750435613E-2</v>
      </c>
      <c r="L50" s="1"/>
      <c r="M50" s="1"/>
      <c r="N50" s="9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>
      <c r="A51" s="1">
        <v>3</v>
      </c>
      <c r="B51" s="1" t="s">
        <v>25</v>
      </c>
      <c r="C51" s="98" t="s">
        <v>18</v>
      </c>
      <c r="D51" s="1">
        <v>21.060832977294922</v>
      </c>
      <c r="E51" s="1"/>
      <c r="F51" s="1" t="s">
        <v>37</v>
      </c>
      <c r="G51" s="1">
        <v>25.899955749511719</v>
      </c>
      <c r="H51" s="1"/>
      <c r="I51" s="1">
        <f>G51-D51</f>
        <v>4.8391227722167969</v>
      </c>
      <c r="J51" s="1"/>
      <c r="K51" s="1">
        <f t="shared" si="7"/>
        <v>3.4936459650853395E-2</v>
      </c>
      <c r="L51" s="1"/>
      <c r="M51" s="1"/>
      <c r="N51" s="9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>
      <c r="A52" s="1">
        <v>4</v>
      </c>
      <c r="B52" s="1" t="s">
        <v>25</v>
      </c>
      <c r="C52" s="98" t="s">
        <v>18</v>
      </c>
      <c r="D52" s="1">
        <v>22.017650604248047</v>
      </c>
      <c r="E52" s="1"/>
      <c r="F52" s="1" t="s">
        <v>37</v>
      </c>
      <c r="G52" s="1">
        <v>26.606388092041016</v>
      </c>
      <c r="H52" s="1"/>
      <c r="I52" s="1">
        <f>G52-D52</f>
        <v>4.5887374877929688</v>
      </c>
      <c r="J52" s="1"/>
      <c r="K52" s="1">
        <f t="shared" si="7"/>
        <v>4.15577832802091E-2</v>
      </c>
      <c r="L52" s="1"/>
      <c r="M52" s="1"/>
      <c r="N52" s="9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9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9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>
      <c r="A55" s="1">
        <v>1</v>
      </c>
      <c r="B55" s="1" t="s">
        <v>26</v>
      </c>
      <c r="C55" s="98" t="s">
        <v>18</v>
      </c>
      <c r="D55" s="1">
        <v>22.192726135253906</v>
      </c>
      <c r="E55" s="1"/>
      <c r="F55" s="1" t="s">
        <v>37</v>
      </c>
      <c r="G55" s="1">
        <v>31.392694473266602</v>
      </c>
      <c r="H55" s="1"/>
      <c r="I55" s="1">
        <f>G55-D55</f>
        <v>9.1999683380126953</v>
      </c>
      <c r="J55" s="1"/>
      <c r="K55" s="1">
        <f>2^(-I55)</f>
        <v>1.7003313847102671E-3</v>
      </c>
      <c r="L55" s="1">
        <f>AVERAGE(K55:K58)</f>
        <v>8.4052357140098847E-3</v>
      </c>
      <c r="M55" s="1"/>
      <c r="N55" s="99"/>
      <c r="O55" s="1"/>
      <c r="P55" s="1"/>
      <c r="Q55" s="1">
        <f>STDEVA(K55:K58)</f>
        <v>8.9035736879056002E-3</v>
      </c>
      <c r="R55" s="1">
        <f>Q55/SQRT(4)</f>
        <v>4.4517868439528001E-3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>
      <c r="A56" s="1">
        <v>2</v>
      </c>
      <c r="B56" s="1" t="s">
        <v>26</v>
      </c>
      <c r="C56" s="98" t="s">
        <v>18</v>
      </c>
      <c r="D56" s="1">
        <v>23.074626922607422</v>
      </c>
      <c r="E56" s="1"/>
      <c r="F56" s="1" t="s">
        <v>37</v>
      </c>
      <c r="G56" s="1">
        <v>31.35826301574707</v>
      </c>
      <c r="H56" s="1"/>
      <c r="I56" s="1">
        <f>G56-D56</f>
        <v>8.2836360931396484</v>
      </c>
      <c r="J56" s="1"/>
      <c r="K56" s="1">
        <f t="shared" ref="K56:K58" si="8">2^(-I56)</f>
        <v>3.2090542778382414E-3</v>
      </c>
      <c r="L56" s="1"/>
      <c r="M56" s="1"/>
      <c r="N56" s="9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>
      <c r="A57" s="1">
        <v>3</v>
      </c>
      <c r="B57" s="1" t="s">
        <v>26</v>
      </c>
      <c r="C57" s="98" t="s">
        <v>18</v>
      </c>
      <c r="D57" s="1">
        <v>22.212917327880859</v>
      </c>
      <c r="E57" s="1"/>
      <c r="F57" s="1" t="s">
        <v>37</v>
      </c>
      <c r="G57" s="1">
        <v>29.279129028320313</v>
      </c>
      <c r="H57" s="1"/>
      <c r="I57" s="1">
        <f>G57-D57</f>
        <v>7.0662117004394531</v>
      </c>
      <c r="J57" s="1"/>
      <c r="K57" s="1">
        <f t="shared" si="8"/>
        <v>7.4620528817686011E-3</v>
      </c>
      <c r="L57" s="1"/>
      <c r="M57" s="1"/>
      <c r="N57" s="9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>
      <c r="A58" s="1">
        <v>4</v>
      </c>
      <c r="B58" s="1" t="s">
        <v>26</v>
      </c>
      <c r="C58" s="98" t="s">
        <v>18</v>
      </c>
      <c r="D58" s="1">
        <v>23.384590148925781</v>
      </c>
      <c r="E58" s="1"/>
      <c r="F58" s="1" t="s">
        <v>37</v>
      </c>
      <c r="G58" s="1">
        <v>28.941017150878906</v>
      </c>
      <c r="H58" s="1"/>
      <c r="I58" s="1">
        <f>G58-D58</f>
        <v>5.556427001953125</v>
      </c>
      <c r="J58" s="1"/>
      <c r="K58" s="1">
        <f t="shared" si="8"/>
        <v>2.1249504311722428E-2</v>
      </c>
      <c r="L58" s="1"/>
      <c r="M58" s="1"/>
      <c r="N58" s="9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9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9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9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>
      <c r="A62" s="1">
        <v>1</v>
      </c>
      <c r="B62" s="1" t="s">
        <v>27</v>
      </c>
      <c r="C62" s="98" t="s">
        <v>18</v>
      </c>
      <c r="D62" s="1">
        <v>21.02461051940918</v>
      </c>
      <c r="E62" s="1"/>
      <c r="F62" s="1" t="s">
        <v>37</v>
      </c>
      <c r="G62" s="1">
        <v>27.628627777099609</v>
      </c>
      <c r="H62" s="1"/>
      <c r="I62" s="1">
        <f>G62-D62</f>
        <v>6.6040172576904297</v>
      </c>
      <c r="J62" s="1"/>
      <c r="K62" s="1">
        <f>2^(-I62)</f>
        <v>1.0279990505579116E-2</v>
      </c>
      <c r="L62" s="1">
        <f>AVERAGE(K62:K65)</f>
        <v>1.2018303065216422E-2</v>
      </c>
      <c r="M62" s="1"/>
      <c r="N62" s="99"/>
      <c r="O62" s="1"/>
      <c r="P62" s="1"/>
      <c r="Q62" s="1">
        <f>STDEVA(K62:K65)</f>
        <v>6.3851678765809968E-3</v>
      </c>
      <c r="R62" s="1">
        <f>Q62/SQRT(4)</f>
        <v>3.1925839382904984E-3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>
      <c r="A63" s="1">
        <v>2</v>
      </c>
      <c r="B63" s="1" t="s">
        <v>27</v>
      </c>
      <c r="C63" s="98" t="s">
        <v>18</v>
      </c>
      <c r="D63" s="1">
        <v>20.557044982910156</v>
      </c>
      <c r="E63" s="1"/>
      <c r="F63" s="1" t="s">
        <v>37</v>
      </c>
      <c r="G63" s="1">
        <v>26.905693054199219</v>
      </c>
      <c r="H63" s="1"/>
      <c r="I63" s="1">
        <f>G63-D63</f>
        <v>6.3486480712890625</v>
      </c>
      <c r="J63" s="1"/>
      <c r="K63" s="1">
        <f t="shared" ref="K63:K65" si="9">2^(-I63)</f>
        <v>1.2270619764492473E-2</v>
      </c>
      <c r="L63" s="1"/>
      <c r="M63" s="1"/>
      <c r="N63" s="9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>
      <c r="A64" s="1">
        <v>3</v>
      </c>
      <c r="B64" s="1" t="s">
        <v>27</v>
      </c>
      <c r="C64" s="98" t="s">
        <v>18</v>
      </c>
      <c r="D64" s="1">
        <v>22.679468154907227</v>
      </c>
      <c r="E64" s="1"/>
      <c r="F64" s="1" t="s">
        <v>37</v>
      </c>
      <c r="G64" s="1">
        <v>28.291477203369141</v>
      </c>
      <c r="H64" s="1"/>
      <c r="I64" s="1">
        <f>G64-D64</f>
        <v>5.6120090484619141</v>
      </c>
      <c r="J64" s="1"/>
      <c r="K64" s="1">
        <f t="shared" si="9"/>
        <v>2.0446404127955974E-2</v>
      </c>
      <c r="L64" s="1"/>
      <c r="M64" s="1"/>
      <c r="N64" s="9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>
      <c r="A65" s="1">
        <v>4</v>
      </c>
      <c r="B65" s="1" t="s">
        <v>27</v>
      </c>
      <c r="C65" s="98" t="s">
        <v>18</v>
      </c>
      <c r="D65" s="1">
        <v>20.665248870849609</v>
      </c>
      <c r="E65" s="1"/>
      <c r="F65" s="1" t="s">
        <v>37</v>
      </c>
      <c r="G65" s="1">
        <v>28.287284851074219</v>
      </c>
      <c r="H65" s="1"/>
      <c r="I65" s="1">
        <f>G65-D65</f>
        <v>7.6220359802246094</v>
      </c>
      <c r="J65" s="1"/>
      <c r="K65" s="1">
        <f t="shared" si="9"/>
        <v>5.0761978628381232E-3</v>
      </c>
      <c r="L65" s="1"/>
      <c r="M65" s="1"/>
      <c r="N65" s="9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9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9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>
      <c r="A68" s="1">
        <v>1</v>
      </c>
      <c r="B68" s="1" t="s">
        <v>28</v>
      </c>
      <c r="C68" s="98" t="s">
        <v>18</v>
      </c>
      <c r="D68" s="1">
        <v>20.644145965576172</v>
      </c>
      <c r="E68" s="1"/>
      <c r="F68" s="1" t="s">
        <v>37</v>
      </c>
      <c r="G68" s="1">
        <v>36.387752532958984</v>
      </c>
      <c r="H68" s="1"/>
      <c r="I68" s="1">
        <f>G68-D68</f>
        <v>15.743606567382813</v>
      </c>
      <c r="J68" s="1"/>
      <c r="K68" s="1">
        <f>2^(-I68)</f>
        <v>1.8226453976381303E-5</v>
      </c>
      <c r="L68" s="1">
        <f>AVERAGE(K68:K71)</f>
        <v>4.7224831870967598E-5</v>
      </c>
      <c r="M68" s="1"/>
      <c r="N68" s="99"/>
      <c r="O68" s="1"/>
      <c r="P68" s="1"/>
      <c r="Q68" s="1">
        <f>STDEVA(K68:K71)</f>
        <v>3.0924615167831589E-5</v>
      </c>
      <c r="R68" s="1">
        <f>Q68/SQRT(4)</f>
        <v>1.5462307583915794E-5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>
      <c r="A69" s="1">
        <v>2</v>
      </c>
      <c r="B69" s="1" t="s">
        <v>28</v>
      </c>
      <c r="C69" s="98" t="s">
        <v>18</v>
      </c>
      <c r="D69" s="1">
        <v>20.571266174316406</v>
      </c>
      <c r="E69" s="1"/>
      <c r="F69" s="1" t="s">
        <v>37</v>
      </c>
      <c r="G69" s="1">
        <v>35.120906829833984</v>
      </c>
      <c r="H69" s="1"/>
      <c r="I69" s="1">
        <f>G69-D69</f>
        <v>14.549640655517578</v>
      </c>
      <c r="J69" s="1"/>
      <c r="K69" s="1">
        <f t="shared" ref="K69:K71" si="10">2^(-I69)</f>
        <v>4.1698625199815603E-5</v>
      </c>
      <c r="L69" s="1"/>
      <c r="M69" s="1"/>
      <c r="N69" s="9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>
      <c r="A70" s="1">
        <v>3</v>
      </c>
      <c r="B70" s="1" t="s">
        <v>28</v>
      </c>
      <c r="C70" s="98" t="s">
        <v>18</v>
      </c>
      <c r="D70" s="1">
        <v>21.043220520019531</v>
      </c>
      <c r="E70" s="1"/>
      <c r="F70" s="1" t="s">
        <v>37</v>
      </c>
      <c r="G70" s="1">
        <v>35.726303100585938</v>
      </c>
      <c r="H70" s="1"/>
      <c r="I70" s="1">
        <f>G70-D70</f>
        <v>14.683082580566406</v>
      </c>
      <c r="J70" s="1"/>
      <c r="K70" s="1">
        <f t="shared" si="10"/>
        <v>3.8014712859930067E-5</v>
      </c>
      <c r="L70" s="1"/>
      <c r="M70" s="1"/>
      <c r="N70" s="9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>
      <c r="A71" s="1">
        <v>4</v>
      </c>
      <c r="B71" s="1" t="s">
        <v>28</v>
      </c>
      <c r="C71" s="98" t="s">
        <v>18</v>
      </c>
      <c r="D71" s="1">
        <v>20.611846923828125</v>
      </c>
      <c r="E71" s="1"/>
      <c r="F71" s="1" t="s">
        <v>37</v>
      </c>
      <c r="G71" s="1">
        <v>34.036262512207031</v>
      </c>
      <c r="H71" s="1"/>
      <c r="I71" s="1">
        <f>G71-D71</f>
        <v>13.424415588378906</v>
      </c>
      <c r="J71" s="1"/>
      <c r="K71" s="1">
        <f t="shared" si="10"/>
        <v>9.0959535447743416E-5</v>
      </c>
      <c r="L71" s="1"/>
      <c r="M71" s="1"/>
      <c r="N71" s="9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9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9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>
      <c r="A74" s="1">
        <v>1</v>
      </c>
      <c r="B74" s="1" t="s">
        <v>29</v>
      </c>
      <c r="C74" s="98" t="s">
        <v>18</v>
      </c>
      <c r="D74" s="1">
        <v>20.773025512695313</v>
      </c>
      <c r="E74" s="1"/>
      <c r="F74" s="1" t="s">
        <v>37</v>
      </c>
      <c r="G74" s="1">
        <v>35.462699890136719</v>
      </c>
      <c r="H74" s="1"/>
      <c r="I74" s="1">
        <f>G74-D74</f>
        <v>14.689674377441406</v>
      </c>
      <c r="J74" s="1"/>
      <c r="K74" s="1">
        <f>2^(-I74)</f>
        <v>3.7841416593911107E-5</v>
      </c>
      <c r="L74" s="1">
        <f>AVERAGE(K74:K77)</f>
        <v>8.5417502742015037E-5</v>
      </c>
      <c r="M74" s="1"/>
      <c r="N74" s="99"/>
      <c r="O74" s="1"/>
      <c r="P74" s="1"/>
      <c r="Q74" s="1">
        <f>STDEVA(K74:K77)</f>
        <v>8.5568990439579762E-5</v>
      </c>
      <c r="R74" s="1">
        <f>Q74/SQRT(4)</f>
        <v>4.2784495219789881E-5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>
      <c r="A75" s="1">
        <v>2</v>
      </c>
      <c r="B75" s="1" t="s">
        <v>29</v>
      </c>
      <c r="C75" s="98" t="s">
        <v>18</v>
      </c>
      <c r="D75" s="1">
        <v>20.899147033691406</v>
      </c>
      <c r="E75" s="1"/>
      <c r="F75" s="1" t="s">
        <v>37</v>
      </c>
      <c r="G75" s="1">
        <v>34.968708038330078</v>
      </c>
      <c r="H75" s="1"/>
      <c r="I75" s="1">
        <f>G75-D75</f>
        <v>14.069561004638672</v>
      </c>
      <c r="J75" s="1"/>
      <c r="K75" s="1">
        <f t="shared" ref="K75:K77" si="11">2^(-I75)</f>
        <v>5.816210442143545E-5</v>
      </c>
      <c r="L75" s="1"/>
      <c r="M75" s="1"/>
      <c r="N75" s="9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>
      <c r="A76" s="1">
        <v>3</v>
      </c>
      <c r="B76" s="1" t="s">
        <v>29</v>
      </c>
      <c r="C76" s="98" t="s">
        <v>18</v>
      </c>
      <c r="D76" s="1">
        <v>21.535186767578125</v>
      </c>
      <c r="E76" s="1"/>
      <c r="F76" s="1" t="s">
        <v>37</v>
      </c>
      <c r="G76" s="1">
        <v>36.424785614013672</v>
      </c>
      <c r="H76" s="1"/>
      <c r="I76" s="1">
        <f>G76-D76</f>
        <v>14.889598846435547</v>
      </c>
      <c r="J76" s="1"/>
      <c r="K76" s="1">
        <f t="shared" si="11"/>
        <v>3.2944591271153243E-5</v>
      </c>
      <c r="L76" s="1"/>
      <c r="M76" s="1"/>
      <c r="N76" s="9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>
      <c r="A77" s="1">
        <v>4</v>
      </c>
      <c r="B77" s="1" t="s">
        <v>29</v>
      </c>
      <c r="C77" s="98" t="s">
        <v>18</v>
      </c>
      <c r="D77" s="1">
        <v>23.467973709106445</v>
      </c>
      <c r="E77" s="1"/>
      <c r="F77" s="1" t="s">
        <v>37</v>
      </c>
      <c r="G77" s="1">
        <v>35.666717529296875</v>
      </c>
      <c r="H77" s="1"/>
      <c r="I77" s="1">
        <f>G77-D77</f>
        <v>12.19874382019043</v>
      </c>
      <c r="J77" s="1"/>
      <c r="K77" s="1">
        <f t="shared" si="11"/>
        <v>2.1272189868156035E-4</v>
      </c>
      <c r="L77" s="1"/>
      <c r="M77" s="1"/>
      <c r="N77" s="99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99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9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99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>
      <c r="A81" s="1">
        <v>1</v>
      </c>
      <c r="B81" s="1" t="s">
        <v>30</v>
      </c>
      <c r="C81" s="98" t="s">
        <v>18</v>
      </c>
      <c r="D81" s="1">
        <v>25.109580993652344</v>
      </c>
      <c r="E81" s="1"/>
      <c r="F81" s="1" t="s">
        <v>37</v>
      </c>
      <c r="G81" s="1">
        <v>31.626787185668945</v>
      </c>
      <c r="H81" s="1"/>
      <c r="I81" s="1">
        <f>G81-D81</f>
        <v>6.5172061920166016</v>
      </c>
      <c r="J81" s="1"/>
      <c r="K81" s="1">
        <f>2^(-I81)</f>
        <v>1.091755650345385E-2</v>
      </c>
      <c r="L81" s="1">
        <f>AVERAGE(K81:K84)</f>
        <v>3.514329104039348E-2</v>
      </c>
      <c r="M81" s="1"/>
      <c r="N81" s="99"/>
      <c r="O81" s="1"/>
      <c r="P81" s="1"/>
      <c r="Q81" s="1">
        <f>STDEVA(K81:K84)</f>
        <v>4.0075959584003416E-2</v>
      </c>
      <c r="R81" s="1">
        <f>Q81/SQRT(3)</f>
        <v>2.3137866053856936E-2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>
      <c r="A82" s="1">
        <v>2</v>
      </c>
      <c r="B82" s="1" t="s">
        <v>30</v>
      </c>
      <c r="C82" s="98" t="s">
        <v>18</v>
      </c>
      <c r="D82" s="1">
        <v>24.284000396728516</v>
      </c>
      <c r="E82" s="1"/>
      <c r="F82" s="1" t="s">
        <v>37</v>
      </c>
      <c r="G82" s="1" t="s">
        <v>38</v>
      </c>
      <c r="H82" s="1"/>
      <c r="I82" s="1"/>
      <c r="J82" s="1"/>
      <c r="K82" s="1"/>
      <c r="L82" s="1"/>
      <c r="M82" s="1"/>
      <c r="N82" s="9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>
      <c r="A83" s="1">
        <v>3</v>
      </c>
      <c r="B83" s="1" t="s">
        <v>30</v>
      </c>
      <c r="C83" s="98" t="s">
        <v>18</v>
      </c>
      <c r="D83" s="1">
        <v>24.848484039306641</v>
      </c>
      <c r="E83" s="1"/>
      <c r="F83" s="1" t="s">
        <v>37</v>
      </c>
      <c r="G83" s="1">
        <v>31.101604461669922</v>
      </c>
      <c r="H83" s="1"/>
      <c r="I83" s="1">
        <f>G83-D83</f>
        <v>6.2531204223632813</v>
      </c>
      <c r="J83" s="1"/>
      <c r="K83" s="1">
        <f t="shared" ref="K83:K84" si="12">2^(-I83)</f>
        <v>1.3110618685246669E-2</v>
      </c>
      <c r="L83" s="1"/>
      <c r="M83" s="1"/>
      <c r="N83" s="9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>
      <c r="A84" s="1">
        <v>4</v>
      </c>
      <c r="B84" s="1" t="s">
        <v>30</v>
      </c>
      <c r="C84" s="98" t="s">
        <v>18</v>
      </c>
      <c r="D84" s="1">
        <v>25.121562957763672</v>
      </c>
      <c r="E84" s="1"/>
      <c r="F84" s="1" t="s">
        <v>37</v>
      </c>
      <c r="G84" s="1">
        <v>28.740360260009766</v>
      </c>
      <c r="H84" s="1"/>
      <c r="I84" s="1">
        <f>G84-D84</f>
        <v>3.6187973022460938</v>
      </c>
      <c r="J84" s="1"/>
      <c r="K84" s="1">
        <f t="shared" si="12"/>
        <v>8.1401697932479922E-2</v>
      </c>
      <c r="L84" s="1"/>
      <c r="M84" s="1"/>
      <c r="N84" s="9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9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9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>
      <c r="A87" s="1">
        <v>1</v>
      </c>
      <c r="B87" s="1" t="s">
        <v>31</v>
      </c>
      <c r="C87" s="98" t="s">
        <v>18</v>
      </c>
      <c r="D87" s="1">
        <v>21.080926895141602</v>
      </c>
      <c r="E87" s="1"/>
      <c r="F87" s="1" t="s">
        <v>37</v>
      </c>
      <c r="G87" s="1">
        <v>31.576045989990234</v>
      </c>
      <c r="H87" s="1"/>
      <c r="I87" s="1">
        <f>G87-D87</f>
        <v>10.495119094848633</v>
      </c>
      <c r="J87" s="1"/>
      <c r="K87" s="1">
        <f>2^(-I87)</f>
        <v>6.9287412697051852E-4</v>
      </c>
      <c r="L87" s="1">
        <f>AVERAGE(K87:K90)</f>
        <v>1.2487769857264693E-3</v>
      </c>
      <c r="M87" s="1"/>
      <c r="N87" s="99"/>
      <c r="O87" s="1"/>
      <c r="P87" s="1"/>
      <c r="Q87" s="1">
        <f>STDEVA(K87:K90)</f>
        <v>1.4264777609785087E-3</v>
      </c>
      <c r="R87" s="1">
        <f>Q87/SQRT(4)</f>
        <v>7.1323888048925436E-4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>
      <c r="A88" s="1">
        <v>2</v>
      </c>
      <c r="B88" s="1" t="s">
        <v>31</v>
      </c>
      <c r="C88" s="98" t="s">
        <v>18</v>
      </c>
      <c r="D88" s="1">
        <v>22.329303741455078</v>
      </c>
      <c r="E88" s="1"/>
      <c r="F88" s="1" t="s">
        <v>37</v>
      </c>
      <c r="G88" s="1">
        <v>33.936023712158203</v>
      </c>
      <c r="H88" s="1"/>
      <c r="I88" s="1">
        <f>G88-D88</f>
        <v>11.606719970703125</v>
      </c>
      <c r="J88" s="1"/>
      <c r="K88" s="1">
        <f t="shared" ref="K88:K90" si="13">2^(-I88)</f>
        <v>3.206484445715761E-4</v>
      </c>
      <c r="L88" s="1"/>
      <c r="M88" s="1"/>
      <c r="N88" s="9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>
      <c r="A89" s="1">
        <v>3</v>
      </c>
      <c r="B89" s="1" t="s">
        <v>31</v>
      </c>
      <c r="C89" s="98" t="s">
        <v>18</v>
      </c>
      <c r="D89" s="1">
        <v>21.380630493164063</v>
      </c>
      <c r="E89" s="1"/>
      <c r="F89" s="1" t="s">
        <v>37</v>
      </c>
      <c r="G89" s="1">
        <v>32.067989349365234</v>
      </c>
      <c r="H89" s="1"/>
      <c r="I89" s="1">
        <f>G89-D89</f>
        <v>10.687358856201172</v>
      </c>
      <c r="J89" s="1"/>
      <c r="K89" s="1">
        <f t="shared" si="13"/>
        <v>6.0643521153390942E-4</v>
      </c>
      <c r="L89" s="1"/>
      <c r="M89" s="1"/>
      <c r="N89" s="9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>
      <c r="A90" s="1">
        <v>4</v>
      </c>
      <c r="B90" s="1" t="s">
        <v>31</v>
      </c>
      <c r="C90" s="98" t="s">
        <v>18</v>
      </c>
      <c r="D90" s="1">
        <v>22.267072677612305</v>
      </c>
      <c r="E90" s="1"/>
      <c r="F90" s="1" t="s">
        <v>37</v>
      </c>
      <c r="G90" s="1">
        <v>30.4779052734375</v>
      </c>
      <c r="H90" s="1"/>
      <c r="I90" s="1">
        <f>G90-D90</f>
        <v>8.2108325958251953</v>
      </c>
      <c r="J90" s="1"/>
      <c r="K90" s="1">
        <f t="shared" si="13"/>
        <v>3.3751501598298728E-3</v>
      </c>
      <c r="L90" s="1"/>
      <c r="M90" s="1"/>
      <c r="N90" s="9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9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9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>
      <c r="A93" s="1">
        <v>1</v>
      </c>
      <c r="B93" s="1" t="s">
        <v>32</v>
      </c>
      <c r="C93" s="98" t="s">
        <v>18</v>
      </c>
      <c r="D93" s="1">
        <v>23.680686950683594</v>
      </c>
      <c r="E93" s="1"/>
      <c r="F93" s="1" t="s">
        <v>37</v>
      </c>
      <c r="G93" s="1">
        <v>29.344249725341797</v>
      </c>
      <c r="H93" s="1"/>
      <c r="I93" s="1">
        <f>G93-D93</f>
        <v>5.6635627746582031</v>
      </c>
      <c r="J93" s="1"/>
      <c r="K93" s="1">
        <f t="shared" ref="K93" si="14">2^(-I93)</f>
        <v>1.9728666095236054E-2</v>
      </c>
      <c r="L93" s="1">
        <f>AVERAGE(K93:K97)</f>
        <v>8.0243372767051305E-3</v>
      </c>
      <c r="M93" s="1"/>
      <c r="N93" s="99"/>
      <c r="O93" s="1"/>
      <c r="P93" s="1"/>
      <c r="Q93" s="1">
        <f>STDEVA(K93:K97)</f>
        <v>8.1624080153822366E-3</v>
      </c>
      <c r="R93" s="1">
        <f>Q93/SQRT(5)</f>
        <v>3.6503398364967658E-3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>
      <c r="A94" s="1">
        <v>2</v>
      </c>
      <c r="B94" s="1" t="s">
        <v>32</v>
      </c>
      <c r="C94" s="98" t="s">
        <v>18</v>
      </c>
      <c r="D94" s="1">
        <v>22.318157196044922</v>
      </c>
      <c r="E94" s="1"/>
      <c r="F94" s="1" t="s">
        <v>37</v>
      </c>
      <c r="G94" s="1">
        <v>28.807334899902344</v>
      </c>
      <c r="H94" s="1"/>
      <c r="I94" s="1">
        <f>G94-D94</f>
        <v>6.4891777038574219</v>
      </c>
      <c r="J94" s="1"/>
      <c r="K94" s="1">
        <f>2^(-I94)</f>
        <v>1.1131735125418452E-2</v>
      </c>
      <c r="L94" s="1"/>
      <c r="M94" s="1"/>
      <c r="N94" s="9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>
      <c r="A95" s="1">
        <v>3</v>
      </c>
      <c r="B95" s="1" t="s">
        <v>32</v>
      </c>
      <c r="C95" s="98" t="s">
        <v>18</v>
      </c>
      <c r="D95" s="1">
        <v>21.950836181640625</v>
      </c>
      <c r="E95" s="1"/>
      <c r="F95" s="1" t="s">
        <v>37</v>
      </c>
      <c r="G95" s="1">
        <v>35.199558258056641</v>
      </c>
      <c r="H95" s="1"/>
      <c r="I95" s="1">
        <f>G95-D95</f>
        <v>13.248722076416016</v>
      </c>
      <c r="J95" s="1"/>
      <c r="K95" s="1">
        <f t="shared" ref="K95:K97" si="15">2^(-I95)</f>
        <v>1.0273945338716296E-4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>
      <c r="A96" s="1">
        <v>4</v>
      </c>
      <c r="B96" s="1" t="s">
        <v>32</v>
      </c>
      <c r="C96" s="98" t="s">
        <v>18</v>
      </c>
      <c r="D96" s="1">
        <v>23.886611938476563</v>
      </c>
      <c r="E96" s="1"/>
      <c r="F96" s="1" t="s">
        <v>37</v>
      </c>
      <c r="G96" s="1">
        <v>34.867103576660156</v>
      </c>
      <c r="H96" s="1"/>
      <c r="I96" s="1">
        <f>G96-D96</f>
        <v>10.980491638183594</v>
      </c>
      <c r="J96" s="1"/>
      <c r="K96" s="1">
        <f t="shared" si="15"/>
        <v>4.949287128708323E-4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>
      <c r="A97" s="1">
        <v>5</v>
      </c>
      <c r="B97" s="1" t="s">
        <v>32</v>
      </c>
      <c r="C97" s="98" t="s">
        <v>18</v>
      </c>
      <c r="D97" s="1">
        <v>25.365455627441406</v>
      </c>
      <c r="E97" s="1"/>
      <c r="F97" s="1" t="s">
        <v>37</v>
      </c>
      <c r="G97" s="1">
        <v>32.216270446777344</v>
      </c>
      <c r="H97" s="1"/>
      <c r="I97" s="1">
        <f>G97-D97</f>
        <v>6.8508148193359375</v>
      </c>
      <c r="J97" s="1"/>
      <c r="K97" s="1">
        <f t="shared" si="15"/>
        <v>8.6636169966131538E-3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9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>
      <c r="A99" s="1">
        <v>1</v>
      </c>
      <c r="B99" s="1" t="s">
        <v>33</v>
      </c>
      <c r="C99" s="98" t="s">
        <v>18</v>
      </c>
      <c r="D99" s="1">
        <v>21.539398193359375</v>
      </c>
      <c r="E99" s="1"/>
      <c r="F99" s="1" t="s">
        <v>37</v>
      </c>
      <c r="G99" s="1">
        <v>27.113025665283203</v>
      </c>
      <c r="H99" s="1"/>
      <c r="I99" s="1">
        <f>G99-D99</f>
        <v>5.5736274719238281</v>
      </c>
      <c r="J99" s="1"/>
      <c r="K99" s="1">
        <f>2^(-I99)</f>
        <v>2.0997662275796015E-2</v>
      </c>
      <c r="L99" s="1">
        <f>AVERAGE(K99:K102)</f>
        <v>1.7955040656746236E-2</v>
      </c>
      <c r="M99" s="1"/>
      <c r="N99" s="99"/>
      <c r="O99" s="1"/>
      <c r="P99" s="1"/>
      <c r="Q99" s="1">
        <f>STDEVA(K99:K102)</f>
        <v>1.0164541398732921E-2</v>
      </c>
      <c r="R99" s="1">
        <f>Q99/SQRT(4)</f>
        <v>5.0822706993664604E-3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>
      <c r="A100" s="1">
        <v>2</v>
      </c>
      <c r="B100" s="1" t="s">
        <v>33</v>
      </c>
      <c r="C100" s="98" t="s">
        <v>18</v>
      </c>
      <c r="D100" s="1">
        <v>22.855751037597656</v>
      </c>
      <c r="E100" s="1"/>
      <c r="F100" s="1" t="s">
        <v>37</v>
      </c>
      <c r="G100" s="1">
        <v>27.885913848876953</v>
      </c>
      <c r="H100" s="1"/>
      <c r="I100" s="1">
        <f>G100-D100</f>
        <v>5.0301628112792969</v>
      </c>
      <c r="J100" s="1"/>
      <c r="K100" s="1">
        <f t="shared" ref="K100:K102" si="16">2^(-I100)</f>
        <v>3.0603430440890908E-2</v>
      </c>
      <c r="L100" s="1"/>
      <c r="M100" s="1"/>
      <c r="N100" s="9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>
      <c r="A101" s="1">
        <v>3</v>
      </c>
      <c r="B101" s="1" t="s">
        <v>33</v>
      </c>
      <c r="C101" s="98" t="s">
        <v>18</v>
      </c>
      <c r="D101" s="1">
        <v>19.947513580322266</v>
      </c>
      <c r="E101" s="1"/>
      <c r="F101" s="1" t="s">
        <v>37</v>
      </c>
      <c r="G101" s="1">
        <v>26.204349517822266</v>
      </c>
      <c r="H101" s="1"/>
      <c r="I101" s="1">
        <f>G101-D101</f>
        <v>6.2568359375</v>
      </c>
      <c r="J101" s="1"/>
      <c r="K101" s="1">
        <f>2^(-I101)</f>
        <v>1.3076897055037793E-2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>
      <c r="A102" s="1">
        <v>4</v>
      </c>
      <c r="B102" s="1" t="s">
        <v>33</v>
      </c>
      <c r="C102" s="98" t="s">
        <v>18</v>
      </c>
      <c r="D102" s="1">
        <v>19.833488464355469</v>
      </c>
      <c r="E102" s="1"/>
      <c r="F102" s="1" t="s">
        <v>37</v>
      </c>
      <c r="G102" s="1">
        <v>26.962909698486328</v>
      </c>
      <c r="H102" s="1"/>
      <c r="I102" s="1">
        <f>G102-D102</f>
        <v>7.1294212341308594</v>
      </c>
      <c r="J102" s="1"/>
      <c r="K102" s="1">
        <f t="shared" si="16"/>
        <v>7.1421728552602259E-3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B2FA-63F5-443B-A531-A2F9FA4AA740}">
  <dimension ref="B3:S144"/>
  <sheetViews>
    <sheetView topLeftCell="B1" zoomScale="85" zoomScaleNormal="85" workbookViewId="0">
      <selection activeCell="O1" sqref="O1:O1048576"/>
    </sheetView>
  </sheetViews>
  <sheetFormatPr defaultRowHeight="14.45"/>
  <cols>
    <col min="2" max="2" width="28" customWidth="1"/>
    <col min="3" max="3" width="25.42578125" customWidth="1"/>
    <col min="4" max="4" width="22.140625" customWidth="1"/>
    <col min="6" max="6" width="24.5703125" customWidth="1"/>
    <col min="7" max="7" width="20.28515625" customWidth="1"/>
    <col min="8" max="8" width="14" customWidth="1"/>
    <col min="9" max="9" width="7" customWidth="1"/>
    <col min="12" max="12" width="16.42578125" customWidth="1"/>
    <col min="13" max="13" width="25.42578125" customWidth="1"/>
    <col min="14" max="14" width="15.7109375" customWidth="1"/>
    <col min="15" max="15" width="17.28515625" customWidth="1"/>
    <col min="22" max="22" width="12.140625" customWidth="1"/>
  </cols>
  <sheetData>
    <row r="3" spans="2:19" ht="15" thickBot="1"/>
    <row r="4" spans="2:19" ht="21.6" thickBot="1">
      <c r="B4" s="1"/>
      <c r="C4" s="96" t="s">
        <v>35</v>
      </c>
      <c r="D4" s="1"/>
    </row>
    <row r="5" spans="2:19" ht="18">
      <c r="B5" s="97" t="s">
        <v>7</v>
      </c>
      <c r="C5" s="97" t="s">
        <v>8</v>
      </c>
      <c r="D5" s="97" t="s">
        <v>9</v>
      </c>
      <c r="E5" s="97" t="s">
        <v>10</v>
      </c>
      <c r="F5" s="97"/>
      <c r="G5" s="97" t="s">
        <v>11</v>
      </c>
      <c r="H5" s="97" t="s">
        <v>10</v>
      </c>
      <c r="I5" s="97"/>
      <c r="J5" s="97" t="s">
        <v>12</v>
      </c>
      <c r="K5" s="97"/>
      <c r="L5" s="97" t="s">
        <v>13</v>
      </c>
      <c r="M5" s="97" t="s">
        <v>14</v>
      </c>
      <c r="N5" s="97"/>
      <c r="O5" s="97"/>
      <c r="P5" s="97"/>
      <c r="Q5" s="97"/>
      <c r="R5" s="97" t="s">
        <v>15</v>
      </c>
      <c r="S5" s="97" t="s">
        <v>16</v>
      </c>
    </row>
    <row r="6" spans="2:19">
      <c r="B6" s="1">
        <v>1</v>
      </c>
      <c r="C6" s="1" t="s">
        <v>17</v>
      </c>
      <c r="D6" s="98" t="s">
        <v>18</v>
      </c>
      <c r="E6">
        <v>19.898590087890625</v>
      </c>
      <c r="G6" t="s">
        <v>39</v>
      </c>
      <c r="H6">
        <v>23.5396728515625</v>
      </c>
      <c r="J6">
        <f>H6-E6</f>
        <v>3.641082763671875</v>
      </c>
      <c r="L6">
        <f>2^(-J6)</f>
        <v>8.0153939317179609E-2</v>
      </c>
      <c r="M6">
        <f>AVERAGE(L6:L9)</f>
        <v>8.1976999599458311E-2</v>
      </c>
      <c r="R6">
        <f>STDEVA(L6:L9)</f>
        <v>3.5523864386665271E-2</v>
      </c>
      <c r="S6">
        <f>R6/SQRT(4)</f>
        <v>1.7761932193332636E-2</v>
      </c>
    </row>
    <row r="7" spans="2:19">
      <c r="B7" s="1">
        <v>2</v>
      </c>
      <c r="C7" s="1" t="s">
        <v>17</v>
      </c>
      <c r="D7" s="98" t="s">
        <v>18</v>
      </c>
      <c r="E7">
        <v>19.777618408203125</v>
      </c>
      <c r="G7" t="s">
        <v>39</v>
      </c>
      <c r="H7">
        <v>22.980607986450195</v>
      </c>
      <c r="J7">
        <f t="shared" ref="J7:J70" si="0">H7-E7</f>
        <v>3.2029895782470703</v>
      </c>
      <c r="L7">
        <f t="shared" ref="L7:L70" si="1">2^(-J7)</f>
        <v>0.10859355760007633</v>
      </c>
    </row>
    <row r="8" spans="2:19">
      <c r="B8" s="1">
        <v>3</v>
      </c>
      <c r="C8" s="1" t="s">
        <v>17</v>
      </c>
      <c r="D8" s="98" t="s">
        <v>18</v>
      </c>
      <c r="E8">
        <v>18.290992736816406</v>
      </c>
      <c r="G8" t="s">
        <v>39</v>
      </c>
      <c r="H8">
        <v>21.518363952636719</v>
      </c>
      <c r="J8">
        <f t="shared" si="0"/>
        <v>3.2273712158203125</v>
      </c>
      <c r="L8">
        <f t="shared" si="1"/>
        <v>0.10677374042422946</v>
      </c>
    </row>
    <row r="9" spans="2:19">
      <c r="B9" s="1">
        <v>4</v>
      </c>
      <c r="C9" s="1" t="s">
        <v>17</v>
      </c>
      <c r="D9" s="98" t="s">
        <v>18</v>
      </c>
      <c r="E9">
        <v>17.948677062988281</v>
      </c>
      <c r="G9" t="s">
        <v>39</v>
      </c>
      <c r="H9">
        <v>22.897129058837891</v>
      </c>
      <c r="J9">
        <f t="shared" si="0"/>
        <v>4.9484519958496094</v>
      </c>
      <c r="L9">
        <f t="shared" si="1"/>
        <v>3.2386761056347836E-2</v>
      </c>
    </row>
    <row r="10" spans="2:19">
      <c r="B10" s="1"/>
      <c r="C10" s="1"/>
      <c r="D10" s="1"/>
    </row>
    <row r="11" spans="2:19">
      <c r="B11" s="1">
        <v>1</v>
      </c>
      <c r="C11" s="1" t="s">
        <v>19</v>
      </c>
      <c r="D11" s="98" t="s">
        <v>18</v>
      </c>
      <c r="E11">
        <v>19.460693359375</v>
      </c>
      <c r="G11" t="s">
        <v>39</v>
      </c>
      <c r="H11">
        <v>29.212467193603516</v>
      </c>
      <c r="J11">
        <f t="shared" si="0"/>
        <v>9.7517738342285156</v>
      </c>
      <c r="L11">
        <f t="shared" si="1"/>
        <v>1.1599080564877304E-3</v>
      </c>
      <c r="M11">
        <f t="shared" ref="M11:M67" si="2">AVERAGE(L11:L14)</f>
        <v>1.4736340343003912E-3</v>
      </c>
      <c r="R11">
        <f>STDEVA(L11:L14)</f>
        <v>6.3238390620150395E-4</v>
      </c>
      <c r="S11">
        <f>R11/SQRT(4)</f>
        <v>3.1619195310075198E-4</v>
      </c>
    </row>
    <row r="12" spans="2:19">
      <c r="B12" s="1">
        <v>2</v>
      </c>
      <c r="C12" s="1" t="s">
        <v>19</v>
      </c>
      <c r="D12" s="98" t="s">
        <v>18</v>
      </c>
      <c r="E12">
        <v>18.407295227050781</v>
      </c>
      <c r="G12" t="s">
        <v>39</v>
      </c>
      <c r="H12">
        <v>27.4241943359375</v>
      </c>
      <c r="J12">
        <f t="shared" si="0"/>
        <v>9.0168991088867188</v>
      </c>
      <c r="L12">
        <f t="shared" si="1"/>
        <v>1.9303804044838513E-3</v>
      </c>
    </row>
    <row r="13" spans="2:19">
      <c r="B13" s="1">
        <v>3</v>
      </c>
      <c r="C13" s="1" t="s">
        <v>19</v>
      </c>
      <c r="D13" s="98" t="s">
        <v>18</v>
      </c>
      <c r="E13">
        <v>19.087779998779297</v>
      </c>
      <c r="G13" t="s">
        <v>39</v>
      </c>
      <c r="H13">
        <v>28.006462097167969</v>
      </c>
      <c r="J13">
        <f t="shared" si="0"/>
        <v>8.9186820983886719</v>
      </c>
      <c r="L13">
        <f t="shared" si="1"/>
        <v>2.0663751317986367E-3</v>
      </c>
    </row>
    <row r="14" spans="2:19">
      <c r="B14" s="1">
        <v>4</v>
      </c>
      <c r="C14" s="1" t="s">
        <v>19</v>
      </c>
      <c r="D14" s="98" t="s">
        <v>18</v>
      </c>
      <c r="E14">
        <v>18.866905212402344</v>
      </c>
      <c r="G14" t="s">
        <v>39</v>
      </c>
      <c r="H14">
        <v>29.271245956420898</v>
      </c>
      <c r="J14">
        <f t="shared" si="0"/>
        <v>10.404340744018555</v>
      </c>
      <c r="L14">
        <f t="shared" si="1"/>
        <v>7.3787254443134634E-4</v>
      </c>
    </row>
    <row r="15" spans="2:19">
      <c r="B15" s="1"/>
      <c r="C15" s="1"/>
      <c r="D15" s="1"/>
    </row>
    <row r="16" spans="2:19">
      <c r="B16" s="1">
        <v>1</v>
      </c>
      <c r="C16" s="1" t="s">
        <v>20</v>
      </c>
      <c r="D16" s="98" t="s">
        <v>18</v>
      </c>
      <c r="E16">
        <v>19.839059829711914</v>
      </c>
      <c r="G16" t="s">
        <v>39</v>
      </c>
      <c r="H16">
        <v>21.412826538085938</v>
      </c>
      <c r="J16">
        <f t="shared" si="0"/>
        <v>1.5737667083740234</v>
      </c>
      <c r="L16">
        <f t="shared" si="1"/>
        <v>0.33593017377263962</v>
      </c>
      <c r="M16">
        <f t="shared" si="2"/>
        <v>0.52969848127177266</v>
      </c>
      <c r="R16">
        <f>STDEVA(L16:L19)</f>
        <v>0.30350611063001831</v>
      </c>
      <c r="S16">
        <f>R16/SQRT(4)</f>
        <v>0.15175305531500916</v>
      </c>
    </row>
    <row r="17" spans="2:19">
      <c r="B17" s="1">
        <v>2</v>
      </c>
      <c r="C17" s="1" t="s">
        <v>20</v>
      </c>
      <c r="D17" s="98" t="s">
        <v>18</v>
      </c>
      <c r="E17">
        <v>20.241542816162109</v>
      </c>
      <c r="G17" t="s">
        <v>39</v>
      </c>
      <c r="H17">
        <v>21.695838928222656</v>
      </c>
      <c r="J17">
        <f t="shared" si="0"/>
        <v>1.4542961120605469</v>
      </c>
      <c r="L17">
        <f t="shared" si="1"/>
        <v>0.36493309273639285</v>
      </c>
    </row>
    <row r="18" spans="2:19">
      <c r="B18" s="1">
        <v>3</v>
      </c>
      <c r="C18" s="1" t="s">
        <v>20</v>
      </c>
      <c r="D18" s="98" t="s">
        <v>18</v>
      </c>
      <c r="E18">
        <v>21.299552917480469</v>
      </c>
      <c r="G18" t="s">
        <v>39</v>
      </c>
      <c r="H18">
        <v>21.328073501586914</v>
      </c>
      <c r="J18">
        <f t="shared" si="0"/>
        <v>2.8520584106445313E-2</v>
      </c>
      <c r="L18">
        <f t="shared" si="1"/>
        <v>0.98042516215837372</v>
      </c>
    </row>
    <row r="19" spans="2:19">
      <c r="B19" s="1">
        <v>4</v>
      </c>
      <c r="C19" s="1" t="s">
        <v>20</v>
      </c>
      <c r="D19" s="98" t="s">
        <v>18</v>
      </c>
      <c r="E19">
        <v>20.598623275756836</v>
      </c>
      <c r="G19" t="s">
        <v>39</v>
      </c>
      <c r="H19">
        <v>21.791250228881836</v>
      </c>
      <c r="J19">
        <f t="shared" si="0"/>
        <v>1.192626953125</v>
      </c>
      <c r="L19">
        <f t="shared" si="1"/>
        <v>0.43750549641968445</v>
      </c>
    </row>
    <row r="20" spans="2:19">
      <c r="B20" s="1"/>
      <c r="C20" s="1"/>
      <c r="D20" s="1"/>
    </row>
    <row r="21" spans="2:19">
      <c r="B21" s="1"/>
      <c r="C21" s="1"/>
      <c r="D21" s="1"/>
    </row>
    <row r="22" spans="2:19">
      <c r="B22" s="1"/>
      <c r="C22" s="1"/>
      <c r="D22" s="1"/>
    </row>
    <row r="23" spans="2:19">
      <c r="B23" s="1">
        <v>1</v>
      </c>
      <c r="C23" s="1" t="s">
        <v>21</v>
      </c>
      <c r="D23" s="98" t="s">
        <v>18</v>
      </c>
      <c r="E23">
        <v>21.276721954345703</v>
      </c>
      <c r="G23" t="s">
        <v>39</v>
      </c>
      <c r="H23">
        <v>29.110185623168945</v>
      </c>
      <c r="J23">
        <f t="shared" si="0"/>
        <v>7.8334636688232422</v>
      </c>
      <c r="L23">
        <f t="shared" si="1"/>
        <v>4.3842212804124005E-3</v>
      </c>
      <c r="M23">
        <f t="shared" si="2"/>
        <v>5.7830270082092272E-3</v>
      </c>
      <c r="R23">
        <f>STDEVA(L23:L26)</f>
        <v>3.8184619706559814E-3</v>
      </c>
      <c r="S23">
        <f>R23/SQRT(4)</f>
        <v>1.9092309853279907E-3</v>
      </c>
    </row>
    <row r="24" spans="2:19">
      <c r="B24" s="1">
        <v>2</v>
      </c>
      <c r="C24" s="1" t="s">
        <v>21</v>
      </c>
      <c r="D24" s="98" t="s">
        <v>18</v>
      </c>
      <c r="E24">
        <v>20.663053512573242</v>
      </c>
      <c r="G24" t="s">
        <v>39</v>
      </c>
      <c r="H24">
        <v>27.316181182861328</v>
      </c>
      <c r="J24">
        <f t="shared" si="0"/>
        <v>6.6531276702880859</v>
      </c>
      <c r="L24">
        <f t="shared" si="1"/>
        <v>9.9359410521271292E-3</v>
      </c>
    </row>
    <row r="25" spans="2:19">
      <c r="B25" s="1">
        <v>3</v>
      </c>
      <c r="C25" s="1" t="s">
        <v>21</v>
      </c>
      <c r="D25" s="98" t="s">
        <v>18</v>
      </c>
      <c r="E25">
        <v>19.231725692749023</v>
      </c>
      <c r="G25" t="s">
        <v>39</v>
      </c>
      <c r="H25">
        <v>28.952312469482422</v>
      </c>
      <c r="J25">
        <f t="shared" si="0"/>
        <v>9.7205867767333984</v>
      </c>
      <c r="L25">
        <f t="shared" si="1"/>
        <v>1.1852550236939631E-3</v>
      </c>
    </row>
    <row r="26" spans="2:19">
      <c r="B26" s="1">
        <v>4</v>
      </c>
      <c r="C26" s="1" t="s">
        <v>21</v>
      </c>
      <c r="D26" s="98" t="s">
        <v>18</v>
      </c>
      <c r="E26">
        <v>22.440858840942383</v>
      </c>
      <c r="G26" t="s">
        <v>39</v>
      </c>
      <c r="H26">
        <v>29.4755859375</v>
      </c>
      <c r="J26">
        <f t="shared" si="0"/>
        <v>7.0347270965576172</v>
      </c>
      <c r="L26">
        <f t="shared" si="1"/>
        <v>7.6266906766034159E-3</v>
      </c>
    </row>
    <row r="27" spans="2:19">
      <c r="B27" s="1"/>
      <c r="C27" s="1"/>
      <c r="D27" s="1"/>
    </row>
    <row r="28" spans="2:19">
      <c r="B28" s="1"/>
      <c r="C28" s="1"/>
      <c r="D28" s="1"/>
    </row>
    <row r="29" spans="2:19">
      <c r="B29" s="1">
        <v>1</v>
      </c>
      <c r="C29" s="1" t="s">
        <v>22</v>
      </c>
      <c r="D29" s="98" t="s">
        <v>18</v>
      </c>
      <c r="E29">
        <v>34.488082885742188</v>
      </c>
      <c r="G29" t="s">
        <v>39</v>
      </c>
      <c r="H29">
        <v>29.548587799072266</v>
      </c>
      <c r="J29">
        <f t="shared" si="0"/>
        <v>-4.9394950866699219</v>
      </c>
      <c r="L29">
        <f t="shared" si="1"/>
        <v>30.685710576902913</v>
      </c>
      <c r="M29">
        <f t="shared" si="2"/>
        <v>14.443427752731257</v>
      </c>
      <c r="R29">
        <f>STDEVA(L29:L32)</f>
        <v>15.143777473246088</v>
      </c>
      <c r="S29">
        <f>R29/SQRT(4)</f>
        <v>7.5718887366230438</v>
      </c>
    </row>
    <row r="30" spans="2:19">
      <c r="B30" s="1">
        <v>2</v>
      </c>
      <c r="C30" s="1" t="s">
        <v>22</v>
      </c>
      <c r="D30" s="98" t="s">
        <v>18</v>
      </c>
      <c r="E30">
        <v>21.828939437866211</v>
      </c>
      <c r="G30" t="s">
        <v>39</v>
      </c>
      <c r="H30">
        <v>23.01545524597168</v>
      </c>
      <c r="J30">
        <f t="shared" si="0"/>
        <v>1.1865158081054688</v>
      </c>
      <c r="L30">
        <f t="shared" si="1"/>
        <v>0.4393626666264695</v>
      </c>
    </row>
    <row r="31" spans="2:19">
      <c r="B31" s="1">
        <v>3</v>
      </c>
      <c r="C31" s="1" t="s">
        <v>22</v>
      </c>
      <c r="D31" s="98" t="s">
        <v>18</v>
      </c>
      <c r="E31">
        <v>31.193092346191406</v>
      </c>
      <c r="G31" t="s">
        <v>39</v>
      </c>
      <c r="H31">
        <v>29.757862091064453</v>
      </c>
      <c r="J31">
        <f t="shared" si="0"/>
        <v>-1.4352302551269531</v>
      </c>
      <c r="L31">
        <f t="shared" si="1"/>
        <v>2.7042532323035724</v>
      </c>
    </row>
    <row r="32" spans="2:19">
      <c r="B32" s="1">
        <v>4</v>
      </c>
      <c r="C32" s="1" t="s">
        <v>22</v>
      </c>
      <c r="D32" s="98" t="s">
        <v>18</v>
      </c>
      <c r="E32">
        <v>33.599437713623047</v>
      </c>
      <c r="G32" t="s">
        <v>39</v>
      </c>
      <c r="H32">
        <v>29.017822265625</v>
      </c>
      <c r="J32">
        <f t="shared" si="0"/>
        <v>-4.5816154479980469</v>
      </c>
      <c r="L32">
        <f t="shared" si="1"/>
        <v>23.94438453509207</v>
      </c>
    </row>
    <row r="33" spans="2:19">
      <c r="B33" s="1"/>
      <c r="C33" s="1"/>
      <c r="D33" s="1"/>
    </row>
    <row r="34" spans="2:19">
      <c r="B34" s="1"/>
      <c r="C34" s="1"/>
      <c r="D34" s="1"/>
    </row>
    <row r="35" spans="2:19">
      <c r="B35" s="1">
        <v>1</v>
      </c>
      <c r="C35" s="1" t="s">
        <v>23</v>
      </c>
      <c r="D35" s="98" t="s">
        <v>18</v>
      </c>
      <c r="E35">
        <v>20.383794784545898</v>
      </c>
      <c r="G35" t="s">
        <v>39</v>
      </c>
      <c r="H35">
        <v>27.965204238891602</v>
      </c>
      <c r="J35">
        <f t="shared" si="0"/>
        <v>7.5814094543457031</v>
      </c>
      <c r="L35">
        <f t="shared" si="1"/>
        <v>5.2211761417779862E-3</v>
      </c>
      <c r="M35">
        <f t="shared" si="2"/>
        <v>1.8735586261720921E-2</v>
      </c>
      <c r="R35">
        <f>STDEVA(L35:L38)</f>
        <v>1.4851360378830792E-2</v>
      </c>
      <c r="S35">
        <f>R35/SQRT(4)</f>
        <v>7.4256801894153962E-3</v>
      </c>
    </row>
    <row r="36" spans="2:19">
      <c r="B36" s="1">
        <v>2</v>
      </c>
      <c r="C36" s="1" t="s">
        <v>23</v>
      </c>
      <c r="D36" s="98" t="s">
        <v>18</v>
      </c>
      <c r="E36">
        <v>20.717281341552734</v>
      </c>
      <c r="G36" t="s">
        <v>39</v>
      </c>
      <c r="H36">
        <v>27.924919128417969</v>
      </c>
      <c r="J36">
        <f t="shared" si="0"/>
        <v>7.2076377868652344</v>
      </c>
      <c r="L36">
        <f t="shared" si="1"/>
        <v>6.7652652398538966E-3</v>
      </c>
    </row>
    <row r="37" spans="2:19">
      <c r="B37" s="1">
        <v>3</v>
      </c>
      <c r="C37" s="1" t="s">
        <v>23</v>
      </c>
      <c r="D37" s="98" t="s">
        <v>18</v>
      </c>
      <c r="E37">
        <v>20.905355453491211</v>
      </c>
      <c r="G37" t="s">
        <v>39</v>
      </c>
      <c r="H37">
        <v>25.791086196899414</v>
      </c>
      <c r="J37">
        <f t="shared" si="0"/>
        <v>4.8857307434082031</v>
      </c>
      <c r="L37">
        <f t="shared" si="1"/>
        <v>3.3825832617927716E-2</v>
      </c>
    </row>
    <row r="38" spans="2:19">
      <c r="B38" s="1">
        <v>4</v>
      </c>
      <c r="C38" s="1" t="s">
        <v>23</v>
      </c>
      <c r="D38" s="98" t="s">
        <v>18</v>
      </c>
      <c r="E38">
        <v>22.757638931274414</v>
      </c>
      <c r="G38" t="s">
        <v>39</v>
      </c>
      <c r="H38">
        <v>27.858985900878906</v>
      </c>
      <c r="J38">
        <f t="shared" si="0"/>
        <v>5.1013469696044922</v>
      </c>
      <c r="L38">
        <f t="shared" si="1"/>
        <v>2.9130071047324076E-2</v>
      </c>
    </row>
    <row r="39" spans="2:19">
      <c r="B39" s="1"/>
      <c r="C39" s="1"/>
      <c r="D39" s="1"/>
    </row>
    <row r="40" spans="2:19">
      <c r="B40" s="1"/>
      <c r="C40" s="1"/>
      <c r="D40" s="1"/>
    </row>
    <row r="41" spans="2:19">
      <c r="B41" s="1"/>
      <c r="C41" s="1"/>
      <c r="D41" s="1"/>
    </row>
    <row r="42" spans="2:19">
      <c r="B42" s="1">
        <v>1</v>
      </c>
      <c r="C42" s="1" t="s">
        <v>24</v>
      </c>
      <c r="D42" s="98" t="s">
        <v>18</v>
      </c>
      <c r="E42">
        <v>31.798271179199219</v>
      </c>
      <c r="G42" t="s">
        <v>39</v>
      </c>
      <c r="H42">
        <v>29.070041656494141</v>
      </c>
      <c r="J42">
        <f t="shared" si="0"/>
        <v>-2.7282295227050781</v>
      </c>
      <c r="L42">
        <f t="shared" si="1"/>
        <v>6.6264194238722842</v>
      </c>
      <c r="M42">
        <f t="shared" si="2"/>
        <v>2.5352742554967471</v>
      </c>
      <c r="R42">
        <f>STDEVA(L42:L45)</f>
        <v>2.7294139151193484</v>
      </c>
      <c r="S42">
        <f>R42/SQRT(4)</f>
        <v>1.3647069575596742</v>
      </c>
    </row>
    <row r="43" spans="2:19">
      <c r="B43" s="1">
        <v>2</v>
      </c>
      <c r="C43" s="1" t="s">
        <v>24</v>
      </c>
      <c r="D43" s="98" t="s">
        <v>18</v>
      </c>
      <c r="E43">
        <v>25.717449188232422</v>
      </c>
      <c r="G43" t="s">
        <v>39</v>
      </c>
      <c r="H43">
        <v>25.430046081542969</v>
      </c>
      <c r="J43">
        <f t="shared" si="0"/>
        <v>-0.28740310668945313</v>
      </c>
      <c r="L43">
        <f t="shared" si="1"/>
        <v>1.2204414689514427</v>
      </c>
    </row>
    <row r="44" spans="2:19">
      <c r="B44" s="1">
        <v>3</v>
      </c>
      <c r="C44" s="1" t="s">
        <v>24</v>
      </c>
      <c r="D44" s="98" t="s">
        <v>18</v>
      </c>
      <c r="E44">
        <v>26.881877899169922</v>
      </c>
      <c r="G44" t="s">
        <v>39</v>
      </c>
      <c r="H44">
        <v>26.843544006347656</v>
      </c>
      <c r="J44">
        <f t="shared" si="0"/>
        <v>-3.8333892822265625E-2</v>
      </c>
      <c r="L44">
        <f t="shared" si="1"/>
        <v>1.0269271870316607</v>
      </c>
    </row>
    <row r="45" spans="2:19">
      <c r="B45" s="1">
        <v>4</v>
      </c>
      <c r="C45" s="1" t="s">
        <v>24</v>
      </c>
      <c r="D45" s="98" t="s">
        <v>18</v>
      </c>
      <c r="E45">
        <v>26.686351776123047</v>
      </c>
      <c r="G45" t="s">
        <v>39</v>
      </c>
      <c r="H45">
        <v>26.344583511352539</v>
      </c>
      <c r="J45">
        <f t="shared" si="0"/>
        <v>-0.34176826477050781</v>
      </c>
      <c r="L45">
        <f t="shared" si="1"/>
        <v>1.2673089421316006</v>
      </c>
    </row>
    <row r="46" spans="2:19">
      <c r="B46" s="1"/>
      <c r="C46" s="1"/>
      <c r="D46" s="1"/>
    </row>
    <row r="47" spans="2:19">
      <c r="B47" s="1"/>
      <c r="C47" s="1"/>
      <c r="D47" s="1"/>
    </row>
    <row r="48" spans="2:19">
      <c r="B48" s="1">
        <v>1</v>
      </c>
      <c r="C48" s="1" t="s">
        <v>25</v>
      </c>
      <c r="D48" s="98" t="s">
        <v>18</v>
      </c>
      <c r="E48">
        <v>21.877571105957031</v>
      </c>
      <c r="G48" t="s">
        <v>39</v>
      </c>
      <c r="H48">
        <v>27.039344787597656</v>
      </c>
      <c r="J48">
        <f t="shared" si="0"/>
        <v>5.161773681640625</v>
      </c>
      <c r="L48">
        <f t="shared" si="1"/>
        <v>2.7935168223771865E-2</v>
      </c>
      <c r="M48">
        <f t="shared" si="2"/>
        <v>4.3903443436344822E-2</v>
      </c>
      <c r="R48">
        <f>STDEVA(L48:L51)</f>
        <v>1.5705078056164622E-2</v>
      </c>
      <c r="S48">
        <f>R48/SQRT(4)</f>
        <v>7.8525390280823112E-3</v>
      </c>
    </row>
    <row r="49" spans="2:19">
      <c r="B49" s="1">
        <v>2</v>
      </c>
      <c r="C49" s="1" t="s">
        <v>25</v>
      </c>
      <c r="D49" s="98" t="s">
        <v>18</v>
      </c>
      <c r="E49">
        <v>22.17626953125</v>
      </c>
      <c r="G49" t="s">
        <v>39</v>
      </c>
      <c r="H49">
        <v>26.10748291015625</v>
      </c>
      <c r="J49">
        <f t="shared" si="0"/>
        <v>3.93121337890625</v>
      </c>
      <c r="L49">
        <f t="shared" si="1"/>
        <v>6.5552136899544047E-2</v>
      </c>
    </row>
    <row r="50" spans="2:19">
      <c r="B50" s="1">
        <v>3</v>
      </c>
      <c r="C50" s="1" t="s">
        <v>25</v>
      </c>
      <c r="D50" s="98" t="s">
        <v>18</v>
      </c>
      <c r="E50">
        <v>22.357076644897461</v>
      </c>
      <c r="G50" t="s">
        <v>39</v>
      </c>
      <c r="H50">
        <v>26.953086853027344</v>
      </c>
      <c r="J50">
        <f t="shared" si="0"/>
        <v>4.5960102081298828</v>
      </c>
      <c r="L50">
        <f t="shared" si="1"/>
        <v>4.1348814922776873E-2</v>
      </c>
    </row>
    <row r="51" spans="2:19">
      <c r="B51" s="1">
        <v>4</v>
      </c>
      <c r="C51" s="1" t="s">
        <v>25</v>
      </c>
      <c r="D51" s="98" t="s">
        <v>18</v>
      </c>
      <c r="E51">
        <v>22.953765869140625</v>
      </c>
      <c r="G51" t="s">
        <v>39</v>
      </c>
      <c r="H51">
        <v>27.569843292236328</v>
      </c>
      <c r="J51">
        <f t="shared" si="0"/>
        <v>4.6160774230957031</v>
      </c>
      <c r="L51">
        <f t="shared" si="1"/>
        <v>4.0777653699286508E-2</v>
      </c>
    </row>
    <row r="52" spans="2:19">
      <c r="B52" s="1"/>
      <c r="C52" s="1"/>
      <c r="D52" s="1"/>
    </row>
    <row r="53" spans="2:19">
      <c r="B53" s="1"/>
      <c r="C53" s="1"/>
      <c r="D53" s="1"/>
    </row>
    <row r="54" spans="2:19">
      <c r="B54" s="1">
        <v>1</v>
      </c>
      <c r="C54" s="1" t="s">
        <v>26</v>
      </c>
      <c r="D54" s="98" t="s">
        <v>18</v>
      </c>
      <c r="E54">
        <v>24.433509826660156</v>
      </c>
      <c r="G54" t="s">
        <v>39</v>
      </c>
      <c r="H54">
        <v>24.670219421386719</v>
      </c>
      <c r="J54">
        <f t="shared" si="0"/>
        <v>0.2367095947265625</v>
      </c>
      <c r="L54">
        <f t="shared" si="1"/>
        <v>0.84867871810463857</v>
      </c>
      <c r="M54">
        <f t="shared" si="2"/>
        <v>1.0058653049930977</v>
      </c>
      <c r="R54">
        <f>STDEVA(L54:L57)</f>
        <v>0.7029303090548954</v>
      </c>
      <c r="S54">
        <f>R54/SQRT(4)</f>
        <v>0.3514651545274477</v>
      </c>
    </row>
    <row r="55" spans="2:19">
      <c r="B55" s="1">
        <v>2</v>
      </c>
      <c r="C55" s="1" t="s">
        <v>26</v>
      </c>
      <c r="D55" s="98" t="s">
        <v>18</v>
      </c>
      <c r="E55">
        <v>25.033220291137695</v>
      </c>
      <c r="G55" t="s">
        <v>39</v>
      </c>
      <c r="H55">
        <v>26.162004470825195</v>
      </c>
      <c r="J55">
        <f t="shared" si="0"/>
        <v>1.1287841796875</v>
      </c>
      <c r="L55">
        <f t="shared" si="1"/>
        <v>0.45730094967912749</v>
      </c>
    </row>
    <row r="56" spans="2:19">
      <c r="B56" s="1">
        <v>3</v>
      </c>
      <c r="C56" s="1" t="s">
        <v>26</v>
      </c>
      <c r="D56" s="98" t="s">
        <v>18</v>
      </c>
      <c r="E56">
        <v>24.264125823974609</v>
      </c>
      <c r="G56" t="s">
        <v>39</v>
      </c>
      <c r="H56">
        <v>24.809799194335938</v>
      </c>
      <c r="J56">
        <f t="shared" si="0"/>
        <v>0.54567337036132813</v>
      </c>
      <c r="L56">
        <f t="shared" si="1"/>
        <v>0.68507157428397691</v>
      </c>
    </row>
    <row r="57" spans="2:19">
      <c r="B57" s="1">
        <v>4</v>
      </c>
      <c r="C57" s="1" t="s">
        <v>26</v>
      </c>
      <c r="D57" s="98" t="s">
        <v>18</v>
      </c>
      <c r="E57">
        <v>23.956212997436523</v>
      </c>
      <c r="G57" t="s">
        <v>39</v>
      </c>
      <c r="H57">
        <v>22.933021545410156</v>
      </c>
      <c r="J57">
        <f t="shared" si="0"/>
        <v>-1.0231914520263672</v>
      </c>
      <c r="L57">
        <f t="shared" si="1"/>
        <v>2.0324099779046478</v>
      </c>
    </row>
    <row r="58" spans="2:19">
      <c r="B58" s="1"/>
      <c r="C58" s="1"/>
      <c r="D58" s="1"/>
    </row>
    <row r="59" spans="2:19">
      <c r="B59" s="1"/>
      <c r="C59" s="1"/>
      <c r="D59" s="1"/>
    </row>
    <row r="60" spans="2:19">
      <c r="B60" s="1"/>
      <c r="C60" s="1"/>
      <c r="D60" s="1"/>
    </row>
    <row r="61" spans="2:19">
      <c r="B61" s="1">
        <v>1</v>
      </c>
      <c r="C61" s="1" t="s">
        <v>27</v>
      </c>
      <c r="D61" s="98" t="s">
        <v>18</v>
      </c>
      <c r="E61">
        <v>22.904478073120117</v>
      </c>
      <c r="G61" t="s">
        <v>39</v>
      </c>
      <c r="H61">
        <v>29.523918151855469</v>
      </c>
      <c r="J61">
        <f t="shared" si="0"/>
        <v>6.6194400787353516</v>
      </c>
      <c r="L61">
        <f t="shared" si="1"/>
        <v>1.0170679800375072E-2</v>
      </c>
      <c r="M61">
        <f>AVERAGE(L61:L64)</f>
        <v>1.2528975713324311E-2</v>
      </c>
      <c r="R61">
        <f>STDEVA(L61:L64)</f>
        <v>4.380409086558238E-3</v>
      </c>
      <c r="S61">
        <f>R61/SQRT(4)</f>
        <v>2.190204543279119E-3</v>
      </c>
    </row>
    <row r="62" spans="2:19">
      <c r="B62" s="1">
        <v>2</v>
      </c>
      <c r="C62" s="1" t="s">
        <v>27</v>
      </c>
      <c r="D62" s="98" t="s">
        <v>18</v>
      </c>
      <c r="E62">
        <v>22.196540832519531</v>
      </c>
      <c r="G62" t="s">
        <v>39</v>
      </c>
      <c r="H62">
        <v>29.225311279296875</v>
      </c>
      <c r="J62">
        <f t="shared" si="0"/>
        <v>7.0287704467773438</v>
      </c>
      <c r="L62">
        <f t="shared" si="1"/>
        <v>7.6582451207293321E-3</v>
      </c>
    </row>
    <row r="63" spans="2:19">
      <c r="B63" s="1">
        <v>3</v>
      </c>
      <c r="C63" s="1" t="s">
        <v>27</v>
      </c>
      <c r="D63" s="98" t="s">
        <v>18</v>
      </c>
      <c r="E63">
        <v>23.352169036865234</v>
      </c>
      <c r="G63" t="s">
        <v>39</v>
      </c>
      <c r="H63">
        <v>29.215290069580078</v>
      </c>
      <c r="J63">
        <f t="shared" si="0"/>
        <v>5.8631210327148438</v>
      </c>
      <c r="L63">
        <f t="shared" si="1"/>
        <v>1.718006097739179E-2</v>
      </c>
    </row>
    <row r="64" spans="2:19">
      <c r="B64" s="1">
        <v>4</v>
      </c>
      <c r="C64" s="1" t="s">
        <v>27</v>
      </c>
      <c r="D64" s="98" t="s">
        <v>18</v>
      </c>
      <c r="E64">
        <v>22.720499038696289</v>
      </c>
      <c r="G64" t="s">
        <v>39</v>
      </c>
      <c r="H64">
        <v>28.769145965576172</v>
      </c>
      <c r="J64">
        <f t="shared" si="0"/>
        <v>6.0486469268798828</v>
      </c>
      <c r="L64">
        <f t="shared" si="1"/>
        <v>1.5106916954801049E-2</v>
      </c>
    </row>
    <row r="65" spans="2:19">
      <c r="B65" s="1"/>
      <c r="C65" s="1"/>
      <c r="D65" s="1"/>
    </row>
    <row r="66" spans="2:19">
      <c r="B66" s="1"/>
      <c r="C66" s="1"/>
      <c r="D66" s="1"/>
    </row>
    <row r="67" spans="2:19">
      <c r="B67" s="1">
        <v>1</v>
      </c>
      <c r="C67" s="1" t="s">
        <v>28</v>
      </c>
      <c r="D67" s="98" t="s">
        <v>18</v>
      </c>
      <c r="E67">
        <v>22.957788467407227</v>
      </c>
      <c r="G67" t="s">
        <v>39</v>
      </c>
      <c r="H67">
        <v>26.457412719726563</v>
      </c>
      <c r="J67">
        <f t="shared" si="0"/>
        <v>3.4996242523193359</v>
      </c>
      <c r="L67">
        <f t="shared" si="1"/>
        <v>8.8411371254160737E-2</v>
      </c>
      <c r="M67">
        <f t="shared" si="2"/>
        <v>5.2225580206431879E-2</v>
      </c>
      <c r="R67">
        <f>STDEVA(L67:L70)</f>
        <v>2.4148326636188596E-2</v>
      </c>
      <c r="S67">
        <f>R67/SQRT(4)</f>
        <v>1.2074163318094298E-2</v>
      </c>
    </row>
    <row r="68" spans="2:19">
      <c r="B68" s="1">
        <v>2</v>
      </c>
      <c r="C68" s="1" t="s">
        <v>28</v>
      </c>
      <c r="D68" s="98" t="s">
        <v>18</v>
      </c>
      <c r="E68">
        <v>22.011611938476563</v>
      </c>
      <c r="G68" t="s">
        <v>39</v>
      </c>
      <c r="H68">
        <v>26.597785949707031</v>
      </c>
      <c r="J68">
        <f t="shared" si="0"/>
        <v>4.5861740112304688</v>
      </c>
      <c r="L68">
        <f t="shared" si="1"/>
        <v>4.1631691558411801E-2</v>
      </c>
    </row>
    <row r="69" spans="2:19">
      <c r="B69" s="1">
        <v>3</v>
      </c>
      <c r="C69" s="1" t="s">
        <v>28</v>
      </c>
      <c r="D69" s="98" t="s">
        <v>18</v>
      </c>
      <c r="E69">
        <v>22.179103851318359</v>
      </c>
      <c r="G69" t="s">
        <v>39</v>
      </c>
      <c r="H69">
        <v>26.858165740966797</v>
      </c>
      <c r="J69">
        <f t="shared" si="0"/>
        <v>4.6790618896484375</v>
      </c>
      <c r="L69">
        <f t="shared" si="1"/>
        <v>3.9035704312305193E-2</v>
      </c>
    </row>
    <row r="70" spans="2:19">
      <c r="B70" s="1">
        <v>4</v>
      </c>
      <c r="C70" s="1" t="s">
        <v>28</v>
      </c>
      <c r="D70" s="98" t="s">
        <v>18</v>
      </c>
      <c r="E70">
        <v>21.81895637512207</v>
      </c>
      <c r="G70" t="s">
        <v>39</v>
      </c>
      <c r="H70">
        <v>26.46919059753418</v>
      </c>
      <c r="J70">
        <f t="shared" si="0"/>
        <v>4.6502342224121094</v>
      </c>
      <c r="L70">
        <f t="shared" si="1"/>
        <v>3.9823553700849772E-2</v>
      </c>
    </row>
    <row r="71" spans="2:19">
      <c r="B71" s="1"/>
      <c r="C71" s="1"/>
      <c r="D71" s="1"/>
    </row>
    <row r="72" spans="2:19">
      <c r="B72" s="1"/>
      <c r="C72" s="1"/>
      <c r="D72" s="1"/>
    </row>
    <row r="73" spans="2:19">
      <c r="B73" s="1">
        <v>1</v>
      </c>
      <c r="C73" s="1" t="s">
        <v>29</v>
      </c>
      <c r="D73" s="98" t="s">
        <v>18</v>
      </c>
      <c r="E73">
        <v>22.92498779296875</v>
      </c>
      <c r="G73" t="s">
        <v>39</v>
      </c>
      <c r="H73">
        <v>27.991016387939453</v>
      </c>
      <c r="J73">
        <f t="shared" ref="J73:J101" si="3">H73-E73</f>
        <v>5.0660285949707031</v>
      </c>
      <c r="L73">
        <f t="shared" ref="L73:L101" si="4">2^(-J73)</f>
        <v>2.9852000073823756E-2</v>
      </c>
      <c r="M73">
        <f t="shared" ref="M73:M91" si="5">AVERAGE(L73:L76)</f>
        <v>7.5532343532287036E-2</v>
      </c>
      <c r="R73">
        <f>STDEVA(L73:L76)</f>
        <v>3.5761178256247958E-2</v>
      </c>
      <c r="S73">
        <f>R73/SQRT(4)</f>
        <v>1.7880589128123979E-2</v>
      </c>
    </row>
    <row r="74" spans="2:19">
      <c r="B74" s="1">
        <v>2</v>
      </c>
      <c r="C74" s="1" t="s">
        <v>29</v>
      </c>
      <c r="D74" s="98" t="s">
        <v>18</v>
      </c>
      <c r="E74">
        <v>23.115434646606445</v>
      </c>
      <c r="G74" t="s">
        <v>39</v>
      </c>
      <c r="H74">
        <v>26.944194793701172</v>
      </c>
      <c r="J74">
        <f t="shared" si="3"/>
        <v>3.8287601470947266</v>
      </c>
      <c r="L74">
        <f t="shared" si="4"/>
        <v>7.0376611009390785E-2</v>
      </c>
    </row>
    <row r="75" spans="2:19">
      <c r="B75" s="1">
        <v>3</v>
      </c>
      <c r="C75" s="1" t="s">
        <v>29</v>
      </c>
      <c r="D75" s="98" t="s">
        <v>18</v>
      </c>
      <c r="E75">
        <v>23.528841018676758</v>
      </c>
      <c r="G75" t="s">
        <v>39</v>
      </c>
      <c r="H75">
        <v>26.641216278076172</v>
      </c>
      <c r="J75">
        <f t="shared" si="3"/>
        <v>3.1123752593994141</v>
      </c>
      <c r="L75">
        <f t="shared" si="4"/>
        <v>0.11563297230087996</v>
      </c>
    </row>
    <row r="76" spans="2:19">
      <c r="B76" s="1">
        <v>4</v>
      </c>
      <c r="C76" s="1" t="s">
        <v>29</v>
      </c>
      <c r="D76" s="98" t="s">
        <v>18</v>
      </c>
      <c r="E76">
        <v>24.138660430908203</v>
      </c>
      <c r="G76" t="s">
        <v>39</v>
      </c>
      <c r="H76">
        <v>27.673694610595703</v>
      </c>
      <c r="J76">
        <f t="shared" si="3"/>
        <v>3.5350341796875</v>
      </c>
      <c r="L76">
        <f t="shared" si="4"/>
        <v>8.6267790745053641E-2</v>
      </c>
    </row>
    <row r="77" spans="2:19">
      <c r="B77" s="1"/>
      <c r="C77" s="1"/>
      <c r="D77" s="1"/>
    </row>
    <row r="78" spans="2:19">
      <c r="B78" s="1"/>
      <c r="C78" s="1"/>
      <c r="D78" s="1"/>
    </row>
    <row r="79" spans="2:19">
      <c r="B79" s="1">
        <v>1</v>
      </c>
      <c r="C79" s="1" t="s">
        <v>30</v>
      </c>
      <c r="D79" s="98" t="s">
        <v>18</v>
      </c>
      <c r="E79">
        <v>24.430965423583984</v>
      </c>
      <c r="G79" t="s">
        <v>39</v>
      </c>
      <c r="H79">
        <v>26.359621047973633</v>
      </c>
      <c r="J79">
        <f t="shared" si="3"/>
        <v>1.9286556243896484</v>
      </c>
      <c r="L79">
        <f t="shared" si="4"/>
        <v>0.2626738295465883</v>
      </c>
      <c r="M79">
        <f t="shared" si="5"/>
        <v>0.21457139998452901</v>
      </c>
      <c r="R79">
        <f>STDEVA(L79:L82)</f>
        <v>5.2170131352063581E-2</v>
      </c>
      <c r="S79">
        <f>R79/SQRT(4)</f>
        <v>2.6085065676031791E-2</v>
      </c>
    </row>
    <row r="80" spans="2:19">
      <c r="B80" s="1">
        <v>2</v>
      </c>
      <c r="C80" s="1" t="s">
        <v>30</v>
      </c>
      <c r="D80" s="98" t="s">
        <v>18</v>
      </c>
      <c r="E80">
        <v>23.652011871337891</v>
      </c>
      <c r="G80" t="s">
        <v>39</v>
      </c>
      <c r="H80">
        <v>26.33738899230957</v>
      </c>
      <c r="J80">
        <f t="shared" si="3"/>
        <v>2.6853771209716797</v>
      </c>
      <c r="L80">
        <f t="shared" si="4"/>
        <v>0.15546081384119378</v>
      </c>
    </row>
    <row r="81" spans="2:19">
      <c r="B81" s="1">
        <v>3</v>
      </c>
      <c r="C81" s="1" t="s">
        <v>30</v>
      </c>
      <c r="D81" s="98" t="s">
        <v>18</v>
      </c>
      <c r="E81">
        <v>24.594663619995117</v>
      </c>
      <c r="G81" t="s">
        <v>39</v>
      </c>
      <c r="H81">
        <v>27.019828796386719</v>
      </c>
      <c r="J81">
        <f t="shared" si="3"/>
        <v>2.4251651763916016</v>
      </c>
      <c r="L81">
        <f t="shared" si="4"/>
        <v>0.18618836467549479</v>
      </c>
    </row>
    <row r="82" spans="2:19">
      <c r="B82" s="1">
        <v>4</v>
      </c>
      <c r="C82" s="1" t="s">
        <v>30</v>
      </c>
      <c r="D82" s="98" t="s">
        <v>18</v>
      </c>
      <c r="E82">
        <v>25.758684158325195</v>
      </c>
      <c r="G82" t="s">
        <v>39</v>
      </c>
      <c r="H82">
        <v>27.735996246337891</v>
      </c>
      <c r="J82">
        <f t="shared" si="3"/>
        <v>1.9773120880126953</v>
      </c>
      <c r="L82">
        <f t="shared" si="4"/>
        <v>0.25396259187483922</v>
      </c>
    </row>
    <row r="83" spans="2:19">
      <c r="B83" s="1"/>
      <c r="C83" s="1"/>
      <c r="D83" s="1"/>
    </row>
    <row r="84" spans="2:19">
      <c r="B84" s="1"/>
      <c r="C84" s="1"/>
      <c r="D84" s="1"/>
    </row>
    <row r="85" spans="2:19">
      <c r="B85" s="1">
        <v>1</v>
      </c>
      <c r="C85" s="1" t="s">
        <v>31</v>
      </c>
      <c r="D85" s="98" t="s">
        <v>18</v>
      </c>
      <c r="E85">
        <v>21.967319488525391</v>
      </c>
      <c r="G85" t="s">
        <v>39</v>
      </c>
      <c r="H85">
        <v>28.948640823364258</v>
      </c>
      <c r="J85">
        <f t="shared" si="3"/>
        <v>6.9813213348388672</v>
      </c>
      <c r="L85">
        <f t="shared" si="4"/>
        <v>7.9143065641637811E-3</v>
      </c>
      <c r="M85">
        <f t="shared" si="5"/>
        <v>1.041318047089171E-2</v>
      </c>
      <c r="R85">
        <f>STDEVA(L85:L88)</f>
        <v>2.6632570094207633E-3</v>
      </c>
      <c r="S85">
        <f>R85/SQRT(4)</f>
        <v>1.3316285047103816E-3</v>
      </c>
    </row>
    <row r="86" spans="2:19">
      <c r="B86" s="1">
        <v>2</v>
      </c>
      <c r="C86" s="1" t="s">
        <v>31</v>
      </c>
      <c r="D86" s="98" t="s">
        <v>18</v>
      </c>
      <c r="E86">
        <v>22.715259552001953</v>
      </c>
      <c r="G86" t="s">
        <v>39</v>
      </c>
      <c r="H86">
        <v>29.188835144042969</v>
      </c>
      <c r="J86">
        <f t="shared" si="3"/>
        <v>6.4735755920410156</v>
      </c>
      <c r="L86">
        <f t="shared" si="4"/>
        <v>1.125277324813834E-2</v>
      </c>
    </row>
    <row r="87" spans="2:19">
      <c r="B87" s="1">
        <v>3</v>
      </c>
      <c r="C87" s="1" t="s">
        <v>31</v>
      </c>
      <c r="D87" s="98" t="s">
        <v>18</v>
      </c>
      <c r="E87">
        <v>21.894901275634766</v>
      </c>
      <c r="G87" t="s">
        <v>39</v>
      </c>
      <c r="H87">
        <v>28.740013122558594</v>
      </c>
      <c r="J87">
        <f t="shared" si="3"/>
        <v>6.8451118469238281</v>
      </c>
      <c r="L87">
        <f t="shared" si="4"/>
        <v>8.697932047087898E-3</v>
      </c>
    </row>
    <row r="88" spans="2:19">
      <c r="B88" s="1">
        <v>4</v>
      </c>
      <c r="C88" s="1" t="s">
        <v>31</v>
      </c>
      <c r="D88" s="98" t="s">
        <v>18</v>
      </c>
      <c r="E88">
        <v>22.677608489990234</v>
      </c>
      <c r="G88" t="s">
        <v>39</v>
      </c>
      <c r="H88">
        <v>28.858081817626953</v>
      </c>
      <c r="J88">
        <f t="shared" si="3"/>
        <v>6.1804733276367188</v>
      </c>
      <c r="L88">
        <f t="shared" si="4"/>
        <v>1.378771002417682E-2</v>
      </c>
    </row>
    <row r="89" spans="2:19">
      <c r="B89" s="1"/>
      <c r="C89" s="1"/>
      <c r="D89" s="1"/>
    </row>
    <row r="90" spans="2:19">
      <c r="B90" s="1"/>
      <c r="C90" s="1"/>
      <c r="D90" s="1"/>
    </row>
    <row r="91" spans="2:19">
      <c r="B91" s="1">
        <v>1</v>
      </c>
      <c r="C91" s="1" t="s">
        <v>32</v>
      </c>
      <c r="D91" s="98" t="s">
        <v>18</v>
      </c>
      <c r="E91">
        <v>24.792686462402344</v>
      </c>
      <c r="G91" t="s">
        <v>39</v>
      </c>
      <c r="H91">
        <v>27.74256706237793</v>
      </c>
      <c r="J91">
        <f t="shared" si="3"/>
        <v>2.9498805999755859</v>
      </c>
      <c r="L91">
        <f t="shared" si="4"/>
        <v>0.12941882597068988</v>
      </c>
      <c r="M91">
        <f t="shared" si="5"/>
        <v>0.48326069237942376</v>
      </c>
      <c r="R91">
        <f>STDEVA(L91:L94)</f>
        <v>0.37531115894883271</v>
      </c>
      <c r="S91">
        <f>R91/SQRT(4)</f>
        <v>0.18765557947441636</v>
      </c>
    </row>
    <row r="92" spans="2:19">
      <c r="B92" s="1">
        <v>2</v>
      </c>
      <c r="C92" s="1" t="s">
        <v>32</v>
      </c>
      <c r="D92" s="98" t="s">
        <v>18</v>
      </c>
      <c r="E92">
        <v>22.498241424560547</v>
      </c>
      <c r="G92" t="s">
        <v>39</v>
      </c>
      <c r="H92">
        <v>24.858491897583008</v>
      </c>
      <c r="J92">
        <f t="shared" si="3"/>
        <v>2.3602504730224609</v>
      </c>
      <c r="L92">
        <f t="shared" si="4"/>
        <v>0.19475732925044573</v>
      </c>
    </row>
    <row r="93" spans="2:19">
      <c r="B93" s="1">
        <v>3</v>
      </c>
      <c r="C93" s="1" t="s">
        <v>32</v>
      </c>
      <c r="D93" s="98" t="s">
        <v>18</v>
      </c>
      <c r="E93">
        <v>26.895618438720703</v>
      </c>
      <c r="G93" t="s">
        <v>39</v>
      </c>
      <c r="H93">
        <v>27.101486206054688</v>
      </c>
      <c r="J93">
        <f t="shared" si="3"/>
        <v>0.20586776733398438</v>
      </c>
      <c r="L93">
        <f t="shared" si="4"/>
        <v>0.8670170277922018</v>
      </c>
    </row>
    <row r="94" spans="2:19">
      <c r="B94" s="1">
        <v>4</v>
      </c>
      <c r="C94" s="1" t="s">
        <v>32</v>
      </c>
      <c r="D94" s="98" t="s">
        <v>18</v>
      </c>
      <c r="E94">
        <v>22.879055023193359</v>
      </c>
      <c r="G94" t="s">
        <v>39</v>
      </c>
      <c r="H94">
        <v>23.309856414794922</v>
      </c>
      <c r="J94">
        <f t="shared" si="3"/>
        <v>0.4308013916015625</v>
      </c>
      <c r="L94">
        <f t="shared" si="4"/>
        <v>0.74184958650435751</v>
      </c>
    </row>
    <row r="95" spans="2:19">
      <c r="B95" s="1"/>
      <c r="C95" s="1"/>
      <c r="D95" s="98"/>
    </row>
    <row r="96" spans="2:19">
      <c r="B96" s="1"/>
      <c r="C96" s="1"/>
      <c r="D96" s="1"/>
    </row>
    <row r="97" spans="2:19">
      <c r="B97" s="1"/>
      <c r="C97" s="1"/>
      <c r="D97" s="1"/>
    </row>
    <row r="98" spans="2:19">
      <c r="B98" s="1">
        <v>1</v>
      </c>
      <c r="C98" s="1" t="s">
        <v>33</v>
      </c>
      <c r="D98" s="98" t="s">
        <v>18</v>
      </c>
      <c r="E98">
        <v>21.927757263183594</v>
      </c>
      <c r="G98" t="s">
        <v>39</v>
      </c>
      <c r="H98">
        <v>31.406501770019531</v>
      </c>
      <c r="J98">
        <f t="shared" si="3"/>
        <v>9.4787445068359375</v>
      </c>
      <c r="L98">
        <f t="shared" si="4"/>
        <v>1.4015660923713954E-3</v>
      </c>
      <c r="M98">
        <f>AVERAGE(L98:L101)</f>
        <v>6.18908427817707E-3</v>
      </c>
      <c r="R98">
        <f>STDEVA(L98:L101)</f>
        <v>8.4334687361831938E-3</v>
      </c>
      <c r="S98">
        <f>R98/SQRT(4)</f>
        <v>4.2167343680915969E-3</v>
      </c>
    </row>
    <row r="99" spans="2:19">
      <c r="B99" s="1">
        <v>2</v>
      </c>
      <c r="C99" s="1" t="s">
        <v>33</v>
      </c>
      <c r="D99" s="98" t="s">
        <v>18</v>
      </c>
      <c r="E99">
        <v>23.917150497436523</v>
      </c>
      <c r="G99" t="s">
        <v>39</v>
      </c>
      <c r="H99">
        <v>29.649045944213867</v>
      </c>
      <c r="J99">
        <f t="shared" si="3"/>
        <v>5.7318954467773438</v>
      </c>
      <c r="L99">
        <f t="shared" si="4"/>
        <v>1.8816010143102777E-2</v>
      </c>
    </row>
    <row r="100" spans="2:19">
      <c r="B100" s="1">
        <v>3</v>
      </c>
      <c r="C100" s="1" t="s">
        <v>33</v>
      </c>
      <c r="D100" s="98" t="s">
        <v>18</v>
      </c>
      <c r="E100">
        <v>21.656503677368164</v>
      </c>
      <c r="G100" t="s">
        <v>39</v>
      </c>
      <c r="H100">
        <v>30.701166152954102</v>
      </c>
      <c r="J100">
        <f t="shared" si="3"/>
        <v>9.0446624755859375</v>
      </c>
      <c r="L100">
        <f t="shared" si="4"/>
        <v>1.893587134349222E-3</v>
      </c>
    </row>
    <row r="101" spans="2:19">
      <c r="B101" s="1">
        <v>4</v>
      </c>
      <c r="C101" s="1" t="s">
        <v>33</v>
      </c>
      <c r="D101" s="98" t="s">
        <v>18</v>
      </c>
      <c r="E101">
        <v>22.371358871459961</v>
      </c>
      <c r="G101" t="s">
        <v>39</v>
      </c>
      <c r="H101">
        <v>30.933780670166016</v>
      </c>
      <c r="J101">
        <f t="shared" si="3"/>
        <v>8.5624217987060547</v>
      </c>
      <c r="L101">
        <f t="shared" si="4"/>
        <v>2.6451737428848866E-3</v>
      </c>
    </row>
    <row r="102" spans="2:19">
      <c r="B102" s="1"/>
      <c r="C102" s="1"/>
      <c r="D102" s="1"/>
    </row>
    <row r="103" spans="2:19">
      <c r="B103" s="1"/>
      <c r="C103" s="1"/>
      <c r="D103" s="1"/>
    </row>
    <row r="104" spans="2:19">
      <c r="B104" s="1"/>
      <c r="C104" s="1"/>
      <c r="D104" s="1"/>
    </row>
    <row r="105" spans="2:19">
      <c r="B105" s="1"/>
      <c r="C105" s="1"/>
      <c r="D105" s="1"/>
    </row>
    <row r="106" spans="2:19">
      <c r="B106" s="1"/>
      <c r="C106" s="1"/>
      <c r="D106" s="1"/>
    </row>
    <row r="107" spans="2:19">
      <c r="B107" s="1"/>
      <c r="C107" s="1"/>
      <c r="D107" s="1"/>
    </row>
    <row r="108" spans="2:19">
      <c r="B108" s="1"/>
      <c r="C108" s="1"/>
      <c r="D108" s="1"/>
    </row>
    <row r="109" spans="2:19">
      <c r="B109" s="1"/>
      <c r="C109" s="1"/>
      <c r="D109" s="1"/>
    </row>
    <row r="110" spans="2:19">
      <c r="B110" s="1"/>
      <c r="C110" s="1"/>
      <c r="D110" s="1"/>
    </row>
    <row r="111" spans="2:19">
      <c r="B111" s="1"/>
      <c r="C111" s="1"/>
      <c r="D111" s="1"/>
    </row>
    <row r="112" spans="2:19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  <row r="141" spans="2:4">
      <c r="B141" s="1"/>
      <c r="C141" s="1"/>
      <c r="D141" s="1"/>
    </row>
    <row r="142" spans="2:4">
      <c r="B142" s="1"/>
      <c r="C142" s="1"/>
      <c r="D142" s="1"/>
    </row>
    <row r="143" spans="2:4">
      <c r="B143" s="1"/>
      <c r="C143" s="1"/>
      <c r="D143" s="1"/>
    </row>
    <row r="144" spans="2:4">
      <c r="B144" s="1"/>
      <c r="C144" s="1"/>
      <c r="D144" s="1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57A4-4174-45FA-8609-1997470144B1}">
  <dimension ref="B3:S144"/>
  <sheetViews>
    <sheetView zoomScale="85" zoomScaleNormal="85" workbookViewId="0">
      <selection activeCell="O1" sqref="O1:O1048576"/>
    </sheetView>
  </sheetViews>
  <sheetFormatPr defaultRowHeight="14.45"/>
  <cols>
    <col min="2" max="2" width="28" customWidth="1"/>
    <col min="3" max="3" width="25.42578125" customWidth="1"/>
    <col min="4" max="4" width="22.140625" customWidth="1"/>
    <col min="6" max="6" width="24.5703125" customWidth="1"/>
    <col min="7" max="7" width="20.28515625" customWidth="1"/>
    <col min="8" max="8" width="14" customWidth="1"/>
    <col min="9" max="9" width="7" customWidth="1"/>
    <col min="12" max="12" width="16.42578125" customWidth="1"/>
    <col min="13" max="13" width="25.42578125" customWidth="1"/>
    <col min="14" max="14" width="15.7109375" customWidth="1"/>
    <col min="15" max="15" width="17.28515625" customWidth="1"/>
    <col min="22" max="22" width="12.140625" customWidth="1"/>
  </cols>
  <sheetData>
    <row r="3" spans="2:19" ht="15" thickBot="1"/>
    <row r="4" spans="2:19" ht="21.6" thickBot="1">
      <c r="B4" s="1"/>
      <c r="C4" s="96" t="s">
        <v>35</v>
      </c>
      <c r="D4" s="1"/>
    </row>
    <row r="5" spans="2:19" ht="18">
      <c r="B5" s="97" t="s">
        <v>7</v>
      </c>
      <c r="C5" s="97" t="s">
        <v>8</v>
      </c>
      <c r="D5" s="97" t="s">
        <v>9</v>
      </c>
      <c r="E5" s="97" t="s">
        <v>10</v>
      </c>
      <c r="F5" s="97"/>
      <c r="G5" s="97" t="s">
        <v>11</v>
      </c>
      <c r="H5" s="97" t="s">
        <v>10</v>
      </c>
      <c r="I5" s="97"/>
      <c r="J5" s="97" t="s">
        <v>12</v>
      </c>
      <c r="K5" s="97"/>
      <c r="L5" s="97" t="s">
        <v>13</v>
      </c>
      <c r="M5" s="97" t="s">
        <v>14</v>
      </c>
      <c r="N5" s="97"/>
      <c r="O5" s="97"/>
      <c r="P5" s="97"/>
      <c r="Q5" s="97"/>
      <c r="R5" s="97" t="s">
        <v>15</v>
      </c>
      <c r="S5" s="97" t="s">
        <v>16</v>
      </c>
    </row>
    <row r="6" spans="2:19">
      <c r="B6" s="1">
        <v>1</v>
      </c>
      <c r="C6" s="1" t="s">
        <v>17</v>
      </c>
      <c r="D6" s="98" t="s">
        <v>18</v>
      </c>
      <c r="E6">
        <v>20.039970397949219</v>
      </c>
      <c r="H6">
        <v>22.989219665527344</v>
      </c>
      <c r="J6">
        <f>H6-E6</f>
        <v>2.949249267578125</v>
      </c>
      <c r="L6">
        <f>2^(-J6)</f>
        <v>0.12947547285417016</v>
      </c>
      <c r="M6">
        <f>AVERAGE(L6:L9)</f>
        <v>0.11934741514906423</v>
      </c>
      <c r="R6">
        <f>STDEVA(L6:L9)</f>
        <v>6.8146622759621883E-2</v>
      </c>
      <c r="S6">
        <f>R6/SQRT(4)</f>
        <v>3.4073311379810942E-2</v>
      </c>
    </row>
    <row r="7" spans="2:19">
      <c r="B7" s="1">
        <v>2</v>
      </c>
      <c r="C7" s="1" t="s">
        <v>17</v>
      </c>
      <c r="D7" s="98" t="s">
        <v>18</v>
      </c>
      <c r="E7">
        <v>20.267059326171875</v>
      </c>
      <c r="H7">
        <v>23.58892822265625</v>
      </c>
      <c r="J7">
        <f t="shared" ref="J7:J70" si="0">H7-E7</f>
        <v>3.321868896484375</v>
      </c>
      <c r="L7">
        <f t="shared" ref="L7:L70" si="1">2^(-J7)</f>
        <v>0.10000410340479977</v>
      </c>
    </row>
    <row r="8" spans="2:19">
      <c r="B8" s="1">
        <v>3</v>
      </c>
      <c r="C8" s="1" t="s">
        <v>17</v>
      </c>
      <c r="D8" s="98" t="s">
        <v>18</v>
      </c>
      <c r="E8">
        <v>18.926216125488281</v>
      </c>
      <c r="H8">
        <v>23.497528076171875</v>
      </c>
      <c r="J8">
        <f t="shared" si="0"/>
        <v>4.5713119506835938</v>
      </c>
      <c r="L8">
        <f t="shared" si="1"/>
        <v>4.2062781041569401E-2</v>
      </c>
    </row>
    <row r="9" spans="2:19">
      <c r="B9" s="1">
        <v>4</v>
      </c>
      <c r="C9" s="1" t="s">
        <v>17</v>
      </c>
      <c r="D9" s="98" t="s">
        <v>18</v>
      </c>
      <c r="E9">
        <v>18.767528533935547</v>
      </c>
      <c r="H9">
        <v>21.047882080078125</v>
      </c>
      <c r="J9">
        <f t="shared" si="0"/>
        <v>2.2803535461425781</v>
      </c>
      <c r="L9">
        <f t="shared" si="1"/>
        <v>0.2058473032957176</v>
      </c>
    </row>
    <row r="10" spans="2:19">
      <c r="B10" s="1"/>
      <c r="C10" s="1"/>
      <c r="D10" s="1"/>
    </row>
    <row r="11" spans="2:19">
      <c r="B11" s="1">
        <v>1</v>
      </c>
      <c r="C11" s="1" t="s">
        <v>19</v>
      </c>
      <c r="D11" s="98" t="s">
        <v>18</v>
      </c>
      <c r="E11">
        <v>20.099203109741211</v>
      </c>
      <c r="H11">
        <v>23.678495407104492</v>
      </c>
      <c r="J11">
        <f t="shared" si="0"/>
        <v>3.5792922973632813</v>
      </c>
      <c r="L11">
        <f t="shared" si="1"/>
        <v>8.3661501597601468E-2</v>
      </c>
      <c r="M11">
        <f t="shared" ref="M11:M67" si="2">AVERAGE(L11:L14)</f>
        <v>7.5399560162615384E-2</v>
      </c>
      <c r="R11">
        <f>STDEVA(L11:L14)</f>
        <v>2.7075847709431628E-2</v>
      </c>
      <c r="S11">
        <f>R11/SQRT(4)</f>
        <v>1.3537923854715814E-2</v>
      </c>
    </row>
    <row r="12" spans="2:19">
      <c r="B12" s="1">
        <v>2</v>
      </c>
      <c r="C12" s="1" t="s">
        <v>19</v>
      </c>
      <c r="D12" s="98" t="s">
        <v>18</v>
      </c>
      <c r="E12">
        <v>18.870807647705078</v>
      </c>
      <c r="H12">
        <v>22.057853698730469</v>
      </c>
      <c r="J12">
        <f t="shared" si="0"/>
        <v>3.1870460510253906</v>
      </c>
      <c r="L12">
        <f t="shared" si="1"/>
        <v>0.10980030363296756</v>
      </c>
    </row>
    <row r="13" spans="2:19">
      <c r="B13" s="1">
        <v>3</v>
      </c>
      <c r="C13" s="1" t="s">
        <v>19</v>
      </c>
      <c r="D13" s="98" t="s">
        <v>18</v>
      </c>
      <c r="E13">
        <v>19.430057525634766</v>
      </c>
      <c r="H13">
        <v>23.527870178222656</v>
      </c>
      <c r="J13">
        <f t="shared" si="0"/>
        <v>4.0978126525878906</v>
      </c>
      <c r="L13">
        <f t="shared" si="1"/>
        <v>5.840304286782716E-2</v>
      </c>
    </row>
    <row r="14" spans="2:19">
      <c r="B14" s="1">
        <v>4</v>
      </c>
      <c r="C14" s="1" t="s">
        <v>19</v>
      </c>
      <c r="D14" s="98" t="s">
        <v>18</v>
      </c>
      <c r="E14">
        <v>19.344348907470703</v>
      </c>
      <c r="H14">
        <v>23.673990249633789</v>
      </c>
      <c r="J14">
        <f t="shared" si="0"/>
        <v>4.3296413421630859</v>
      </c>
      <c r="L14">
        <f t="shared" si="1"/>
        <v>4.9733392552065367E-2</v>
      </c>
    </row>
    <row r="15" spans="2:19">
      <c r="B15" s="1"/>
      <c r="C15" s="1"/>
      <c r="D15" s="1"/>
    </row>
    <row r="16" spans="2:19">
      <c r="B16" s="1">
        <v>1</v>
      </c>
      <c r="C16" s="1" t="s">
        <v>20</v>
      </c>
      <c r="D16" s="98" t="s">
        <v>18</v>
      </c>
      <c r="E16">
        <v>20.445491790771484</v>
      </c>
      <c r="H16">
        <v>27.831296920776367</v>
      </c>
      <c r="J16">
        <f t="shared" si="0"/>
        <v>7.3858051300048828</v>
      </c>
      <c r="L16">
        <f t="shared" si="1"/>
        <v>5.979310599510965E-3</v>
      </c>
      <c r="M16">
        <f t="shared" si="2"/>
        <v>1.6197353177856498E-2</v>
      </c>
      <c r="R16">
        <f>STDEVA(L16:L19)</f>
        <v>2.1961920609847998E-2</v>
      </c>
      <c r="S16">
        <f>R16/SQRT(4)</f>
        <v>1.0980960304923999E-2</v>
      </c>
    </row>
    <row r="17" spans="2:19">
      <c r="B17" s="1">
        <v>2</v>
      </c>
      <c r="C17" s="1" t="s">
        <v>20</v>
      </c>
      <c r="D17" s="98" t="s">
        <v>18</v>
      </c>
      <c r="E17">
        <v>20.689098358154297</v>
      </c>
      <c r="H17">
        <v>25.037738800048828</v>
      </c>
      <c r="J17">
        <f t="shared" si="0"/>
        <v>4.3486404418945313</v>
      </c>
      <c r="L17">
        <f t="shared" si="1"/>
        <v>4.9082738621201792E-2</v>
      </c>
    </row>
    <row r="18" spans="2:19">
      <c r="B18" s="1">
        <v>3</v>
      </c>
      <c r="C18" s="1" t="s">
        <v>20</v>
      </c>
      <c r="D18" s="98" t="s">
        <v>18</v>
      </c>
      <c r="E18">
        <v>21.43256950378418</v>
      </c>
      <c r="H18">
        <v>29.627876281738281</v>
      </c>
      <c r="J18">
        <f t="shared" si="0"/>
        <v>8.1953067779541016</v>
      </c>
      <c r="L18">
        <f t="shared" si="1"/>
        <v>3.4116685825715219E-3</v>
      </c>
    </row>
    <row r="19" spans="2:19">
      <c r="B19" s="1">
        <v>4</v>
      </c>
      <c r="C19" s="1" t="s">
        <v>20</v>
      </c>
      <c r="D19" s="98" t="s">
        <v>18</v>
      </c>
      <c r="E19">
        <v>21.133865356445313</v>
      </c>
      <c r="H19">
        <v>28.440708160400391</v>
      </c>
      <c r="J19">
        <f t="shared" si="0"/>
        <v>7.3068428039550781</v>
      </c>
      <c r="L19">
        <f t="shared" si="1"/>
        <v>6.3156949081417182E-3</v>
      </c>
    </row>
    <row r="20" spans="2:19">
      <c r="B20" s="1"/>
      <c r="C20" s="1"/>
      <c r="D20" s="1"/>
    </row>
    <row r="21" spans="2:19">
      <c r="B21" s="1"/>
      <c r="C21" s="1"/>
      <c r="D21" s="1"/>
    </row>
    <row r="22" spans="2:19">
      <c r="B22" s="1"/>
      <c r="C22" s="1"/>
      <c r="D22" s="1"/>
    </row>
    <row r="23" spans="2:19">
      <c r="B23" s="1">
        <v>1</v>
      </c>
      <c r="C23" s="1" t="s">
        <v>21</v>
      </c>
      <c r="D23" s="98" t="s">
        <v>18</v>
      </c>
      <c r="E23">
        <v>22.154438018798828</v>
      </c>
      <c r="H23">
        <v>27.426374435424805</v>
      </c>
      <c r="J23">
        <f t="shared" si="0"/>
        <v>5.2719364166259766</v>
      </c>
      <c r="L23">
        <f t="shared" si="1"/>
        <v>2.5881473806354336E-2</v>
      </c>
      <c r="M23">
        <f t="shared" si="2"/>
        <v>1.4983681609528886E-2</v>
      </c>
      <c r="R23">
        <f>STDEVA(L23:L26)</f>
        <v>8.2849884850234382E-3</v>
      </c>
      <c r="S23">
        <f>R23/SQRT(4)</f>
        <v>4.1424942425117191E-3</v>
      </c>
    </row>
    <row r="24" spans="2:19">
      <c r="B24" s="1">
        <v>2</v>
      </c>
      <c r="C24" s="1" t="s">
        <v>21</v>
      </c>
      <c r="D24" s="98" t="s">
        <v>18</v>
      </c>
      <c r="E24">
        <v>21.567695617675781</v>
      </c>
      <c r="H24">
        <v>28.959375381469727</v>
      </c>
      <c r="J24">
        <f t="shared" si="0"/>
        <v>7.3916797637939453</v>
      </c>
      <c r="L24">
        <f t="shared" si="1"/>
        <v>5.9550124358341153E-3</v>
      </c>
    </row>
    <row r="25" spans="2:19">
      <c r="B25" s="1">
        <v>3</v>
      </c>
      <c r="C25" s="1" t="s">
        <v>21</v>
      </c>
      <c r="D25" s="98" t="s">
        <v>18</v>
      </c>
      <c r="E25">
        <v>20.366806030273438</v>
      </c>
      <c r="H25">
        <v>26.383512496948242</v>
      </c>
      <c r="J25">
        <f t="shared" si="0"/>
        <v>6.0167064666748047</v>
      </c>
      <c r="L25">
        <f t="shared" si="1"/>
        <v>1.5445105473943278E-2</v>
      </c>
    </row>
    <row r="26" spans="2:19">
      <c r="B26" s="1">
        <v>4</v>
      </c>
      <c r="C26" s="1" t="s">
        <v>21</v>
      </c>
      <c r="D26" s="98" t="s">
        <v>18</v>
      </c>
      <c r="E26">
        <v>22.944089889526367</v>
      </c>
      <c r="H26">
        <v>29.248451232910156</v>
      </c>
      <c r="J26">
        <f t="shared" si="0"/>
        <v>6.3043613433837891</v>
      </c>
      <c r="L26">
        <f t="shared" si="1"/>
        <v>1.2653134721983808E-2</v>
      </c>
    </row>
    <row r="27" spans="2:19">
      <c r="B27" s="1"/>
      <c r="C27" s="1"/>
      <c r="D27" s="1"/>
    </row>
    <row r="28" spans="2:19">
      <c r="B28" s="1"/>
      <c r="C28" s="1"/>
      <c r="D28" s="1"/>
    </row>
    <row r="29" spans="2:19">
      <c r="B29" s="1">
        <v>1</v>
      </c>
      <c r="C29" s="1" t="s">
        <v>22</v>
      </c>
      <c r="D29" s="98" t="s">
        <v>18</v>
      </c>
      <c r="E29">
        <v>34.924789428710938</v>
      </c>
      <c r="H29">
        <v>32.741203308105469</v>
      </c>
      <c r="J29">
        <f t="shared" si="0"/>
        <v>-2.1835861206054688</v>
      </c>
      <c r="L29">
        <f t="shared" si="1"/>
        <v>4.5428136328367623</v>
      </c>
      <c r="M29">
        <f t="shared" si="2"/>
        <v>4.7760603540977629</v>
      </c>
      <c r="R29">
        <f>STDEVA(L29:L32)</f>
        <v>5.1633985479046416</v>
      </c>
      <c r="S29">
        <f>R29/SQRT(4)</f>
        <v>2.5816992739523208</v>
      </c>
    </row>
    <row r="30" spans="2:19">
      <c r="B30" s="1">
        <v>2</v>
      </c>
      <c r="C30" s="1" t="s">
        <v>22</v>
      </c>
      <c r="D30" s="98" t="s">
        <v>18</v>
      </c>
      <c r="E30">
        <v>23.084304809570313</v>
      </c>
      <c r="H30">
        <v>27.659080505371094</v>
      </c>
      <c r="J30">
        <f t="shared" si="0"/>
        <v>4.5747756958007813</v>
      </c>
      <c r="L30">
        <f t="shared" si="1"/>
        <v>4.1961914267909531E-2</v>
      </c>
    </row>
    <row r="31" spans="2:19">
      <c r="B31" s="1">
        <v>3</v>
      </c>
      <c r="C31" s="1" t="s">
        <v>22</v>
      </c>
      <c r="D31" s="98" t="s">
        <v>18</v>
      </c>
      <c r="E31">
        <v>31.963905334472656</v>
      </c>
      <c r="H31">
        <v>30.637996673583984</v>
      </c>
      <c r="J31">
        <f t="shared" si="0"/>
        <v>-1.3259086608886719</v>
      </c>
      <c r="L31">
        <f t="shared" si="1"/>
        <v>2.5069073199258547</v>
      </c>
    </row>
    <row r="32" spans="2:19">
      <c r="B32" s="1">
        <v>4</v>
      </c>
      <c r="C32" s="1" t="s">
        <v>22</v>
      </c>
      <c r="D32" s="98" t="s">
        <v>18</v>
      </c>
      <c r="E32">
        <v>36.091964721679688</v>
      </c>
      <c r="H32">
        <v>32.5054931640625</v>
      </c>
      <c r="J32">
        <f t="shared" si="0"/>
        <v>-3.5864715576171875</v>
      </c>
      <c r="L32">
        <f t="shared" si="1"/>
        <v>12.012558549360525</v>
      </c>
    </row>
    <row r="33" spans="2:19">
      <c r="B33" s="1"/>
      <c r="C33" s="1"/>
      <c r="D33" s="1"/>
    </row>
    <row r="34" spans="2:19">
      <c r="B34" s="1"/>
      <c r="C34" s="1"/>
      <c r="D34" s="1"/>
    </row>
    <row r="35" spans="2:19">
      <c r="B35" s="1">
        <v>1</v>
      </c>
      <c r="C35" s="1" t="s">
        <v>23</v>
      </c>
      <c r="D35" s="98" t="s">
        <v>18</v>
      </c>
      <c r="E35">
        <v>21.410259246826172</v>
      </c>
      <c r="H35">
        <v>30.554939270019531</v>
      </c>
      <c r="J35">
        <f t="shared" si="0"/>
        <v>9.1446800231933594</v>
      </c>
      <c r="L35">
        <f t="shared" si="1"/>
        <v>1.7667577793600878E-3</v>
      </c>
      <c r="M35">
        <f t="shared" si="2"/>
        <v>7.2557611056975734E-3</v>
      </c>
      <c r="R35">
        <f>STDEVA(L35:L38)</f>
        <v>5.7572459319577222E-3</v>
      </c>
      <c r="S35">
        <f>R35/SQRT(4)</f>
        <v>2.8786229659788611E-3</v>
      </c>
    </row>
    <row r="36" spans="2:19">
      <c r="B36" s="1">
        <v>2</v>
      </c>
      <c r="C36" s="1" t="s">
        <v>23</v>
      </c>
      <c r="D36" s="98" t="s">
        <v>18</v>
      </c>
      <c r="E36">
        <v>21.828968048095703</v>
      </c>
      <c r="H36">
        <v>28.8963623046875</v>
      </c>
      <c r="J36">
        <f t="shared" si="0"/>
        <v>7.0673942565917969</v>
      </c>
      <c r="L36">
        <f t="shared" si="1"/>
        <v>7.4559388516315227E-3</v>
      </c>
    </row>
    <row r="37" spans="2:19">
      <c r="B37" s="1">
        <v>3</v>
      </c>
      <c r="C37" s="1" t="s">
        <v>23</v>
      </c>
      <c r="D37" s="98" t="s">
        <v>18</v>
      </c>
      <c r="E37">
        <v>21.507972717285156</v>
      </c>
      <c r="H37">
        <v>29.258800506591797</v>
      </c>
      <c r="J37">
        <f t="shared" si="0"/>
        <v>7.7508277893066406</v>
      </c>
      <c r="L37">
        <f t="shared" si="1"/>
        <v>4.642675654974544E-3</v>
      </c>
    </row>
    <row r="38" spans="2:19">
      <c r="B38" s="1">
        <v>4</v>
      </c>
      <c r="C38" s="1" t="s">
        <v>23</v>
      </c>
      <c r="D38" s="98" t="s">
        <v>18</v>
      </c>
      <c r="E38">
        <v>23.189929962158203</v>
      </c>
      <c r="H38">
        <v>29.233737945556641</v>
      </c>
      <c r="J38">
        <f t="shared" si="0"/>
        <v>6.0438079833984375</v>
      </c>
      <c r="L38">
        <f t="shared" si="1"/>
        <v>1.5157672136824138E-2</v>
      </c>
    </row>
    <row r="39" spans="2:19">
      <c r="B39" s="1"/>
      <c r="C39" s="1"/>
      <c r="D39" s="1"/>
    </row>
    <row r="40" spans="2:19">
      <c r="B40" s="1"/>
      <c r="C40" s="1"/>
      <c r="D40" s="1"/>
    </row>
    <row r="41" spans="2:19">
      <c r="B41" s="1"/>
      <c r="C41" s="1"/>
      <c r="D41" s="1"/>
    </row>
    <row r="42" spans="2:19">
      <c r="B42" s="1">
        <v>1</v>
      </c>
      <c r="C42" s="1" t="s">
        <v>24</v>
      </c>
      <c r="D42" s="98" t="s">
        <v>18</v>
      </c>
      <c r="E42">
        <v>31.127412796020508</v>
      </c>
      <c r="H42">
        <v>33.630882263183594</v>
      </c>
      <c r="J42">
        <f t="shared" si="0"/>
        <v>2.5034694671630859</v>
      </c>
      <c r="L42">
        <f t="shared" si="1"/>
        <v>0.17635208438433064</v>
      </c>
      <c r="M42">
        <f t="shared" si="2"/>
        <v>6.1851295185634168E-2</v>
      </c>
      <c r="R42">
        <f>STDEVA(L42:L45)</f>
        <v>7.6428355657694041E-2</v>
      </c>
      <c r="S42">
        <f>R42/SQRT(4)</f>
        <v>3.8214177828847021E-2</v>
      </c>
    </row>
    <row r="43" spans="2:19">
      <c r="B43" s="1">
        <v>2</v>
      </c>
      <c r="C43" s="1" t="s">
        <v>24</v>
      </c>
      <c r="D43" s="98" t="s">
        <v>18</v>
      </c>
      <c r="E43">
        <v>25.871692657470703</v>
      </c>
      <c r="H43">
        <v>31.642547607421875</v>
      </c>
      <c r="J43">
        <f t="shared" si="0"/>
        <v>5.7708549499511719</v>
      </c>
      <c r="L43">
        <f t="shared" si="1"/>
        <v>1.8314689467637268E-2</v>
      </c>
    </row>
    <row r="44" spans="2:19">
      <c r="B44" s="1">
        <v>3</v>
      </c>
      <c r="C44" s="1" t="s">
        <v>24</v>
      </c>
      <c r="D44" s="98" t="s">
        <v>18</v>
      </c>
      <c r="E44">
        <v>26.994087219238281</v>
      </c>
      <c r="H44">
        <v>32.248291015625</v>
      </c>
      <c r="J44">
        <f t="shared" si="0"/>
        <v>5.2542037963867188</v>
      </c>
      <c r="L44">
        <f t="shared" si="1"/>
        <v>2.6201554247450541E-2</v>
      </c>
    </row>
    <row r="45" spans="2:19">
      <c r="B45" s="1">
        <v>4</v>
      </c>
      <c r="C45" s="1" t="s">
        <v>24</v>
      </c>
      <c r="D45" s="98" t="s">
        <v>18</v>
      </c>
      <c r="E45">
        <v>26.527511596679688</v>
      </c>
      <c r="H45">
        <v>31.763370513916016</v>
      </c>
      <c r="J45">
        <f t="shared" si="0"/>
        <v>5.2358589172363281</v>
      </c>
      <c r="L45">
        <f t="shared" si="1"/>
        <v>2.6536852643118215E-2</v>
      </c>
    </row>
    <row r="46" spans="2:19">
      <c r="B46" s="1"/>
      <c r="C46" s="1"/>
      <c r="D46" s="1"/>
    </row>
    <row r="47" spans="2:19">
      <c r="B47" s="1"/>
      <c r="C47" s="1"/>
      <c r="D47" s="1"/>
    </row>
    <row r="48" spans="2:19">
      <c r="B48" s="1">
        <v>1</v>
      </c>
      <c r="C48" s="1" t="s">
        <v>25</v>
      </c>
      <c r="D48" s="98" t="s">
        <v>18</v>
      </c>
      <c r="E48">
        <v>21.735343933105469</v>
      </c>
      <c r="H48">
        <v>30.316385269165039</v>
      </c>
      <c r="J48">
        <f t="shared" si="0"/>
        <v>8.5810413360595703</v>
      </c>
      <c r="L48">
        <f t="shared" si="1"/>
        <v>2.611254273928971E-3</v>
      </c>
      <c r="M48">
        <f t="shared" si="2"/>
        <v>4.0012900212254053E-3</v>
      </c>
      <c r="R48">
        <f>STDEVA(L48:L51)</f>
        <v>1.8330857608644176E-3</v>
      </c>
      <c r="S48">
        <f>R48/SQRT(4)</f>
        <v>9.1654288043220881E-4</v>
      </c>
    </row>
    <row r="49" spans="2:19">
      <c r="B49" s="1">
        <v>2</v>
      </c>
      <c r="C49" s="1" t="s">
        <v>25</v>
      </c>
      <c r="D49" s="98" t="s">
        <v>18</v>
      </c>
      <c r="E49">
        <v>22.005672454833984</v>
      </c>
      <c r="H49">
        <v>30.522554397583008</v>
      </c>
      <c r="J49">
        <f t="shared" si="0"/>
        <v>8.5168819427490234</v>
      </c>
      <c r="L49">
        <f t="shared" si="1"/>
        <v>2.7300026317400349E-3</v>
      </c>
    </row>
    <row r="50" spans="2:19">
      <c r="B50" s="1">
        <v>3</v>
      </c>
      <c r="C50" s="1" t="s">
        <v>25</v>
      </c>
      <c r="D50" s="98" t="s">
        <v>18</v>
      </c>
      <c r="E50">
        <v>22.108814239501953</v>
      </c>
      <c r="H50">
        <v>30.035789489746094</v>
      </c>
      <c r="J50">
        <f t="shared" si="0"/>
        <v>7.9269752502441406</v>
      </c>
      <c r="L50">
        <f t="shared" si="1"/>
        <v>4.1090618162842856E-3</v>
      </c>
    </row>
    <row r="51" spans="2:19">
      <c r="B51" s="1">
        <v>4</v>
      </c>
      <c r="C51" s="1" t="s">
        <v>25</v>
      </c>
      <c r="D51" s="98" t="s">
        <v>18</v>
      </c>
      <c r="E51">
        <v>22.926647186279297</v>
      </c>
      <c r="H51">
        <v>30.17987060546875</v>
      </c>
      <c r="J51">
        <f t="shared" si="0"/>
        <v>7.2532234191894531</v>
      </c>
      <c r="L51">
        <f t="shared" si="1"/>
        <v>6.554841362948329E-3</v>
      </c>
    </row>
    <row r="52" spans="2:19">
      <c r="B52" s="1"/>
      <c r="C52" s="1"/>
      <c r="D52" s="1"/>
    </row>
    <row r="53" spans="2:19">
      <c r="B53" s="1"/>
      <c r="C53" s="1"/>
      <c r="D53" s="1"/>
    </row>
    <row r="54" spans="2:19">
      <c r="B54" s="1">
        <v>1</v>
      </c>
      <c r="C54" s="1" t="s">
        <v>26</v>
      </c>
      <c r="D54" s="98" t="s">
        <v>18</v>
      </c>
      <c r="E54">
        <v>24.501602172851563</v>
      </c>
      <c r="H54">
        <v>31.582042694091797</v>
      </c>
      <c r="J54">
        <f t="shared" si="0"/>
        <v>7.0804405212402344</v>
      </c>
      <c r="L54">
        <f t="shared" si="1"/>
        <v>7.3888188738569028E-3</v>
      </c>
      <c r="M54">
        <f t="shared" si="2"/>
        <v>1.0603451284938028E-2</v>
      </c>
      <c r="R54">
        <f>STDEVA(L54:L57)</f>
        <v>4.1784557403839392E-3</v>
      </c>
      <c r="S54">
        <f>R54/SQRT(4)</f>
        <v>2.0892278701919696E-3</v>
      </c>
    </row>
    <row r="55" spans="2:19">
      <c r="B55" s="1">
        <v>2</v>
      </c>
      <c r="C55" s="1" t="s">
        <v>26</v>
      </c>
      <c r="D55" s="98" t="s">
        <v>18</v>
      </c>
      <c r="E55">
        <v>25.125616073608398</v>
      </c>
      <c r="H55">
        <v>31.481914520263672</v>
      </c>
      <c r="J55">
        <f t="shared" si="0"/>
        <v>6.3562984466552734</v>
      </c>
      <c r="L55">
        <f t="shared" si="1"/>
        <v>1.220572289964268E-2</v>
      </c>
    </row>
    <row r="56" spans="2:19">
      <c r="B56" s="1">
        <v>3</v>
      </c>
      <c r="C56" s="1" t="s">
        <v>26</v>
      </c>
      <c r="D56" s="98" t="s">
        <v>18</v>
      </c>
      <c r="E56">
        <v>24.791358947753906</v>
      </c>
      <c r="H56">
        <v>31.941452026367188</v>
      </c>
      <c r="J56">
        <f t="shared" si="0"/>
        <v>7.1500930786132813</v>
      </c>
      <c r="L56">
        <f t="shared" si="1"/>
        <v>7.0405649871066681E-3</v>
      </c>
    </row>
    <row r="57" spans="2:19">
      <c r="B57" s="1">
        <v>4</v>
      </c>
      <c r="C57" s="1" t="s">
        <v>26</v>
      </c>
      <c r="D57" s="98" t="s">
        <v>18</v>
      </c>
      <c r="E57">
        <v>24.316732406616211</v>
      </c>
      <c r="H57">
        <v>30.302610397338867</v>
      </c>
      <c r="J57">
        <f t="shared" si="0"/>
        <v>5.9858779907226563</v>
      </c>
      <c r="L57">
        <f t="shared" si="1"/>
        <v>1.5778698379145858E-2</v>
      </c>
    </row>
    <row r="58" spans="2:19">
      <c r="B58" s="1"/>
      <c r="C58" s="1"/>
      <c r="D58" s="1"/>
    </row>
    <row r="59" spans="2:19">
      <c r="B59" s="1"/>
      <c r="C59" s="1"/>
      <c r="D59" s="1"/>
    </row>
    <row r="60" spans="2:19">
      <c r="B60" s="1"/>
      <c r="C60" s="1"/>
      <c r="D60" s="1"/>
    </row>
    <row r="61" spans="2:19">
      <c r="B61" s="1">
        <v>1</v>
      </c>
      <c r="C61" s="1" t="s">
        <v>27</v>
      </c>
      <c r="D61" s="98" t="s">
        <v>18</v>
      </c>
      <c r="E61">
        <v>23.253204345703125</v>
      </c>
      <c r="H61">
        <v>30.488960266113281</v>
      </c>
      <c r="J61">
        <f t="shared" si="0"/>
        <v>7.2357559204101563</v>
      </c>
      <c r="L61">
        <f t="shared" si="1"/>
        <v>6.6346868071650265E-3</v>
      </c>
      <c r="M61">
        <f>AVERAGE(L61:L64)</f>
        <v>4.6199980252072167E-3</v>
      </c>
      <c r="R61">
        <f>STDEVA(L61:L64)</f>
        <v>2.4061204344150502E-3</v>
      </c>
      <c r="S61">
        <f>R61/SQRT(4)</f>
        <v>1.2030602172075251E-3</v>
      </c>
    </row>
    <row r="62" spans="2:19">
      <c r="B62" s="1">
        <v>2</v>
      </c>
      <c r="C62" s="1" t="s">
        <v>27</v>
      </c>
      <c r="D62" s="98" t="s">
        <v>18</v>
      </c>
      <c r="E62">
        <v>22.160713195800781</v>
      </c>
      <c r="H62">
        <v>31.353412628173828</v>
      </c>
      <c r="J62">
        <f t="shared" si="0"/>
        <v>9.1926994323730469</v>
      </c>
      <c r="L62">
        <f t="shared" si="1"/>
        <v>1.7089199891663874E-3</v>
      </c>
    </row>
    <row r="63" spans="2:19">
      <c r="B63" s="1">
        <v>3</v>
      </c>
      <c r="C63" s="1" t="s">
        <v>27</v>
      </c>
      <c r="D63" s="98" t="s">
        <v>18</v>
      </c>
      <c r="E63">
        <v>23.125473022460938</v>
      </c>
      <c r="H63">
        <v>30.378219604492188</v>
      </c>
      <c r="J63">
        <f t="shared" si="0"/>
        <v>7.25274658203125</v>
      </c>
      <c r="L63">
        <f t="shared" si="1"/>
        <v>6.5570082162534305E-3</v>
      </c>
    </row>
    <row r="64" spans="2:19">
      <c r="B64" s="1">
        <v>4</v>
      </c>
      <c r="C64" s="1" t="s">
        <v>27</v>
      </c>
      <c r="D64" s="98" t="s">
        <v>18</v>
      </c>
      <c r="E64">
        <v>22.709011077880859</v>
      </c>
      <c r="H64">
        <v>30.835086822509766</v>
      </c>
      <c r="J64">
        <f t="shared" si="0"/>
        <v>8.1260757446289063</v>
      </c>
      <c r="L64">
        <f t="shared" si="1"/>
        <v>3.5793770882440205E-3</v>
      </c>
    </row>
    <row r="65" spans="2:19">
      <c r="B65" s="1"/>
      <c r="C65" s="1"/>
      <c r="D65" s="1"/>
    </row>
    <row r="66" spans="2:19">
      <c r="B66" s="1"/>
      <c r="C66" s="1"/>
      <c r="D66" s="1"/>
    </row>
    <row r="67" spans="2:19">
      <c r="B67" s="1">
        <v>1</v>
      </c>
      <c r="C67" s="1" t="s">
        <v>28</v>
      </c>
      <c r="D67" s="98" t="s">
        <v>18</v>
      </c>
      <c r="E67">
        <v>23.28251838684082</v>
      </c>
      <c r="H67">
        <v>32.586662292480469</v>
      </c>
      <c r="J67">
        <f t="shared" si="0"/>
        <v>9.3041439056396484</v>
      </c>
      <c r="L67">
        <f t="shared" si="1"/>
        <v>1.5818802375125859E-3</v>
      </c>
      <c r="M67">
        <f t="shared" si="2"/>
        <v>3.468043139653762E-2</v>
      </c>
      <c r="R67">
        <f>STDEVA(L67:L70)</f>
        <v>6.6620106738212961E-2</v>
      </c>
      <c r="S67">
        <f>R67/SQRT(4)</f>
        <v>3.3310053369106481E-2</v>
      </c>
    </row>
    <row r="68" spans="2:19">
      <c r="B68" s="1">
        <v>2</v>
      </c>
      <c r="C68" s="1" t="s">
        <v>28</v>
      </c>
      <c r="D68" s="98" t="s">
        <v>18</v>
      </c>
      <c r="E68">
        <v>22.245998382568359</v>
      </c>
      <c r="H68">
        <v>31.853593826293945</v>
      </c>
      <c r="J68">
        <f t="shared" si="0"/>
        <v>9.6075954437255859</v>
      </c>
      <c r="L68">
        <f t="shared" si="1"/>
        <v>1.2818156958847378E-3</v>
      </c>
    </row>
    <row r="69" spans="2:19">
      <c r="B69" s="1">
        <v>3</v>
      </c>
      <c r="C69" s="1" t="s">
        <v>28</v>
      </c>
      <c r="D69" s="98" t="s">
        <v>18</v>
      </c>
      <c r="E69">
        <v>22.451999664306641</v>
      </c>
      <c r="H69">
        <v>25.345138549804688</v>
      </c>
      <c r="J69">
        <f t="shared" si="0"/>
        <v>2.8931388854980469</v>
      </c>
      <c r="L69">
        <f t="shared" si="1"/>
        <v>0.13461033772006339</v>
      </c>
    </row>
    <row r="70" spans="2:19">
      <c r="B70" s="1">
        <v>4</v>
      </c>
      <c r="C70" s="1" t="s">
        <v>28</v>
      </c>
      <c r="D70" s="98" t="s">
        <v>18</v>
      </c>
      <c r="E70">
        <v>22.431331634521484</v>
      </c>
      <c r="H70">
        <v>32.077854156494141</v>
      </c>
      <c r="J70">
        <f t="shared" si="0"/>
        <v>9.6465225219726563</v>
      </c>
      <c r="L70">
        <f t="shared" si="1"/>
        <v>1.2476919326897657E-3</v>
      </c>
    </row>
    <row r="71" spans="2:19">
      <c r="B71" s="1"/>
      <c r="C71" s="1"/>
      <c r="D71" s="1"/>
    </row>
    <row r="72" spans="2:19">
      <c r="B72" s="1"/>
      <c r="C72" s="1"/>
      <c r="D72" s="1"/>
    </row>
    <row r="73" spans="2:19">
      <c r="B73" s="1">
        <v>1</v>
      </c>
      <c r="C73" s="1" t="s">
        <v>29</v>
      </c>
      <c r="D73" s="98" t="s">
        <v>18</v>
      </c>
      <c r="E73">
        <v>23.548835754394531</v>
      </c>
      <c r="H73">
        <v>31.649408340454102</v>
      </c>
      <c r="J73">
        <f t="shared" ref="J73:J101" si="3">H73-E73</f>
        <v>8.1005725860595703</v>
      </c>
      <c r="L73">
        <f t="shared" ref="L73:L101" si="4">2^(-J73)</f>
        <v>3.6432138941217343E-3</v>
      </c>
      <c r="M73">
        <f t="shared" ref="M73:M91" si="5">AVERAGE(L73:L76)</f>
        <v>4.6674327106938545E-3</v>
      </c>
      <c r="R73">
        <f>STDEVA(L73:L76)</f>
        <v>3.0735664503859519E-3</v>
      </c>
      <c r="S73">
        <f>R73/SQRT(4)</f>
        <v>1.5367832251929759E-3</v>
      </c>
    </row>
    <row r="74" spans="2:19">
      <c r="B74" s="1">
        <v>2</v>
      </c>
      <c r="C74" s="1" t="s">
        <v>29</v>
      </c>
      <c r="D74" s="98" t="s">
        <v>18</v>
      </c>
      <c r="E74">
        <v>23.367719650268555</v>
      </c>
      <c r="H74">
        <v>30.153793334960938</v>
      </c>
      <c r="J74">
        <f t="shared" si="3"/>
        <v>6.7860736846923828</v>
      </c>
      <c r="L74">
        <f t="shared" si="4"/>
        <v>9.0612532415053071E-3</v>
      </c>
    </row>
    <row r="75" spans="2:19">
      <c r="B75" s="1">
        <v>3</v>
      </c>
      <c r="C75" s="1" t="s">
        <v>29</v>
      </c>
      <c r="D75" s="98" t="s">
        <v>18</v>
      </c>
      <c r="E75">
        <v>23.540271759033203</v>
      </c>
      <c r="H75">
        <v>32.573814392089844</v>
      </c>
      <c r="J75">
        <f t="shared" si="3"/>
        <v>9.0335426330566406</v>
      </c>
      <c r="L75">
        <f t="shared" si="4"/>
        <v>1.908238704556722E-3</v>
      </c>
    </row>
    <row r="76" spans="2:19">
      <c r="B76" s="1">
        <v>4</v>
      </c>
      <c r="C76" s="1" t="s">
        <v>29</v>
      </c>
      <c r="D76" s="98" t="s">
        <v>18</v>
      </c>
      <c r="E76">
        <v>23.911224365234375</v>
      </c>
      <c r="H76">
        <v>31.856586456298828</v>
      </c>
      <c r="J76">
        <f t="shared" si="3"/>
        <v>7.9453620910644531</v>
      </c>
      <c r="L76">
        <f t="shared" si="4"/>
        <v>4.0570250025916558E-3</v>
      </c>
    </row>
    <row r="77" spans="2:19">
      <c r="B77" s="1"/>
      <c r="C77" s="1"/>
      <c r="D77" s="1"/>
    </row>
    <row r="78" spans="2:19">
      <c r="B78" s="1"/>
      <c r="C78" s="1"/>
      <c r="D78" s="1"/>
    </row>
    <row r="79" spans="2:19">
      <c r="B79" s="1">
        <v>1</v>
      </c>
      <c r="C79" s="1" t="s">
        <v>30</v>
      </c>
      <c r="D79" s="98" t="s">
        <v>18</v>
      </c>
      <c r="E79">
        <v>25.037803649902344</v>
      </c>
      <c r="H79">
        <v>33.297500610351563</v>
      </c>
      <c r="J79">
        <f t="shared" si="3"/>
        <v>8.2596969604492188</v>
      </c>
      <c r="L79">
        <f t="shared" si="4"/>
        <v>3.262747456692949E-3</v>
      </c>
      <c r="M79">
        <f t="shared" si="5"/>
        <v>4.7926031569431767E-3</v>
      </c>
      <c r="R79">
        <f>STDEVA(L79:L82)</f>
        <v>1.5457466750566438E-3</v>
      </c>
      <c r="S79">
        <f>R79/SQRT(4)</f>
        <v>7.728733375283219E-4</v>
      </c>
    </row>
    <row r="80" spans="2:19">
      <c r="B80" s="1">
        <v>2</v>
      </c>
      <c r="C80" s="1" t="s">
        <v>30</v>
      </c>
      <c r="D80" s="98" t="s">
        <v>18</v>
      </c>
      <c r="E80">
        <v>24.53192138671875</v>
      </c>
      <c r="H80">
        <v>32.6258544921875</v>
      </c>
      <c r="J80">
        <f t="shared" si="3"/>
        <v>8.09393310546875</v>
      </c>
      <c r="L80">
        <f t="shared" si="4"/>
        <v>3.6600191047828313E-3</v>
      </c>
    </row>
    <row r="81" spans="2:19">
      <c r="B81" s="1">
        <v>3</v>
      </c>
      <c r="C81" s="1" t="s">
        <v>30</v>
      </c>
      <c r="D81" s="98" t="s">
        <v>18</v>
      </c>
      <c r="E81">
        <v>25.420696258544922</v>
      </c>
      <c r="H81">
        <v>32.768325805664063</v>
      </c>
      <c r="J81">
        <f t="shared" si="3"/>
        <v>7.3476295471191406</v>
      </c>
      <c r="L81">
        <f t="shared" si="4"/>
        <v>6.1396428615594634E-3</v>
      </c>
    </row>
    <row r="82" spans="2:19">
      <c r="B82" s="1">
        <v>4</v>
      </c>
      <c r="C82" s="1" t="s">
        <v>30</v>
      </c>
      <c r="D82" s="98" t="s">
        <v>18</v>
      </c>
      <c r="E82">
        <v>25.871074676513672</v>
      </c>
      <c r="H82">
        <v>33.226158142089844</v>
      </c>
      <c r="J82">
        <f t="shared" si="3"/>
        <v>7.3550834655761719</v>
      </c>
      <c r="L82">
        <f t="shared" si="4"/>
        <v>6.1080032047374638E-3</v>
      </c>
    </row>
    <row r="83" spans="2:19">
      <c r="B83" s="1"/>
      <c r="C83" s="1"/>
      <c r="D83" s="1"/>
    </row>
    <row r="84" spans="2:19">
      <c r="B84" s="1"/>
      <c r="C84" s="1"/>
      <c r="D84" s="1"/>
    </row>
    <row r="85" spans="2:19">
      <c r="B85" s="1">
        <v>1</v>
      </c>
      <c r="C85" s="1" t="s">
        <v>31</v>
      </c>
      <c r="D85" s="98" t="s">
        <v>18</v>
      </c>
      <c r="E85">
        <v>24.274656295776367</v>
      </c>
      <c r="H85">
        <v>32.472381591796875</v>
      </c>
      <c r="J85">
        <f t="shared" si="3"/>
        <v>8.1977252960205078</v>
      </c>
      <c r="L85">
        <f t="shared" si="4"/>
        <v>3.4059540901544964E-3</v>
      </c>
      <c r="M85">
        <f t="shared" si="5"/>
        <v>3.709789026514693E-3</v>
      </c>
      <c r="R85">
        <f>STDEVA(L85:L88)</f>
        <v>1.5334762309620594E-3</v>
      </c>
      <c r="S85">
        <f>R85/SQRT(4)</f>
        <v>7.6673811548102968E-4</v>
      </c>
    </row>
    <row r="86" spans="2:19">
      <c r="B86" s="1">
        <v>2</v>
      </c>
      <c r="C86" s="1" t="s">
        <v>31</v>
      </c>
      <c r="D86" s="98" t="s">
        <v>18</v>
      </c>
      <c r="E86">
        <v>23.532436370849609</v>
      </c>
      <c r="H86">
        <v>30.937435150146484</v>
      </c>
      <c r="J86">
        <f t="shared" si="3"/>
        <v>7.404998779296875</v>
      </c>
      <c r="L86">
        <f t="shared" si="4"/>
        <v>5.9002885297456953E-3</v>
      </c>
    </row>
    <row r="87" spans="2:19">
      <c r="B87" s="1">
        <v>3</v>
      </c>
      <c r="C87" s="1" t="s">
        <v>31</v>
      </c>
      <c r="D87" s="98" t="s">
        <v>18</v>
      </c>
      <c r="E87">
        <v>23.370040893554688</v>
      </c>
      <c r="H87">
        <v>32.116664886474609</v>
      </c>
      <c r="J87">
        <f t="shared" si="3"/>
        <v>8.7466239929199219</v>
      </c>
      <c r="L87">
        <f t="shared" si="4"/>
        <v>2.3281117210785626E-3</v>
      </c>
    </row>
    <row r="88" spans="2:19">
      <c r="B88" s="1">
        <v>4</v>
      </c>
      <c r="C88" s="1" t="s">
        <v>31</v>
      </c>
      <c r="D88" s="98" t="s">
        <v>18</v>
      </c>
      <c r="E88">
        <v>24.134777069091797</v>
      </c>
      <c r="H88">
        <v>32.420326232910156</v>
      </c>
      <c r="J88">
        <f t="shared" si="3"/>
        <v>8.2855491638183594</v>
      </c>
      <c r="L88">
        <f t="shared" si="4"/>
        <v>3.204801765080019E-3</v>
      </c>
    </row>
    <row r="89" spans="2:19">
      <c r="B89" s="1"/>
      <c r="C89" s="1"/>
      <c r="D89" s="1"/>
    </row>
    <row r="90" spans="2:19">
      <c r="B90" s="1"/>
      <c r="C90" s="1"/>
      <c r="D90" s="1"/>
    </row>
    <row r="91" spans="2:19">
      <c r="B91" s="1">
        <v>1</v>
      </c>
      <c r="C91" s="1" t="s">
        <v>32</v>
      </c>
      <c r="D91" s="98" t="s">
        <v>18</v>
      </c>
      <c r="E91">
        <v>25.455051422119141</v>
      </c>
      <c r="H91">
        <v>32.37060546875</v>
      </c>
      <c r="J91">
        <f t="shared" si="3"/>
        <v>6.9155540466308594</v>
      </c>
      <c r="L91">
        <f t="shared" si="4"/>
        <v>8.2834412300481757E-3</v>
      </c>
      <c r="M91">
        <f t="shared" si="5"/>
        <v>1.8351302147966139E-2</v>
      </c>
      <c r="R91">
        <f>STDEVA(L91:L94)</f>
        <v>1.5366291130327895E-2</v>
      </c>
      <c r="S91">
        <f>R91/SQRT(4)</f>
        <v>7.6831455651639475E-3</v>
      </c>
    </row>
    <row r="92" spans="2:19">
      <c r="B92" s="1">
        <v>2</v>
      </c>
      <c r="C92" s="1" t="s">
        <v>32</v>
      </c>
      <c r="D92" s="98" t="s">
        <v>18</v>
      </c>
      <c r="E92">
        <v>23.384017944335938</v>
      </c>
      <c r="H92">
        <v>28.030040740966797</v>
      </c>
      <c r="J92">
        <f t="shared" si="3"/>
        <v>4.6460227966308594</v>
      </c>
      <c r="L92">
        <f t="shared" si="4"/>
        <v>3.993997398678914E-2</v>
      </c>
    </row>
    <row r="93" spans="2:19">
      <c r="B93" s="1">
        <v>3</v>
      </c>
      <c r="C93" s="1" t="s">
        <v>32</v>
      </c>
      <c r="D93" s="98" t="s">
        <v>18</v>
      </c>
      <c r="E93">
        <v>27.620828628540039</v>
      </c>
      <c r="H93">
        <v>33.361869812011719</v>
      </c>
      <c r="J93">
        <f t="shared" si="3"/>
        <v>5.7410411834716797</v>
      </c>
      <c r="L93">
        <f t="shared" si="4"/>
        <v>1.869710631138953E-2</v>
      </c>
    </row>
    <row r="94" spans="2:19">
      <c r="B94" s="1">
        <v>4</v>
      </c>
      <c r="C94" s="1" t="s">
        <v>32</v>
      </c>
      <c r="D94" s="98" t="s">
        <v>18</v>
      </c>
      <c r="E94">
        <v>23.79234504699707</v>
      </c>
      <c r="H94">
        <v>31.061092376708984</v>
      </c>
      <c r="J94">
        <f t="shared" si="3"/>
        <v>7.2687473297119141</v>
      </c>
      <c r="L94">
        <f t="shared" si="4"/>
        <v>6.484687063637716E-3</v>
      </c>
    </row>
    <row r="95" spans="2:19">
      <c r="B95" s="1"/>
      <c r="C95" s="1"/>
      <c r="D95" s="98"/>
    </row>
    <row r="96" spans="2:19">
      <c r="B96" s="1"/>
      <c r="C96" s="1"/>
      <c r="D96" s="1"/>
    </row>
    <row r="97" spans="2:19">
      <c r="B97" s="1"/>
      <c r="C97" s="1"/>
      <c r="D97" s="1"/>
    </row>
    <row r="98" spans="2:19">
      <c r="B98" s="1">
        <v>1</v>
      </c>
      <c r="C98" s="1" t="s">
        <v>33</v>
      </c>
      <c r="D98" s="98" t="s">
        <v>18</v>
      </c>
      <c r="E98">
        <v>21.927757263183594</v>
      </c>
      <c r="H98">
        <v>28.633831024169922</v>
      </c>
      <c r="J98">
        <f t="shared" si="3"/>
        <v>6.7060737609863281</v>
      </c>
      <c r="L98">
        <f t="shared" si="4"/>
        <v>9.5779076398585326E-3</v>
      </c>
      <c r="M98">
        <f>AVERAGE(L98:L101)</f>
        <v>7.5793775675065097E-3</v>
      </c>
      <c r="R98">
        <f>STDEVA(L98:L101)</f>
        <v>3.9557244370109915E-3</v>
      </c>
      <c r="S98">
        <f>R98/SQRT(4)</f>
        <v>1.9778622185054958E-3</v>
      </c>
    </row>
    <row r="99" spans="2:19">
      <c r="B99" s="1">
        <v>2</v>
      </c>
      <c r="C99" s="1" t="s">
        <v>33</v>
      </c>
      <c r="D99" s="98" t="s">
        <v>18</v>
      </c>
      <c r="E99">
        <v>23.917150497436523</v>
      </c>
      <c r="H99">
        <v>30.280359268188477</v>
      </c>
      <c r="J99">
        <f t="shared" si="3"/>
        <v>6.3632087707519531</v>
      </c>
      <c r="L99">
        <f t="shared" si="4"/>
        <v>1.2147398847255539E-2</v>
      </c>
    </row>
    <row r="100" spans="2:19">
      <c r="B100" s="1">
        <v>3</v>
      </c>
      <c r="C100" s="1" t="s">
        <v>33</v>
      </c>
      <c r="D100" s="98" t="s">
        <v>18</v>
      </c>
      <c r="E100">
        <v>21.656503677368164</v>
      </c>
      <c r="H100">
        <v>29.702009201049805</v>
      </c>
      <c r="J100">
        <f t="shared" si="3"/>
        <v>8.0455055236816406</v>
      </c>
      <c r="L100">
        <f t="shared" si="4"/>
        <v>3.7849618556182584E-3</v>
      </c>
    </row>
    <row r="101" spans="2:19">
      <c r="B101" s="1">
        <v>4</v>
      </c>
      <c r="C101" s="1" t="s">
        <v>33</v>
      </c>
      <c r="D101" s="98" t="s">
        <v>18</v>
      </c>
      <c r="E101">
        <v>22.371358871459961</v>
      </c>
      <c r="H101">
        <v>30.071933746337891</v>
      </c>
      <c r="J101">
        <f t="shared" si="3"/>
        <v>7.7005748748779297</v>
      </c>
      <c r="L101">
        <f t="shared" si="4"/>
        <v>4.8072419272937065E-3</v>
      </c>
    </row>
    <row r="102" spans="2:19">
      <c r="B102" s="1"/>
      <c r="C102" s="1"/>
      <c r="D102" s="1"/>
    </row>
    <row r="103" spans="2:19">
      <c r="B103" s="1"/>
      <c r="C103" s="1"/>
      <c r="D103" s="1"/>
    </row>
    <row r="104" spans="2:19">
      <c r="B104" s="1"/>
      <c r="C104" s="1"/>
      <c r="D104" s="1"/>
    </row>
    <row r="105" spans="2:19">
      <c r="B105" s="1"/>
      <c r="C105" s="1"/>
      <c r="D105" s="1"/>
    </row>
    <row r="106" spans="2:19">
      <c r="B106" s="1"/>
      <c r="C106" s="1"/>
      <c r="D106" s="1"/>
    </row>
    <row r="107" spans="2:19">
      <c r="B107" s="1"/>
      <c r="C107" s="1"/>
      <c r="D107" s="1"/>
    </row>
    <row r="108" spans="2:19">
      <c r="B108" s="1"/>
      <c r="C108" s="1"/>
      <c r="D108" s="1"/>
    </row>
    <row r="109" spans="2:19">
      <c r="B109" s="1"/>
      <c r="C109" s="1"/>
      <c r="D109" s="1"/>
    </row>
    <row r="110" spans="2:19">
      <c r="B110" s="1"/>
      <c r="C110" s="1"/>
      <c r="D110" s="1"/>
    </row>
    <row r="111" spans="2:19">
      <c r="B111" s="1"/>
      <c r="C111" s="1"/>
      <c r="D111" s="1"/>
    </row>
    <row r="112" spans="2:19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  <row r="141" spans="2:4">
      <c r="B141" s="1"/>
      <c r="C141" s="1"/>
      <c r="D141" s="1"/>
    </row>
    <row r="142" spans="2:4">
      <c r="B142" s="1"/>
      <c r="C142" s="1"/>
      <c r="D142" s="1"/>
    </row>
    <row r="143" spans="2:4">
      <c r="B143" s="1"/>
      <c r="C143" s="1"/>
      <c r="D143" s="1"/>
    </row>
    <row r="144" spans="2:4">
      <c r="B144" s="1"/>
      <c r="C144" s="1"/>
      <c r="D144" s="1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2EEB8-5356-4C8E-BBB8-F322A87E4EE3}">
  <dimension ref="A1:BG177"/>
  <sheetViews>
    <sheetView zoomScale="70" zoomScaleNormal="70" workbookViewId="0">
      <selection activeCell="O1" sqref="O1:O1048576"/>
    </sheetView>
  </sheetViews>
  <sheetFormatPr defaultRowHeight="14.45"/>
  <cols>
    <col min="2" max="2" width="28.42578125" customWidth="1"/>
    <col min="3" max="3" width="36.7109375" customWidth="1"/>
    <col min="4" max="4" width="28" customWidth="1"/>
    <col min="7" max="7" width="16.85546875" customWidth="1"/>
    <col min="11" max="11" width="12.5703125" customWidth="1"/>
    <col min="12" max="12" width="15.28515625" customWidth="1"/>
    <col min="13" max="13" width="21.28515625" customWidth="1"/>
    <col min="18" max="18" width="14.28515625" customWidth="1"/>
    <col min="19" max="19" width="14.85546875" customWidth="1"/>
  </cols>
  <sheetData>
    <row r="1" spans="1:59" ht="1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21.6" thickBot="1">
      <c r="A2" s="1"/>
      <c r="B2" s="1"/>
      <c r="C2" s="96" t="s">
        <v>35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8">
      <c r="A3" s="1"/>
      <c r="B3" s="97" t="s">
        <v>7</v>
      </c>
      <c r="C3" s="97" t="s">
        <v>8</v>
      </c>
      <c r="D3" s="97" t="s">
        <v>9</v>
      </c>
      <c r="E3" s="97" t="s">
        <v>10</v>
      </c>
      <c r="F3" s="97"/>
      <c r="G3" s="97" t="s">
        <v>11</v>
      </c>
      <c r="H3" s="97" t="s">
        <v>10</v>
      </c>
      <c r="I3" s="97"/>
      <c r="J3" s="97" t="s">
        <v>12</v>
      </c>
      <c r="K3" s="97"/>
      <c r="L3" s="97" t="s">
        <v>13</v>
      </c>
      <c r="M3" s="97" t="s">
        <v>14</v>
      </c>
      <c r="N3" s="97"/>
      <c r="O3" s="97"/>
      <c r="P3" s="97"/>
      <c r="Q3" s="97"/>
      <c r="R3" s="97" t="s">
        <v>15</v>
      </c>
      <c r="S3" s="97" t="s">
        <v>16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>
      <c r="A4" s="1"/>
      <c r="B4" s="1">
        <v>1</v>
      </c>
      <c r="C4" s="1" t="s">
        <v>17</v>
      </c>
      <c r="D4" s="98" t="s">
        <v>18</v>
      </c>
      <c r="E4" s="1">
        <v>18.481651306152344</v>
      </c>
      <c r="F4" s="1"/>
      <c r="G4" s="1" t="s">
        <v>35</v>
      </c>
      <c r="H4" s="1">
        <v>31.311271667480469</v>
      </c>
      <c r="I4" s="1"/>
      <c r="J4" s="1">
        <f>H4-E4</f>
        <v>12.829620361328125</v>
      </c>
      <c r="K4" s="1"/>
      <c r="L4" s="1">
        <f>2^(-J4)</f>
        <v>1.3737238497244514E-4</v>
      </c>
      <c r="M4" s="1">
        <f>AVERAGE(L4:L7)</f>
        <v>1.9389186044853837E-4</v>
      </c>
      <c r="N4" s="1"/>
      <c r="O4" s="99"/>
      <c r="P4" s="1"/>
      <c r="Q4" s="1"/>
      <c r="R4" s="1">
        <f>STDEVA(L4:L7)</f>
        <v>1.6187831303915366E-4</v>
      </c>
      <c r="S4" s="1">
        <f>R4/SQRT(4)</f>
        <v>8.0939156519576832E-5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>
      <c r="A5" s="1"/>
      <c r="B5" s="1">
        <v>2</v>
      </c>
      <c r="C5" s="1" t="s">
        <v>17</v>
      </c>
      <c r="D5" s="98" t="s">
        <v>18</v>
      </c>
      <c r="E5" s="1">
        <v>13.553664207458496</v>
      </c>
      <c r="F5" s="1"/>
      <c r="G5" s="1" t="s">
        <v>35</v>
      </c>
      <c r="H5" s="1">
        <v>30.274154663085938</v>
      </c>
      <c r="I5" s="1"/>
      <c r="J5" s="1">
        <f>H5-E5</f>
        <v>16.720490455627441</v>
      </c>
      <c r="K5" s="1"/>
      <c r="L5" s="1">
        <f t="shared" ref="L5:L7" si="0">2^(-J5)</f>
        <v>9.2604231213698195E-6</v>
      </c>
      <c r="M5" s="1"/>
      <c r="N5" s="1"/>
      <c r="O5" s="99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>
      <c r="A6" s="1"/>
      <c r="B6" s="1">
        <v>3</v>
      </c>
      <c r="C6" s="1" t="s">
        <v>17</v>
      </c>
      <c r="D6" s="98" t="s">
        <v>18</v>
      </c>
      <c r="E6" s="1">
        <v>17.3095703125</v>
      </c>
      <c r="F6" s="1"/>
      <c r="G6" s="1" t="s">
        <v>35</v>
      </c>
      <c r="H6" s="1">
        <v>28.623703002929688</v>
      </c>
      <c r="I6" s="1"/>
      <c r="J6" s="1">
        <f>H6-E6</f>
        <v>11.314132690429688</v>
      </c>
      <c r="K6" s="1"/>
      <c r="L6" s="1">
        <f t="shared" si="0"/>
        <v>3.927414012162435E-4</v>
      </c>
      <c r="M6" s="1"/>
      <c r="N6" s="1"/>
      <c r="O6" s="99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>
      <c r="A7" s="1"/>
      <c r="B7" s="1">
        <v>4</v>
      </c>
      <c r="C7" s="1" t="s">
        <v>17</v>
      </c>
      <c r="D7" s="98" t="s">
        <v>18</v>
      </c>
      <c r="E7" s="1">
        <v>16.067485809326172</v>
      </c>
      <c r="F7" s="1"/>
      <c r="G7" s="1" t="s">
        <v>35</v>
      </c>
      <c r="H7" s="1">
        <v>28.115230560302734</v>
      </c>
      <c r="I7" s="1"/>
      <c r="J7" s="1">
        <f>H7-E7</f>
        <v>12.047744750976563</v>
      </c>
      <c r="K7" s="1"/>
      <c r="L7" s="1">
        <f t="shared" si="0"/>
        <v>2.3619323248409501E-4</v>
      </c>
      <c r="M7" s="1"/>
      <c r="N7" s="1"/>
      <c r="O7" s="9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9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>
      <c r="A9" s="1"/>
      <c r="B9" s="1">
        <v>1</v>
      </c>
      <c r="C9" s="1" t="s">
        <v>19</v>
      </c>
      <c r="D9" s="98" t="s">
        <v>18</v>
      </c>
      <c r="E9" s="1">
        <v>19.155948638916016</v>
      </c>
      <c r="F9" s="1"/>
      <c r="G9" s="1" t="s">
        <v>35</v>
      </c>
      <c r="H9" s="1">
        <v>27.343544006347656</v>
      </c>
      <c r="I9" s="1"/>
      <c r="J9" s="1">
        <f>H9-E9</f>
        <v>8.1875953674316406</v>
      </c>
      <c r="K9" s="1"/>
      <c r="L9" s="1">
        <f>2^(-J9)</f>
        <v>3.4299532607490369E-3</v>
      </c>
      <c r="M9" s="1">
        <f>AVERAGE(L9:L12)</f>
        <v>1.7353298095208964E-3</v>
      </c>
      <c r="N9" s="1"/>
      <c r="O9" s="99"/>
      <c r="P9" s="1"/>
      <c r="Q9" s="1"/>
      <c r="R9" s="1">
        <f>STDEVA(L9:L12)</f>
        <v>1.2453017286924314E-3</v>
      </c>
      <c r="S9" s="1">
        <f>R9/SQRT(4)</f>
        <v>6.2265086434621568E-4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>
      <c r="A10" s="1"/>
      <c r="B10" s="1">
        <v>2</v>
      </c>
      <c r="C10" s="1" t="s">
        <v>19</v>
      </c>
      <c r="D10" s="98" t="s">
        <v>18</v>
      </c>
      <c r="E10" s="1">
        <v>17.554378509521484</v>
      </c>
      <c r="F10" s="1"/>
      <c r="G10" s="1" t="s">
        <v>35</v>
      </c>
      <c r="H10" s="1">
        <v>26.907691955566406</v>
      </c>
      <c r="I10" s="1"/>
      <c r="J10" s="1">
        <f>H10-E10</f>
        <v>9.3533134460449219</v>
      </c>
      <c r="K10" s="1"/>
      <c r="L10" s="1">
        <f t="shared" ref="L10:L12" si="1">2^(-J10)</f>
        <v>1.5288754038329422E-3</v>
      </c>
      <c r="M10" s="1"/>
      <c r="N10" s="1"/>
      <c r="O10" s="9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>
      <c r="A11" s="1"/>
      <c r="B11" s="1">
        <v>3</v>
      </c>
      <c r="C11" s="1" t="s">
        <v>19</v>
      </c>
      <c r="D11" s="98" t="s">
        <v>18</v>
      </c>
      <c r="E11" s="1">
        <v>17.719104766845703</v>
      </c>
      <c r="F11" s="1"/>
      <c r="G11" s="1" t="s">
        <v>35</v>
      </c>
      <c r="H11" s="1">
        <v>27.050039291381836</v>
      </c>
      <c r="I11" s="1"/>
      <c r="J11" s="1">
        <f>H11-E11</f>
        <v>9.3309345245361328</v>
      </c>
      <c r="K11" s="1"/>
      <c r="L11" s="1">
        <f t="shared" si="1"/>
        <v>1.5527760380551012E-3</v>
      </c>
      <c r="M11" s="1"/>
      <c r="N11" s="1"/>
      <c r="O11" s="9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>
      <c r="A12" s="1"/>
      <c r="B12" s="1">
        <v>4</v>
      </c>
      <c r="C12" s="1" t="s">
        <v>19</v>
      </c>
      <c r="D12" s="98" t="s">
        <v>18</v>
      </c>
      <c r="E12" s="1">
        <v>16.640602111816406</v>
      </c>
      <c r="F12" s="1"/>
      <c r="G12" s="1" t="s">
        <v>35</v>
      </c>
      <c r="H12" s="1">
        <v>27.824935913085938</v>
      </c>
      <c r="I12" s="1"/>
      <c r="J12" s="1">
        <f>H12-E12</f>
        <v>11.184333801269531</v>
      </c>
      <c r="K12" s="1"/>
      <c r="L12" s="1">
        <f t="shared" si="1"/>
        <v>4.2971453544650494E-4</v>
      </c>
      <c r="M12" s="1"/>
      <c r="N12" s="1"/>
      <c r="O12" s="99"/>
      <c r="P12" s="1"/>
      <c r="Q12" s="1"/>
      <c r="R12" s="1"/>
      <c r="S12" s="1"/>
      <c r="T12" s="1"/>
      <c r="U12" s="1"/>
      <c r="V12" s="1"/>
      <c r="W12" s="1"/>
      <c r="X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99"/>
      <c r="P13" s="1"/>
      <c r="Q13" s="1"/>
      <c r="R13" s="1"/>
      <c r="S13" s="1"/>
      <c r="T13" s="1"/>
      <c r="U13" s="1"/>
      <c r="V13" s="1"/>
      <c r="W13" s="1"/>
      <c r="X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>
      <c r="A14" s="1"/>
      <c r="B14" s="1">
        <v>1</v>
      </c>
      <c r="C14" s="1" t="s">
        <v>20</v>
      </c>
      <c r="D14" s="98" t="s">
        <v>18</v>
      </c>
      <c r="E14" s="1">
        <v>18.324743270874023</v>
      </c>
      <c r="F14" s="1"/>
      <c r="G14" s="1" t="s">
        <v>35</v>
      </c>
      <c r="H14" s="1">
        <v>28.379486083984375</v>
      </c>
      <c r="I14" s="1"/>
      <c r="J14" s="1">
        <f>H14-E14</f>
        <v>10.054742813110352</v>
      </c>
      <c r="K14" s="1"/>
      <c r="L14" s="1">
        <f>2^(-J14)</f>
        <v>9.4020122904099038E-4</v>
      </c>
      <c r="M14" s="1">
        <f>AVERAGE(L14:L17)</f>
        <v>2.2850498415858192E-3</v>
      </c>
      <c r="N14" s="1"/>
      <c r="O14" s="99"/>
      <c r="P14" s="1"/>
      <c r="Q14" s="1"/>
      <c r="R14" s="1">
        <f>STDEVA(L14:L17)</f>
        <v>1.6552501867733631E-3</v>
      </c>
      <c r="S14" s="1">
        <f>R14/SQRT(4)</f>
        <v>8.2762509338668154E-4</v>
      </c>
      <c r="T14" s="1"/>
      <c r="U14" s="1"/>
      <c r="V14" s="1"/>
      <c r="W14" s="1"/>
      <c r="X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>
      <c r="A15" s="1"/>
      <c r="B15" s="1">
        <v>2</v>
      </c>
      <c r="C15" s="1" t="s">
        <v>20</v>
      </c>
      <c r="D15" s="98" t="s">
        <v>18</v>
      </c>
      <c r="E15" s="1">
        <v>19.694580078125</v>
      </c>
      <c r="F15" s="1"/>
      <c r="G15" s="1" t="s">
        <v>35</v>
      </c>
      <c r="H15" s="1">
        <v>27.511672973632813</v>
      </c>
      <c r="I15" s="1"/>
      <c r="J15" s="1">
        <f>H15-E15</f>
        <v>7.8170928955078125</v>
      </c>
      <c r="K15" s="1"/>
      <c r="L15" s="1">
        <f t="shared" ref="L15:L17" si="2">2^(-J15)</f>
        <v>4.4342539295549807E-3</v>
      </c>
      <c r="M15" s="1"/>
      <c r="N15" s="1"/>
      <c r="O15" s="99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>
      <c r="A16" s="1"/>
      <c r="B16" s="1">
        <v>3</v>
      </c>
      <c r="C16" s="1" t="s">
        <v>20</v>
      </c>
      <c r="D16" s="98" t="s">
        <v>18</v>
      </c>
      <c r="E16" s="1">
        <v>21.018241882324219</v>
      </c>
      <c r="F16" s="1"/>
      <c r="G16" s="1" t="s">
        <v>35</v>
      </c>
      <c r="H16" s="1">
        <v>29.529998779296875</v>
      </c>
      <c r="I16" s="1"/>
      <c r="J16" s="1">
        <f>H16-E16</f>
        <v>8.5117568969726563</v>
      </c>
      <c r="K16" s="1"/>
      <c r="L16" s="1">
        <f t="shared" si="2"/>
        <v>2.7397179694206887E-3</v>
      </c>
      <c r="M16" s="1"/>
      <c r="N16" s="1"/>
      <c r="O16" s="99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>
      <c r="A17" s="1"/>
      <c r="B17" s="1">
        <v>4</v>
      </c>
      <c r="C17" s="1" t="s">
        <v>20</v>
      </c>
      <c r="D17" s="98" t="s">
        <v>18</v>
      </c>
      <c r="E17" s="1">
        <v>19.408962249755859</v>
      </c>
      <c r="F17" s="1"/>
      <c r="G17" s="1" t="s">
        <v>35</v>
      </c>
      <c r="H17" s="1">
        <v>29.337678909301758</v>
      </c>
      <c r="I17" s="1"/>
      <c r="J17" s="1">
        <f>H17-E17</f>
        <v>9.9287166595458984</v>
      </c>
      <c r="K17" s="1"/>
      <c r="L17" s="1">
        <f t="shared" si="2"/>
        <v>1.0260262383266178E-3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99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99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99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>
      <c r="A21" s="1"/>
      <c r="B21" s="1">
        <v>1</v>
      </c>
      <c r="C21" s="1" t="s">
        <v>21</v>
      </c>
      <c r="D21" s="98" t="s">
        <v>18</v>
      </c>
      <c r="E21" s="1">
        <v>19.754344940185547</v>
      </c>
      <c r="F21" s="1"/>
      <c r="G21" s="1" t="s">
        <v>35</v>
      </c>
      <c r="H21" s="1">
        <v>26.817192077636719</v>
      </c>
      <c r="I21" s="1"/>
      <c r="J21" s="1">
        <f>H21-E21</f>
        <v>7.0628471374511719</v>
      </c>
      <c r="K21" s="1"/>
      <c r="L21" s="1">
        <f>2^(-J21)</f>
        <v>7.4794757223273448E-3</v>
      </c>
      <c r="M21" s="1">
        <f>AVERAGE(L21:L24)</f>
        <v>1.2193715691542078E-2</v>
      </c>
      <c r="N21" s="1"/>
      <c r="O21" s="99"/>
      <c r="P21" s="1"/>
      <c r="Q21" s="1"/>
      <c r="R21" s="1">
        <f>STDEVA(L21:L24)</f>
        <v>5.7539891036852428E-3</v>
      </c>
      <c r="S21" s="1">
        <f>R21/SQRT(4)</f>
        <v>2.8769945518426214E-3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>
      <c r="A22" s="1"/>
      <c r="B22" s="1">
        <v>2</v>
      </c>
      <c r="C22" s="1" t="s">
        <v>21</v>
      </c>
      <c r="D22" s="98" t="s">
        <v>18</v>
      </c>
      <c r="E22" s="1">
        <v>20.122442245483398</v>
      </c>
      <c r="F22" s="1"/>
      <c r="G22" s="1" t="s">
        <v>35</v>
      </c>
      <c r="H22" s="1">
        <v>25.950469970703125</v>
      </c>
      <c r="I22" s="1"/>
      <c r="J22" s="1">
        <f>H22-E22</f>
        <v>5.8280277252197266</v>
      </c>
      <c r="K22" s="1"/>
      <c r="L22" s="1">
        <f t="shared" ref="L22:L24" si="3">2^(-J22)</f>
        <v>1.7603087151912819E-2</v>
      </c>
      <c r="M22" s="1"/>
      <c r="N22" s="1"/>
      <c r="O22" s="9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>
      <c r="A23" s="1"/>
      <c r="B23" s="1">
        <v>3</v>
      </c>
      <c r="C23" s="1" t="s">
        <v>21</v>
      </c>
      <c r="D23" s="98" t="s">
        <v>18</v>
      </c>
      <c r="E23" s="1">
        <v>18.501150131225586</v>
      </c>
      <c r="F23" s="1"/>
      <c r="G23" s="1" t="s">
        <v>35</v>
      </c>
      <c r="H23" s="1">
        <v>25.666248321533203</v>
      </c>
      <c r="I23" s="1"/>
      <c r="J23" s="1">
        <f>H23-E23</f>
        <v>7.1650981903076172</v>
      </c>
      <c r="K23" s="1"/>
      <c r="L23" s="1">
        <f t="shared" si="3"/>
        <v>6.9677173166572065E-3</v>
      </c>
      <c r="M23" s="1"/>
      <c r="N23" s="1"/>
      <c r="O23" s="9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>
      <c r="A24" s="1"/>
      <c r="B24" s="1">
        <v>4</v>
      </c>
      <c r="C24" s="1" t="s">
        <v>21</v>
      </c>
      <c r="D24" s="98" t="s">
        <v>18</v>
      </c>
      <c r="E24" s="1">
        <v>21.351356506347656</v>
      </c>
      <c r="F24" s="1"/>
      <c r="G24" s="1" t="s">
        <v>35</v>
      </c>
      <c r="H24" s="1">
        <v>27.253242492675781</v>
      </c>
      <c r="I24" s="1"/>
      <c r="J24" s="1">
        <f>H24-E24</f>
        <v>5.901885986328125</v>
      </c>
      <c r="K24" s="1"/>
      <c r="L24" s="1">
        <f t="shared" si="3"/>
        <v>1.672458257527094E-2</v>
      </c>
      <c r="M24" s="1"/>
      <c r="N24" s="1"/>
      <c r="O24" s="9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9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9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59">
      <c r="A27" s="1"/>
      <c r="B27" s="1">
        <v>1</v>
      </c>
      <c r="C27" s="1" t="s">
        <v>22</v>
      </c>
      <c r="D27" s="98" t="s">
        <v>18</v>
      </c>
      <c r="E27" s="1">
        <v>20.428304672241211</v>
      </c>
      <c r="F27" s="1"/>
      <c r="G27" s="1" t="s">
        <v>35</v>
      </c>
      <c r="H27" s="1">
        <v>31.846990585327148</v>
      </c>
      <c r="I27" s="1"/>
      <c r="J27" s="1">
        <f>H27-E27</f>
        <v>11.418685913085938</v>
      </c>
      <c r="K27" s="1"/>
      <c r="L27" s="1">
        <f>2^(-J27)</f>
        <v>3.6528600117148049E-4</v>
      </c>
      <c r="M27" s="1">
        <f>AVERAGE(L27:L30)</f>
        <v>1.1270893683522055E-3</v>
      </c>
      <c r="N27" s="1"/>
      <c r="O27" s="99"/>
      <c r="P27" s="1"/>
      <c r="Q27" s="1"/>
      <c r="R27" s="1">
        <f>STDEVA(L27:L30)</f>
        <v>7.4070411810222463E-4</v>
      </c>
      <c r="S27" s="1">
        <f>R27/SQRT(4)</f>
        <v>3.7035205905111231E-4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>
      <c r="A28" s="1"/>
      <c r="B28" s="1">
        <v>2</v>
      </c>
      <c r="C28" s="1" t="s">
        <v>22</v>
      </c>
      <c r="D28" s="98" t="s">
        <v>18</v>
      </c>
      <c r="E28" s="1">
        <v>21.355932235717773</v>
      </c>
      <c r="F28" s="1"/>
      <c r="G28" s="1" t="s">
        <v>35</v>
      </c>
      <c r="H28" s="1">
        <v>31.144546508789063</v>
      </c>
      <c r="I28" s="1"/>
      <c r="J28" s="1">
        <f>H28-E28</f>
        <v>9.7886142730712891</v>
      </c>
      <c r="K28" s="1"/>
      <c r="L28" s="1">
        <f t="shared" ref="L28:L29" si="4">2^(-J28)</f>
        <v>1.1306638001503332E-3</v>
      </c>
      <c r="M28" s="1"/>
      <c r="N28" s="1"/>
      <c r="O28" s="99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>
      <c r="A29" s="1"/>
      <c r="B29" s="1">
        <v>3</v>
      </c>
      <c r="C29" s="1" t="s">
        <v>22</v>
      </c>
      <c r="D29" s="98" t="s">
        <v>18</v>
      </c>
      <c r="E29" s="1">
        <v>21.055217742919922</v>
      </c>
      <c r="F29" s="1"/>
      <c r="G29" s="1" t="s">
        <v>35</v>
      </c>
      <c r="H29" s="1">
        <v>31.201400756835938</v>
      </c>
      <c r="I29" s="1"/>
      <c r="J29" s="1">
        <f>H29-E29</f>
        <v>10.146183013916016</v>
      </c>
      <c r="K29" s="1"/>
      <c r="L29" s="1">
        <f t="shared" si="4"/>
        <v>8.8245907026005541E-4</v>
      </c>
      <c r="M29" s="1"/>
      <c r="N29" s="1"/>
      <c r="O29" s="99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>
      <c r="A30" s="1"/>
      <c r="B30" s="1">
        <v>4</v>
      </c>
      <c r="C30" s="1" t="s">
        <v>22</v>
      </c>
      <c r="D30" s="98" t="s">
        <v>18</v>
      </c>
      <c r="E30" s="1">
        <v>21.066230773925781</v>
      </c>
      <c r="F30" s="1"/>
      <c r="G30" s="1" t="s">
        <v>35</v>
      </c>
      <c r="H30" s="1">
        <v>29.941196441650391</v>
      </c>
      <c r="I30" s="1"/>
      <c r="J30" s="1">
        <f>H30-E30</f>
        <v>8.8749656677246094</v>
      </c>
      <c r="K30" s="1"/>
      <c r="L30" s="1">
        <f>2^(-J30)</f>
        <v>2.1299486018269533E-3</v>
      </c>
      <c r="M30" s="1"/>
      <c r="N30" s="1"/>
      <c r="O30" s="99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9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99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>
      <c r="A33" s="1"/>
      <c r="B33" s="1">
        <v>1</v>
      </c>
      <c r="C33" s="1" t="s">
        <v>23</v>
      </c>
      <c r="D33" s="98" t="s">
        <v>18</v>
      </c>
      <c r="E33" s="1">
        <v>20.104511260986328</v>
      </c>
      <c r="F33" s="1"/>
      <c r="G33" s="1" t="s">
        <v>35</v>
      </c>
      <c r="H33" s="1">
        <v>26.754533767700195</v>
      </c>
      <c r="I33" s="1"/>
      <c r="J33" s="1">
        <f>H33-E33</f>
        <v>6.6500225067138672</v>
      </c>
      <c r="K33" s="1"/>
      <c r="L33" s="1">
        <f>2^(-J33)</f>
        <v>9.957349560434146E-3</v>
      </c>
      <c r="M33" s="1">
        <f>AVERAGE(L33:L36)</f>
        <v>9.5854913050885306E-3</v>
      </c>
      <c r="N33" s="1"/>
      <c r="O33" s="99"/>
      <c r="P33" s="1"/>
      <c r="Q33" s="1"/>
      <c r="R33" s="1">
        <f>STDEVA(L33:L36)</f>
        <v>9.6025196213035886E-4</v>
      </c>
      <c r="S33" s="1">
        <f>R33/SQRT(4)</f>
        <v>4.8012598106517943E-4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>
      <c r="A34" s="1"/>
      <c r="B34" s="1">
        <v>2</v>
      </c>
      <c r="C34" s="1" t="s">
        <v>23</v>
      </c>
      <c r="D34" s="98" t="s">
        <v>18</v>
      </c>
      <c r="E34" s="1">
        <v>20.767478942871094</v>
      </c>
      <c r="F34" s="1"/>
      <c r="G34" s="1" t="s">
        <v>35</v>
      </c>
      <c r="H34" s="1">
        <v>27.315223693847656</v>
      </c>
      <c r="I34" s="1"/>
      <c r="J34" s="1">
        <f>H34-E34</f>
        <v>6.5477447509765625</v>
      </c>
      <c r="K34" s="1"/>
      <c r="L34" s="1">
        <f t="shared" ref="L34:L36" si="5">2^(-J34)</f>
        <v>1.0688885527031951E-2</v>
      </c>
      <c r="M34" s="1"/>
      <c r="N34" s="1"/>
      <c r="O34" s="99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>
      <c r="A35" s="1"/>
      <c r="B35" s="1">
        <v>3</v>
      </c>
      <c r="C35" s="1" t="s">
        <v>23</v>
      </c>
      <c r="D35" s="98" t="s">
        <v>18</v>
      </c>
      <c r="E35" s="1">
        <v>20.358055114746094</v>
      </c>
      <c r="F35" s="1"/>
      <c r="G35" s="1" t="s">
        <v>35</v>
      </c>
      <c r="H35" s="1">
        <v>27.114494323730469</v>
      </c>
      <c r="I35" s="1"/>
      <c r="J35" s="1">
        <f>H35-E35</f>
        <v>6.756439208984375</v>
      </c>
      <c r="K35" s="1"/>
      <c r="L35" s="1">
        <f t="shared" si="5"/>
        <v>9.2493057129691778E-3</v>
      </c>
      <c r="M35" s="1"/>
      <c r="N35" s="1"/>
      <c r="O35" s="99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>
      <c r="A36" s="1"/>
      <c r="B36" s="1">
        <v>4</v>
      </c>
      <c r="C36" s="1" t="s">
        <v>23</v>
      </c>
      <c r="D36" s="98" t="s">
        <v>18</v>
      </c>
      <c r="E36" s="1">
        <v>21.719108581542969</v>
      </c>
      <c r="F36" s="1"/>
      <c r="G36" s="1" t="s">
        <v>35</v>
      </c>
      <c r="H36" s="1">
        <v>28.606552124023438</v>
      </c>
      <c r="I36" s="1"/>
      <c r="J36" s="1">
        <f>H36-E36</f>
        <v>6.8874435424804688</v>
      </c>
      <c r="K36" s="1"/>
      <c r="L36" s="1">
        <f t="shared" si="5"/>
        <v>8.4464244199188489E-3</v>
      </c>
      <c r="M36" s="1"/>
      <c r="N36" s="1"/>
      <c r="O36" s="9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9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99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9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>
      <c r="A40" s="1"/>
      <c r="B40" s="1">
        <v>1</v>
      </c>
      <c r="C40" s="1" t="s">
        <v>24</v>
      </c>
      <c r="D40" s="98" t="s">
        <v>18</v>
      </c>
      <c r="E40" s="1">
        <v>20.576499938964844</v>
      </c>
      <c r="F40" s="1"/>
      <c r="G40" s="1" t="s">
        <v>35</v>
      </c>
      <c r="H40" s="1">
        <v>29.369720458984375</v>
      </c>
      <c r="I40" s="1"/>
      <c r="J40" s="1">
        <f>H40-E40</f>
        <v>8.7932205200195313</v>
      </c>
      <c r="K40" s="1"/>
      <c r="L40" s="1">
        <f>2^(-J40)</f>
        <v>2.254119131265719E-3</v>
      </c>
      <c r="M40" s="1">
        <f>AVERAGE(L40:L43)</f>
        <v>2.2728714996401757E-3</v>
      </c>
      <c r="N40" s="1"/>
      <c r="O40" s="99"/>
      <c r="P40" s="1"/>
      <c r="Q40" s="1"/>
      <c r="R40" s="1">
        <f>STDEVA(L40:L43)</f>
        <v>2.2978145847144646E-4</v>
      </c>
      <c r="S40" s="1">
        <f>R40/SQRT(4)</f>
        <v>1.1489072923572323E-4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>
      <c r="A41" s="1"/>
      <c r="B41" s="1">
        <v>2</v>
      </c>
      <c r="C41" s="1" t="s">
        <v>24</v>
      </c>
      <c r="D41" s="98" t="s">
        <v>18</v>
      </c>
      <c r="E41" s="1">
        <v>23.511343002319336</v>
      </c>
      <c r="F41" s="1"/>
      <c r="G41" s="1" t="s">
        <v>35</v>
      </c>
      <c r="H41" s="1">
        <v>32.509658813476563</v>
      </c>
      <c r="I41" s="1"/>
      <c r="J41" s="1">
        <f>H41-E41</f>
        <v>8.9983158111572266</v>
      </c>
      <c r="K41" s="1"/>
      <c r="L41" s="1">
        <f>2^(-J41)</f>
        <v>1.9554063914330251E-3</v>
      </c>
      <c r="M41" s="1"/>
      <c r="N41" s="1"/>
      <c r="O41" s="99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>
      <c r="A42" s="1"/>
      <c r="B42" s="1">
        <v>3</v>
      </c>
      <c r="C42" s="1" t="s">
        <v>24</v>
      </c>
      <c r="D42" s="98" t="s">
        <v>18</v>
      </c>
      <c r="E42" s="1">
        <v>23.595056533813477</v>
      </c>
      <c r="F42" s="1"/>
      <c r="G42" s="1" t="s">
        <v>35</v>
      </c>
      <c r="H42" s="1">
        <v>32.262042999267578</v>
      </c>
      <c r="I42" s="1"/>
      <c r="J42" s="1">
        <f>H42-E42</f>
        <v>8.6669864654541016</v>
      </c>
      <c r="K42" s="1"/>
      <c r="L42" s="1">
        <f t="shared" ref="L42:L43" si="6">2^(-J42)</f>
        <v>2.4602378850317338E-3</v>
      </c>
      <c r="M42" s="1"/>
      <c r="N42" s="1"/>
      <c r="O42" s="99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>
      <c r="A43" s="1"/>
      <c r="B43" s="1">
        <v>4</v>
      </c>
      <c r="C43" s="1" t="s">
        <v>24</v>
      </c>
      <c r="D43" s="98" t="s">
        <v>18</v>
      </c>
      <c r="E43" s="1">
        <v>23.765975952148438</v>
      </c>
      <c r="F43" s="1"/>
      <c r="G43" s="1" t="s">
        <v>35</v>
      </c>
      <c r="H43" s="1">
        <v>32.455726623535156</v>
      </c>
      <c r="I43" s="1"/>
      <c r="J43" s="1">
        <f>H43-E43</f>
        <v>8.6897506713867188</v>
      </c>
      <c r="K43" s="1"/>
      <c r="L43" s="1">
        <f t="shared" si="6"/>
        <v>2.4217225908302244E-3</v>
      </c>
      <c r="M43" s="1"/>
      <c r="N43" s="1"/>
      <c r="O43" s="99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99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99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>
      <c r="A46" s="1"/>
      <c r="B46" s="1">
        <v>1</v>
      </c>
      <c r="C46" s="1" t="s">
        <v>25</v>
      </c>
      <c r="D46" s="98" t="s">
        <v>18</v>
      </c>
      <c r="E46" s="1">
        <v>19.410148620605469</v>
      </c>
      <c r="F46" s="1"/>
      <c r="G46" s="1" t="s">
        <v>35</v>
      </c>
      <c r="H46" s="1">
        <v>28.002098083496094</v>
      </c>
      <c r="I46" s="1"/>
      <c r="J46" s="1">
        <f>H46-E46</f>
        <v>8.591949462890625</v>
      </c>
      <c r="K46" s="1"/>
      <c r="L46" s="1">
        <f>2^(-J46)</f>
        <v>2.5915851959738122E-3</v>
      </c>
      <c r="M46" s="1">
        <f>AVERAGE(L46:L49)</f>
        <v>3.0500062264894748E-3</v>
      </c>
      <c r="N46" s="1"/>
      <c r="O46" s="99"/>
      <c r="P46" s="1"/>
      <c r="Q46" s="1"/>
      <c r="R46" s="1">
        <f>STDEVA(L46:L49)</f>
        <v>1.4155176906691369E-3</v>
      </c>
      <c r="S46" s="1">
        <f>R46/SQRT(4)</f>
        <v>7.0775884533456847E-4</v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>
      <c r="A47" s="1"/>
      <c r="B47" s="1">
        <v>2</v>
      </c>
      <c r="C47" s="1" t="s">
        <v>25</v>
      </c>
      <c r="D47" s="98" t="s">
        <v>18</v>
      </c>
      <c r="E47" s="1">
        <v>18.64518928527832</v>
      </c>
      <c r="F47" s="1"/>
      <c r="G47" s="1" t="s">
        <v>35</v>
      </c>
      <c r="H47" s="1">
        <v>27.815174102783203</v>
      </c>
      <c r="I47" s="1"/>
      <c r="J47" s="1">
        <f>H47-E47</f>
        <v>9.1699848175048828</v>
      </c>
      <c r="K47" s="1"/>
      <c r="L47" s="1">
        <f t="shared" ref="L47:L49" si="7">2^(-J47)</f>
        <v>1.7360391311187265E-3</v>
      </c>
      <c r="M47" s="1"/>
      <c r="N47" s="1"/>
      <c r="O47" s="9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>
      <c r="A48" s="1"/>
      <c r="B48" s="1">
        <v>3</v>
      </c>
      <c r="C48" s="1" t="s">
        <v>25</v>
      </c>
      <c r="D48" s="98" t="s">
        <v>18</v>
      </c>
      <c r="E48" s="1">
        <v>19.370330810546875</v>
      </c>
      <c r="F48" s="1"/>
      <c r="G48" s="1" t="s">
        <v>35</v>
      </c>
      <c r="H48" s="1">
        <v>27.841785430908203</v>
      </c>
      <c r="I48" s="1"/>
      <c r="J48" s="1">
        <f>H48-E48</f>
        <v>8.4714546203613281</v>
      </c>
      <c r="K48" s="1"/>
      <c r="L48" s="1">
        <f t="shared" si="7"/>
        <v>2.8173321572418928E-3</v>
      </c>
      <c r="M48" s="1"/>
      <c r="N48" s="1"/>
      <c r="O48" s="99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9">
      <c r="A49" s="1"/>
      <c r="B49" s="1">
        <v>4</v>
      </c>
      <c r="C49" s="1" t="s">
        <v>25</v>
      </c>
      <c r="D49" s="98" t="s">
        <v>18</v>
      </c>
      <c r="E49" s="1">
        <v>19.78596305847168</v>
      </c>
      <c r="F49" s="1"/>
      <c r="G49" s="1" t="s">
        <v>35</v>
      </c>
      <c r="H49" s="1">
        <v>27.414016723632813</v>
      </c>
      <c r="I49" s="1"/>
      <c r="J49" s="1">
        <f>H49-E49</f>
        <v>7.6280536651611328</v>
      </c>
      <c r="K49" s="1"/>
      <c r="L49" s="1">
        <f t="shared" si="7"/>
        <v>5.0550684216234681E-3</v>
      </c>
      <c r="M49" s="1"/>
      <c r="N49" s="1"/>
      <c r="O49" s="99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99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99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59">
      <c r="A52" s="1"/>
      <c r="B52" s="1">
        <v>1</v>
      </c>
      <c r="C52" s="1" t="s">
        <v>26</v>
      </c>
      <c r="D52" s="98" t="s">
        <v>18</v>
      </c>
      <c r="E52" s="1">
        <v>21.035545349121094</v>
      </c>
      <c r="F52" s="1"/>
      <c r="G52" s="1" t="s">
        <v>35</v>
      </c>
      <c r="H52" s="1">
        <v>33.469017028808594</v>
      </c>
      <c r="I52" s="1"/>
      <c r="J52" s="1">
        <f>H52-E52</f>
        <v>12.4334716796875</v>
      </c>
      <c r="K52" s="1"/>
      <c r="L52" s="1">
        <f>2^(-J52)</f>
        <v>1.8078070436484909E-4</v>
      </c>
      <c r="M52" s="1">
        <f>AVERAGE(L52:L55)</f>
        <v>3.5000863663858702E-4</v>
      </c>
      <c r="N52" s="1"/>
      <c r="O52" s="99"/>
      <c r="P52" s="1"/>
      <c r="Q52" s="1"/>
      <c r="R52" s="1">
        <f>STDEVA(L52:L55)</f>
        <v>3.785337298513165E-4</v>
      </c>
      <c r="S52" s="1">
        <f>R52/SQRT(4)</f>
        <v>1.8926686492565825E-4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>
      <c r="A53" s="1"/>
      <c r="B53" s="1">
        <v>2</v>
      </c>
      <c r="C53" s="1" t="s">
        <v>26</v>
      </c>
      <c r="D53" s="98" t="s">
        <v>18</v>
      </c>
      <c r="E53" s="1">
        <v>21.846572875976563</v>
      </c>
      <c r="F53" s="1"/>
      <c r="G53" s="1" t="s">
        <v>35</v>
      </c>
      <c r="H53" s="1">
        <v>34.810752868652344</v>
      </c>
      <c r="I53" s="1"/>
      <c r="J53" s="1">
        <f>H53-E53</f>
        <v>12.964179992675781</v>
      </c>
      <c r="K53" s="1"/>
      <c r="L53" s="1">
        <f t="shared" ref="L53:L55" si="8">2^(-J53)</f>
        <v>1.2513907862249826E-4</v>
      </c>
      <c r="M53" s="1"/>
      <c r="N53" s="1"/>
      <c r="O53" s="99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>
      <c r="A54" s="1"/>
      <c r="B54" s="1">
        <v>3</v>
      </c>
      <c r="C54" s="1" t="s">
        <v>26</v>
      </c>
      <c r="D54" s="98" t="s">
        <v>18</v>
      </c>
      <c r="E54" s="1">
        <v>20.99421501159668</v>
      </c>
      <c r="F54" s="1"/>
      <c r="G54" s="1" t="s">
        <v>35</v>
      </c>
      <c r="H54" s="1">
        <v>33.453323364257813</v>
      </c>
      <c r="I54" s="1"/>
      <c r="J54" s="1">
        <f>H54-E54</f>
        <v>12.459108352661133</v>
      </c>
      <c r="K54" s="1"/>
      <c r="L54" s="1">
        <f t="shared" si="8"/>
        <v>1.7759660795555902E-4</v>
      </c>
      <c r="M54" s="1"/>
      <c r="N54" s="1"/>
      <c r="O54" s="99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>
      <c r="A55" s="1"/>
      <c r="B55" s="1">
        <v>4</v>
      </c>
      <c r="C55" s="1" t="s">
        <v>26</v>
      </c>
      <c r="D55" s="98" t="s">
        <v>18</v>
      </c>
      <c r="E55" s="1">
        <v>21.670869827270508</v>
      </c>
      <c r="F55" s="1"/>
      <c r="G55" s="1" t="s">
        <v>35</v>
      </c>
      <c r="H55" s="1">
        <v>31.762418746948242</v>
      </c>
      <c r="I55" s="1"/>
      <c r="J55" s="1">
        <f>H55-E55</f>
        <v>10.091548919677734</v>
      </c>
      <c r="K55" s="1"/>
      <c r="L55" s="1">
        <f t="shared" si="8"/>
        <v>9.1651815561144166E-4</v>
      </c>
      <c r="M55" s="1"/>
      <c r="N55" s="1"/>
      <c r="O55" s="99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99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99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9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59">
      <c r="A59" s="1"/>
      <c r="B59" s="1">
        <v>1</v>
      </c>
      <c r="C59" s="1" t="s">
        <v>27</v>
      </c>
      <c r="D59" s="98" t="s">
        <v>18</v>
      </c>
      <c r="E59" s="1">
        <v>22.160688400268555</v>
      </c>
      <c r="F59" s="1"/>
      <c r="G59" s="1" t="s">
        <v>35</v>
      </c>
      <c r="H59" s="1">
        <v>27.217868804931641</v>
      </c>
      <c r="I59" s="1"/>
      <c r="J59" s="1">
        <f>H59-E59</f>
        <v>5.0571804046630859</v>
      </c>
      <c r="K59" s="1"/>
      <c r="L59" s="1">
        <f>2^(-J59)</f>
        <v>3.0035647910138102E-2</v>
      </c>
      <c r="M59" s="1">
        <f>AVERAGE(L59:L62)</f>
        <v>1.9794074256766471E-2</v>
      </c>
      <c r="N59" s="1"/>
      <c r="O59" s="99"/>
      <c r="P59" s="1"/>
      <c r="Q59" s="1"/>
      <c r="R59" s="1">
        <f>STDEVA(L59:L62)</f>
        <v>8.6792665828479432E-3</v>
      </c>
      <c r="S59" s="1">
        <f>R59/SQRT(4)</f>
        <v>4.3396332914239716E-3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59">
      <c r="A60" s="1"/>
      <c r="B60" s="1">
        <v>2</v>
      </c>
      <c r="C60" s="1" t="s">
        <v>27</v>
      </c>
      <c r="D60" s="98" t="s">
        <v>18</v>
      </c>
      <c r="E60" s="1">
        <v>21.093551635742188</v>
      </c>
      <c r="F60" s="1"/>
      <c r="G60" s="1" t="s">
        <v>35</v>
      </c>
      <c r="H60" s="1">
        <v>26.814220428466797</v>
      </c>
      <c r="I60" s="1"/>
      <c r="J60" s="1">
        <f>H60-E60</f>
        <v>5.7206687927246094</v>
      </c>
      <c r="K60" s="1"/>
      <c r="L60" s="1">
        <f t="shared" ref="L60:L62" si="9">2^(-J60)</f>
        <v>1.8963002317838845E-2</v>
      </c>
      <c r="M60" s="1"/>
      <c r="N60" s="1"/>
      <c r="O60" s="99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59">
      <c r="A61" s="1"/>
      <c r="B61" s="1">
        <v>3</v>
      </c>
      <c r="C61" s="1" t="s">
        <v>27</v>
      </c>
      <c r="D61" s="98" t="s">
        <v>18</v>
      </c>
      <c r="E61" s="1">
        <v>21.776933670043945</v>
      </c>
      <c r="F61" s="1"/>
      <c r="G61" s="1" t="s">
        <v>35</v>
      </c>
      <c r="H61" s="1">
        <v>28.585811614990234</v>
      </c>
      <c r="I61" s="1"/>
      <c r="J61" s="1">
        <f>H61-E61</f>
        <v>6.8088779449462891</v>
      </c>
      <c r="K61" s="1"/>
      <c r="L61" s="1">
        <f t="shared" si="9"/>
        <v>8.9191506965343257E-3</v>
      </c>
      <c r="M61" s="1"/>
      <c r="N61" s="1"/>
      <c r="O61" s="99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59">
      <c r="A62" s="1"/>
      <c r="B62" s="1">
        <v>4</v>
      </c>
      <c r="C62" s="1" t="s">
        <v>27</v>
      </c>
      <c r="D62" s="98" t="s">
        <v>18</v>
      </c>
      <c r="E62" s="1">
        <v>21.294185638427734</v>
      </c>
      <c r="F62" s="1"/>
      <c r="G62" s="1" t="s">
        <v>35</v>
      </c>
      <c r="H62" s="1">
        <v>26.850002288818359</v>
      </c>
      <c r="I62" s="1"/>
      <c r="J62" s="1">
        <f>H62-E62</f>
        <v>5.555816650390625</v>
      </c>
      <c r="K62" s="1"/>
      <c r="L62" s="1">
        <f t="shared" si="9"/>
        <v>2.1258496102554619E-2</v>
      </c>
      <c r="M62" s="1"/>
      <c r="N62" s="1"/>
      <c r="O62" s="99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5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99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5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9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1:59">
      <c r="A65" s="1"/>
      <c r="B65" s="1">
        <v>1</v>
      </c>
      <c r="C65" s="1" t="s">
        <v>28</v>
      </c>
      <c r="D65" s="98" t="s">
        <v>18</v>
      </c>
      <c r="E65" s="1">
        <v>21.319887161254883</v>
      </c>
      <c r="F65" s="1"/>
      <c r="G65" s="1" t="s">
        <v>35</v>
      </c>
      <c r="H65" s="1">
        <v>28.99547004699707</v>
      </c>
      <c r="I65" s="1"/>
      <c r="J65" s="1">
        <f>H65-E65</f>
        <v>7.6755828857421875</v>
      </c>
      <c r="K65" s="1"/>
      <c r="L65" s="1">
        <f>2^(-J65)</f>
        <v>4.8912438763216446E-3</v>
      </c>
      <c r="M65" s="1">
        <f>AVERAGE(L65:L68)</f>
        <v>3.9841145629997557E-3</v>
      </c>
      <c r="N65" s="1"/>
      <c r="O65" s="99"/>
      <c r="P65" s="1"/>
      <c r="Q65" s="1"/>
      <c r="R65" s="1">
        <f>STDEVA(L65:L68)</f>
        <v>1.1413307925920053E-3</v>
      </c>
      <c r="S65" s="1">
        <f>R65/SQRT(4)</f>
        <v>5.7066539629600267E-4</v>
      </c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</row>
    <row r="66" spans="1:59">
      <c r="A66" s="1"/>
      <c r="B66" s="1">
        <v>2</v>
      </c>
      <c r="C66" s="1" t="s">
        <v>28</v>
      </c>
      <c r="D66" s="98" t="s">
        <v>18</v>
      </c>
      <c r="E66" s="1">
        <v>20.512378692626953</v>
      </c>
      <c r="F66" s="1"/>
      <c r="G66" s="1" t="s">
        <v>35</v>
      </c>
      <c r="H66" s="1">
        <v>28.177047729492188</v>
      </c>
      <c r="I66" s="1"/>
      <c r="J66" s="1">
        <f>H66-E66</f>
        <v>7.6646690368652344</v>
      </c>
      <c r="K66" s="1"/>
      <c r="L66" s="1">
        <f t="shared" ref="L66:L68" si="10">2^(-J66)</f>
        <v>4.9283859756935108E-3</v>
      </c>
      <c r="M66" s="1"/>
      <c r="N66" s="1"/>
      <c r="O66" s="99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59">
      <c r="A67" s="1"/>
      <c r="B67" s="1">
        <v>3</v>
      </c>
      <c r="C67" s="1" t="s">
        <v>28</v>
      </c>
      <c r="D67" s="98" t="s">
        <v>18</v>
      </c>
      <c r="E67" s="1">
        <v>20.247650146484375</v>
      </c>
      <c r="F67" s="1"/>
      <c r="G67" s="1" t="s">
        <v>35</v>
      </c>
      <c r="H67" s="1">
        <v>28.386398315429688</v>
      </c>
      <c r="I67" s="1"/>
      <c r="J67" s="1">
        <f>H67-E67</f>
        <v>8.1387481689453125</v>
      </c>
      <c r="K67" s="1"/>
      <c r="L67" s="1">
        <f t="shared" si="10"/>
        <v>3.5480740402340956E-3</v>
      </c>
      <c r="M67" s="1"/>
      <c r="N67" s="1"/>
      <c r="O67" s="99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68" spans="1:59">
      <c r="A68" s="1"/>
      <c r="B68" s="1">
        <v>4</v>
      </c>
      <c r="C68" s="1" t="s">
        <v>28</v>
      </c>
      <c r="D68" s="98" t="s">
        <v>18</v>
      </c>
      <c r="E68" s="1">
        <v>20.283086776733398</v>
      </c>
      <c r="F68" s="1"/>
      <c r="G68" s="1" t="s">
        <v>35</v>
      </c>
      <c r="H68" s="1">
        <v>28.887802124023438</v>
      </c>
      <c r="I68" s="1"/>
      <c r="J68" s="1">
        <f>H68-E68</f>
        <v>8.6047153472900391</v>
      </c>
      <c r="K68" s="1"/>
      <c r="L68" s="1">
        <f t="shared" si="10"/>
        <v>2.5687543597497724E-3</v>
      </c>
      <c r="M68" s="1"/>
      <c r="N68" s="1"/>
      <c r="O68" s="99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5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9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5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99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59">
      <c r="A71" s="1"/>
      <c r="B71" s="1">
        <v>1</v>
      </c>
      <c r="C71" s="1" t="s">
        <v>29</v>
      </c>
      <c r="D71" s="98" t="s">
        <v>18</v>
      </c>
      <c r="E71" s="1">
        <v>22.02142333984375</v>
      </c>
      <c r="F71" s="1"/>
      <c r="G71" s="1" t="s">
        <v>35</v>
      </c>
      <c r="H71" s="1">
        <v>30.699596405029297</v>
      </c>
      <c r="I71" s="1"/>
      <c r="J71" s="1">
        <f>H71-E71</f>
        <v>8.6781730651855469</v>
      </c>
      <c r="K71" s="1"/>
      <c r="L71" s="1">
        <f>2^(-J71)</f>
        <v>2.4412350674778921E-3</v>
      </c>
      <c r="M71" s="1">
        <f>AVERAGE(L71:L74)</f>
        <v>3.7700575436207355E-3</v>
      </c>
      <c r="N71" s="1"/>
      <c r="O71" s="99"/>
      <c r="P71" s="1"/>
      <c r="Q71" s="1"/>
      <c r="R71" s="1">
        <f>STDEVA(L71:L74)</f>
        <v>4.6222767871475813E-3</v>
      </c>
      <c r="S71" s="1">
        <f>R71/SQRT(4)</f>
        <v>2.3111383935737907E-3</v>
      </c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>
      <c r="A72" s="1"/>
      <c r="B72" s="1">
        <v>2</v>
      </c>
      <c r="C72" s="1" t="s">
        <v>29</v>
      </c>
      <c r="D72" s="98" t="s">
        <v>18</v>
      </c>
      <c r="E72" s="1">
        <v>20.047706604003906</v>
      </c>
      <c r="F72" s="1"/>
      <c r="G72" s="1" t="s">
        <v>35</v>
      </c>
      <c r="H72" s="1">
        <v>30.791936874389648</v>
      </c>
      <c r="I72" s="1"/>
      <c r="J72" s="1">
        <f>H72-E72</f>
        <v>10.744230270385742</v>
      </c>
      <c r="K72" s="1"/>
      <c r="L72" s="1">
        <f t="shared" ref="L72:L74" si="11">2^(-J72)</f>
        <v>5.8299443378106921E-4</v>
      </c>
      <c r="M72" s="1"/>
      <c r="N72" s="1"/>
      <c r="O72" s="99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>
      <c r="A73" s="1"/>
      <c r="B73" s="1">
        <v>3</v>
      </c>
      <c r="C73" s="1" t="s">
        <v>29</v>
      </c>
      <c r="D73" s="98" t="s">
        <v>18</v>
      </c>
      <c r="E73" s="1">
        <v>22.067554473876953</v>
      </c>
      <c r="F73" s="1"/>
      <c r="G73" s="1" t="s">
        <v>35</v>
      </c>
      <c r="H73" s="1">
        <v>28.626081466674805</v>
      </c>
      <c r="I73" s="1"/>
      <c r="J73" s="1">
        <f>H73-E73</f>
        <v>6.5585269927978516</v>
      </c>
      <c r="K73" s="1"/>
      <c r="L73" s="1">
        <f t="shared" si="11"/>
        <v>1.060929798787656E-2</v>
      </c>
      <c r="M73" s="1"/>
      <c r="N73" s="1"/>
      <c r="O73" s="99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>
      <c r="A74" s="1"/>
      <c r="B74" s="1">
        <v>4</v>
      </c>
      <c r="C74" s="1" t="s">
        <v>29</v>
      </c>
      <c r="D74" s="98" t="s">
        <v>18</v>
      </c>
      <c r="E74" s="1">
        <v>23.032228469848633</v>
      </c>
      <c r="F74" s="1"/>
      <c r="G74" s="1" t="s">
        <v>35</v>
      </c>
      <c r="H74" s="1">
        <v>32.465244293212891</v>
      </c>
      <c r="I74" s="1"/>
      <c r="J74" s="1">
        <f>H74-E74</f>
        <v>9.4330158233642578</v>
      </c>
      <c r="K74" s="1"/>
      <c r="L74" s="1">
        <f t="shared" si="11"/>
        <v>1.4467026853474201E-3</v>
      </c>
      <c r="M74" s="1"/>
      <c r="N74" s="1"/>
      <c r="O74" s="99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99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99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>
      <c r="A77" s="1"/>
      <c r="B77" s="1">
        <v>1</v>
      </c>
      <c r="C77" s="1" t="s">
        <v>30</v>
      </c>
      <c r="D77" s="98" t="s">
        <v>18</v>
      </c>
      <c r="E77" s="1">
        <v>24.619340896606445</v>
      </c>
      <c r="F77" s="1"/>
      <c r="G77" s="1" t="s">
        <v>35</v>
      </c>
      <c r="H77" s="1">
        <v>31.602684020996094</v>
      </c>
      <c r="I77" s="1"/>
      <c r="J77" s="1">
        <f>H77-E77</f>
        <v>6.9833431243896484</v>
      </c>
      <c r="K77" s="1"/>
      <c r="L77" s="1">
        <f>2^(-J77)</f>
        <v>7.9032232408214522E-3</v>
      </c>
      <c r="M77" s="1">
        <f>AVERAGE(L77:L80)</f>
        <v>5.1712399952844202E-3</v>
      </c>
      <c r="N77" s="1"/>
      <c r="O77" s="99"/>
      <c r="P77" s="1"/>
      <c r="Q77" s="1"/>
      <c r="R77" s="1">
        <f>STDEVA(L77:L80)</f>
        <v>2.0578708488181948E-3</v>
      </c>
      <c r="S77" s="1">
        <f>R77/SQRT(4)</f>
        <v>1.0289354244090974E-3</v>
      </c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>
      <c r="A78" s="1"/>
      <c r="B78" s="1">
        <v>2</v>
      </c>
      <c r="C78" s="1" t="s">
        <v>30</v>
      </c>
      <c r="D78" s="98" t="s">
        <v>18</v>
      </c>
      <c r="E78" s="1">
        <v>23.276878356933594</v>
      </c>
      <c r="F78" s="1"/>
      <c r="G78" s="1" t="s">
        <v>35</v>
      </c>
      <c r="H78" s="1">
        <v>31.278488159179688</v>
      </c>
      <c r="I78" s="1"/>
      <c r="J78" s="1">
        <f>H78-E78</f>
        <v>8.0016098022460938</v>
      </c>
      <c r="K78" s="1"/>
      <c r="L78" s="1">
        <f t="shared" ref="L78:L80" si="12">2^(-J78)</f>
        <v>3.9018937203849475E-3</v>
      </c>
      <c r="M78" s="1"/>
      <c r="N78" s="1"/>
      <c r="O78" s="99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>
      <c r="A79" s="1"/>
      <c r="B79" s="1">
        <v>3</v>
      </c>
      <c r="C79" s="1" t="s">
        <v>30</v>
      </c>
      <c r="D79" s="98" t="s">
        <v>18</v>
      </c>
      <c r="E79" s="1">
        <v>24.108400344848633</v>
      </c>
      <c r="F79" s="1"/>
      <c r="G79" s="1" t="s">
        <v>35</v>
      </c>
      <c r="H79" s="1">
        <v>31.596179962158203</v>
      </c>
      <c r="I79" s="1"/>
      <c r="J79" s="1">
        <f>H79-E79</f>
        <v>7.4877796173095703</v>
      </c>
      <c r="K79" s="1"/>
      <c r="L79" s="1">
        <f t="shared" si="12"/>
        <v>5.5712639465897214E-3</v>
      </c>
      <c r="M79" s="1"/>
      <c r="N79" s="1"/>
      <c r="O79" s="99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>
      <c r="A80" s="1"/>
      <c r="B80" s="1">
        <v>4</v>
      </c>
      <c r="C80" s="1" t="s">
        <v>30</v>
      </c>
      <c r="D80" s="98" t="s">
        <v>18</v>
      </c>
      <c r="E80" s="1">
        <v>24.144262313842773</v>
      </c>
      <c r="F80" s="1"/>
      <c r="G80" s="1" t="s">
        <v>35</v>
      </c>
      <c r="H80" s="1">
        <v>32.383834838867188</v>
      </c>
      <c r="I80" s="1"/>
      <c r="J80" s="1">
        <f>H80-E80</f>
        <v>8.2395725250244141</v>
      </c>
      <c r="K80" s="1"/>
      <c r="L80" s="1">
        <f t="shared" si="12"/>
        <v>3.308579073341561E-3</v>
      </c>
      <c r="M80" s="1"/>
      <c r="N80" s="1"/>
      <c r="O80" s="99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99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99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>
      <c r="A83" s="1"/>
      <c r="B83" s="1">
        <v>1</v>
      </c>
      <c r="C83" s="1" t="s">
        <v>31</v>
      </c>
      <c r="D83" s="98" t="s">
        <v>18</v>
      </c>
      <c r="E83" s="1">
        <v>22.774246215820313</v>
      </c>
      <c r="F83" s="1"/>
      <c r="G83" s="1" t="s">
        <v>35</v>
      </c>
      <c r="H83" s="1">
        <v>27.209083557128906</v>
      </c>
      <c r="I83" s="1"/>
      <c r="J83" s="1">
        <f>H83-E83</f>
        <v>4.4348373413085938</v>
      </c>
      <c r="K83" s="1"/>
      <c r="L83" s="1">
        <f>2^(-J83)</f>
        <v>4.6236072321487694E-2</v>
      </c>
      <c r="M83" s="1">
        <f>AVERAGE(L83:L86)</f>
        <v>7.0138962042819053E-2</v>
      </c>
      <c r="N83" s="1"/>
      <c r="O83" s="99"/>
      <c r="P83" s="1"/>
      <c r="Q83" s="1"/>
      <c r="R83" s="1">
        <f>STDEVA(L83:L86)</f>
        <v>7.2047990371585269E-2</v>
      </c>
      <c r="S83" s="1">
        <f>R83/SQRT(4)</f>
        <v>3.6023995185792634E-2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>
      <c r="A84" s="1"/>
      <c r="B84" s="1">
        <v>2</v>
      </c>
      <c r="C84" s="1" t="s">
        <v>31</v>
      </c>
      <c r="D84" s="98" t="s">
        <v>18</v>
      </c>
      <c r="E84" s="1">
        <v>21.942441940307617</v>
      </c>
      <c r="F84" s="1"/>
      <c r="G84" s="1" t="s">
        <v>35</v>
      </c>
      <c r="H84" s="1">
        <v>24.459053039550781</v>
      </c>
      <c r="I84" s="1"/>
      <c r="J84" s="1">
        <f>H84-E84</f>
        <v>2.5166110992431641</v>
      </c>
      <c r="K84" s="1"/>
      <c r="L84" s="1">
        <f t="shared" ref="L84:L86" si="13">2^(-J84)</f>
        <v>0.17475297249865721</v>
      </c>
      <c r="M84" s="1"/>
      <c r="N84" s="1"/>
      <c r="O84" s="99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</row>
    <row r="85" spans="1:59">
      <c r="A85" s="1"/>
      <c r="B85" s="1">
        <v>3</v>
      </c>
      <c r="C85" s="1" t="s">
        <v>31</v>
      </c>
      <c r="D85" s="98" t="s">
        <v>18</v>
      </c>
      <c r="E85" s="1">
        <v>20.952915191650391</v>
      </c>
      <c r="F85" s="1"/>
      <c r="G85" s="1" t="s">
        <v>35</v>
      </c>
      <c r="H85" s="1">
        <v>27.628652572631836</v>
      </c>
      <c r="I85" s="1"/>
      <c r="J85" s="1">
        <f>H85-E85</f>
        <v>6.6757373809814453</v>
      </c>
      <c r="K85" s="1"/>
      <c r="L85" s="1">
        <f t="shared" si="13"/>
        <v>9.7814402222765936E-3</v>
      </c>
      <c r="M85" s="1"/>
      <c r="N85" s="1"/>
      <c r="O85" s="99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1:59">
      <c r="A86" s="1"/>
      <c r="B86" s="1">
        <v>4</v>
      </c>
      <c r="C86" s="1" t="s">
        <v>31</v>
      </c>
      <c r="D86" s="98" t="s">
        <v>18</v>
      </c>
      <c r="E86" s="1">
        <v>21.204641342163086</v>
      </c>
      <c r="F86" s="1"/>
      <c r="G86" s="1" t="s">
        <v>35</v>
      </c>
      <c r="H86" s="1">
        <v>25.53277587890625</v>
      </c>
      <c r="I86" s="1"/>
      <c r="J86" s="1">
        <f>H86-E86</f>
        <v>4.3281345367431641</v>
      </c>
      <c r="K86" s="1"/>
      <c r="L86" s="1">
        <f t="shared" si="13"/>
        <v>4.9785363128854718E-2</v>
      </c>
      <c r="M86" s="1"/>
      <c r="N86" s="1"/>
      <c r="O86" s="99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1:5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99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1:5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99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1:59">
      <c r="A89" s="1"/>
      <c r="B89" s="1">
        <v>1</v>
      </c>
      <c r="C89" s="1" t="s">
        <v>32</v>
      </c>
      <c r="D89" s="98" t="s">
        <v>18</v>
      </c>
      <c r="E89" s="1">
        <v>23.680686950683594</v>
      </c>
      <c r="F89" s="1"/>
      <c r="G89" s="1" t="s">
        <v>35</v>
      </c>
      <c r="H89" s="1">
        <v>32.949821472167969</v>
      </c>
      <c r="I89" s="1"/>
      <c r="J89" s="1">
        <f>H89-E89</f>
        <v>9.269134521484375</v>
      </c>
      <c r="K89" s="1"/>
      <c r="L89" s="1">
        <f>2^(-J89)</f>
        <v>1.6207367327753814E-3</v>
      </c>
      <c r="M89" s="1">
        <f>AVERAGE(L89:L93)</f>
        <v>1.685511945849216E-3</v>
      </c>
      <c r="N89" s="1"/>
      <c r="O89" s="99"/>
      <c r="P89" s="1"/>
      <c r="Q89" s="1"/>
      <c r="R89" s="1">
        <f>STDEVA(L89:L93)</f>
        <v>9.4431270464106327E-4</v>
      </c>
      <c r="S89" s="1">
        <f>R89/SQRT(5)</f>
        <v>4.2230947991881969E-4</v>
      </c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1:59">
      <c r="A90" s="1"/>
      <c r="B90" s="1">
        <v>2</v>
      </c>
      <c r="C90" s="1" t="s">
        <v>32</v>
      </c>
      <c r="D90" s="98" t="s">
        <v>18</v>
      </c>
      <c r="E90" s="1">
        <v>22.318157196044922</v>
      </c>
      <c r="F90" s="1"/>
      <c r="G90" s="1" t="s">
        <v>35</v>
      </c>
      <c r="H90" s="1">
        <v>30.730485916137695</v>
      </c>
      <c r="I90" s="1"/>
      <c r="J90" s="1">
        <f>H90-E90</f>
        <v>8.4123287200927734</v>
      </c>
      <c r="K90" s="1"/>
      <c r="L90" s="1">
        <f>2^(-J90)</f>
        <v>2.9351933977077986E-3</v>
      </c>
      <c r="M90" s="1"/>
      <c r="N90" s="1"/>
      <c r="O90" s="99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1:59">
      <c r="A91" s="1"/>
      <c r="B91" s="1">
        <v>3</v>
      </c>
      <c r="C91" s="1" t="s">
        <v>32</v>
      </c>
      <c r="D91" s="98" t="s">
        <v>18</v>
      </c>
      <c r="E91" s="1">
        <v>21.950836181640625</v>
      </c>
      <c r="F91" s="1"/>
      <c r="G91" s="1" t="s">
        <v>35</v>
      </c>
      <c r="H91" s="1">
        <v>32.9730224609375</v>
      </c>
      <c r="I91" s="1"/>
      <c r="J91" s="1">
        <f>H91-E91</f>
        <v>11.022186279296875</v>
      </c>
      <c r="K91" s="1"/>
      <c r="L91" s="1">
        <f>2^(-J91)</f>
        <v>4.808297295726427E-4</v>
      </c>
      <c r="M91" s="1"/>
      <c r="N91" s="1"/>
      <c r="O91" s="99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1:59">
      <c r="A92" s="1"/>
      <c r="B92" s="1">
        <v>4</v>
      </c>
      <c r="C92" s="1" t="s">
        <v>32</v>
      </c>
      <c r="D92" s="98" t="s">
        <v>18</v>
      </c>
      <c r="E92" s="1">
        <v>23.886611938476563</v>
      </c>
      <c r="F92" s="1"/>
      <c r="G92" s="1" t="s">
        <v>35</v>
      </c>
      <c r="H92" s="1">
        <v>32.702102661132813</v>
      </c>
      <c r="I92" s="1"/>
      <c r="J92" s="1">
        <f>H92-E92</f>
        <v>8.81549072265625</v>
      </c>
      <c r="K92" s="1"/>
      <c r="L92" s="1">
        <f>2^(-J92)</f>
        <v>2.2195905441934069E-3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1:59">
      <c r="A93" s="1"/>
      <c r="B93" s="1">
        <v>5</v>
      </c>
      <c r="C93" s="1" t="s">
        <v>32</v>
      </c>
      <c r="D93" s="98" t="s">
        <v>18</v>
      </c>
      <c r="E93" s="1">
        <v>25.365455627441406</v>
      </c>
      <c r="F93" s="1"/>
      <c r="G93" s="1" t="s">
        <v>35</v>
      </c>
      <c r="H93" s="1">
        <v>35.103240966796875</v>
      </c>
      <c r="I93" s="1"/>
      <c r="J93" s="1">
        <f>H93-E93</f>
        <v>9.7377853393554688</v>
      </c>
      <c r="K93" s="1"/>
      <c r="L93" s="1">
        <f>2^(-J93)</f>
        <v>1.1712093249968505E-3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1:5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99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1:5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99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1:59">
      <c r="A96" s="1"/>
      <c r="B96" s="1">
        <v>1</v>
      </c>
      <c r="C96" s="1" t="s">
        <v>33</v>
      </c>
      <c r="D96" s="98" t="s">
        <v>18</v>
      </c>
      <c r="E96" s="1">
        <v>21.539398193359375</v>
      </c>
      <c r="F96" s="1"/>
      <c r="G96" s="1" t="s">
        <v>35</v>
      </c>
      <c r="H96" s="1">
        <v>29.701080322265625</v>
      </c>
      <c r="I96" s="1"/>
      <c r="J96" s="1">
        <f>H96-E96</f>
        <v>8.16168212890625</v>
      </c>
      <c r="K96" s="1"/>
      <c r="L96" s="1">
        <f>2^(-J96)</f>
        <v>3.4921176290475513E-3</v>
      </c>
      <c r="M96" s="1">
        <f>AVERAGE(L96:L99)</f>
        <v>4.7907159960923346E-3</v>
      </c>
      <c r="N96" s="1"/>
      <c r="O96" s="99"/>
      <c r="P96" s="1"/>
      <c r="Q96" s="1"/>
      <c r="R96" s="1">
        <f>STDEVA(L96:L99)</f>
        <v>2.5709527882592184E-3</v>
      </c>
      <c r="S96" s="1">
        <f>R96/SQRT(4)</f>
        <v>1.2854763941296092E-3</v>
      </c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</row>
    <row r="97" spans="1:59">
      <c r="A97" s="1"/>
      <c r="B97" s="1">
        <v>2</v>
      </c>
      <c r="C97" s="1" t="s">
        <v>33</v>
      </c>
      <c r="D97" s="98" t="s">
        <v>18</v>
      </c>
      <c r="E97" s="1">
        <v>22.855751037597656</v>
      </c>
      <c r="F97" s="1"/>
      <c r="G97" s="1" t="s">
        <v>35</v>
      </c>
      <c r="H97" s="1">
        <v>29.734033584594727</v>
      </c>
      <c r="I97" s="1"/>
      <c r="J97" s="1">
        <f>H97-E97</f>
        <v>6.8782825469970703</v>
      </c>
      <c r="K97" s="1"/>
      <c r="L97" s="1">
        <f t="shared" ref="L97:L99" si="14">2^(-J97)</f>
        <v>8.5002291710807466E-3</v>
      </c>
      <c r="M97" s="1"/>
      <c r="N97" s="1"/>
      <c r="O97" s="99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1:59">
      <c r="A98" s="1"/>
      <c r="B98" s="1">
        <v>3</v>
      </c>
      <c r="C98" s="1" t="s">
        <v>33</v>
      </c>
      <c r="D98" s="98" t="s">
        <v>18</v>
      </c>
      <c r="E98" s="1">
        <v>19.947513580322266</v>
      </c>
      <c r="F98" s="1"/>
      <c r="G98" s="1" t="s">
        <v>35</v>
      </c>
      <c r="H98" s="1">
        <v>27.76130485534668</v>
      </c>
      <c r="I98" s="1"/>
      <c r="J98" s="1">
        <f>H98-E98</f>
        <v>7.8137912750244141</v>
      </c>
      <c r="K98" s="1"/>
      <c r="L98" s="1">
        <f t="shared" si="14"/>
        <v>4.4444133798301104E-3</v>
      </c>
      <c r="M98" s="1"/>
      <c r="N98" s="1"/>
      <c r="O98" s="99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</row>
    <row r="99" spans="1:59">
      <c r="A99" s="1"/>
      <c r="B99" s="1">
        <v>4</v>
      </c>
      <c r="C99" s="1" t="s">
        <v>33</v>
      </c>
      <c r="D99" s="98" t="s">
        <v>18</v>
      </c>
      <c r="E99" s="1">
        <v>19.833488464355469</v>
      </c>
      <c r="F99" s="1"/>
      <c r="G99" s="1" t="s">
        <v>35</v>
      </c>
      <c r="H99" s="1">
        <v>28.352432250976563</v>
      </c>
      <c r="I99" s="1"/>
      <c r="J99" s="1">
        <f>H99-E99</f>
        <v>8.5189437866210938</v>
      </c>
      <c r="K99" s="1"/>
      <c r="L99" s="1">
        <f t="shared" si="14"/>
        <v>2.7261038044109312E-3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99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1:5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99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</row>
    <row r="101" spans="1:5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1:5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</row>
    <row r="103" spans="1:5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</row>
    <row r="104" spans="1:5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</row>
    <row r="105" spans="1:5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</row>
    <row r="106" spans="1:5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</row>
    <row r="107" spans="1:5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</row>
    <row r="108" spans="1:5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</row>
    <row r="109" spans="1:5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</row>
    <row r="110" spans="1:5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</row>
    <row r="111" spans="1:5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99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</row>
    <row r="112" spans="1:5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</row>
    <row r="113" spans="1:5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</row>
    <row r="114" spans="1:5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99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</row>
    <row r="115" spans="1:5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</row>
    <row r="116" spans="1:5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</row>
    <row r="117" spans="1:5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99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</row>
    <row r="118" spans="1:5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</row>
    <row r="119" spans="1:5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</row>
    <row r="120" spans="1:5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99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</row>
    <row r="121" spans="1:5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</row>
    <row r="122" spans="1:5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</row>
    <row r="123" spans="1:5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</row>
    <row r="124" spans="1:5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</row>
    <row r="125" spans="1:5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</row>
    <row r="126" spans="1:5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</row>
    <row r="127" spans="1:5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</row>
    <row r="128" spans="1:5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</row>
    <row r="129" spans="1:5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</row>
    <row r="130" spans="1:5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</row>
    <row r="131" spans="1:5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</row>
    <row r="132" spans="1:5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</row>
    <row r="133" spans="1:5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</row>
    <row r="134" spans="1:5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</row>
    <row r="135" spans="1:5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</row>
    <row r="136" spans="1:5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</row>
    <row r="137" spans="1:5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</row>
    <row r="138" spans="1:5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</row>
    <row r="139" spans="1:5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</row>
    <row r="140" spans="1:5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</row>
    <row r="141" spans="1:5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</row>
    <row r="142" spans="1:5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</row>
    <row r="143" spans="1:5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</row>
    <row r="144" spans="1:5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</row>
    <row r="145" spans="1:59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</row>
    <row r="146" spans="1:5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</row>
    <row r="147" spans="1:5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</row>
    <row r="148" spans="1:5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</row>
    <row r="149" spans="1:5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</row>
    <row r="150" spans="1:5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</row>
    <row r="151" spans="1:5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</row>
    <row r="152" spans="1:5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</row>
    <row r="153" spans="1:5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</row>
    <row r="154" spans="1:5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</row>
    <row r="155" spans="1:5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</row>
    <row r="156" spans="1:5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</row>
    <row r="157" spans="1:5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</row>
    <row r="158" spans="1:5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</row>
    <row r="159" spans="1: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</row>
    <row r="160" spans="1:5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</row>
    <row r="161" spans="1:5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</row>
    <row r="162" spans="1:5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</row>
    <row r="163" spans="1:5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</row>
    <row r="164" spans="1:5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</row>
    <row r="165" spans="1:5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</row>
    <row r="166" spans="1:5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</row>
    <row r="167" spans="1:5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</row>
    <row r="168" spans="1:5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</row>
    <row r="169" spans="1:5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</row>
    <row r="170" spans="1:5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</row>
    <row r="171" spans="1:5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</row>
    <row r="172" spans="1:5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</row>
    <row r="173" spans="1:5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</row>
    <row r="174" spans="1:5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</row>
    <row r="175" spans="1:5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</row>
    <row r="176" spans="1:5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</row>
    <row r="177" spans="1:59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800C-AE62-4456-8FC1-E2AC330B8736}">
  <dimension ref="B4:S108"/>
  <sheetViews>
    <sheetView topLeftCell="F76" workbookViewId="0">
      <selection activeCell="B107" sqref="B107:T109"/>
    </sheetView>
  </sheetViews>
  <sheetFormatPr defaultRowHeight="15"/>
  <cols>
    <col min="2" max="2" width="23.140625" bestFit="1" customWidth="1"/>
    <col min="3" max="3" width="23.85546875" bestFit="1" customWidth="1"/>
    <col min="4" max="4" width="23" bestFit="1" customWidth="1"/>
    <col min="5" max="5" width="20.28515625" bestFit="1" customWidth="1"/>
    <col min="6" max="6" width="21.140625" bestFit="1" customWidth="1"/>
    <col min="7" max="7" width="15.7109375" bestFit="1" customWidth="1"/>
    <col min="8" max="8" width="16.42578125" bestFit="1" customWidth="1"/>
    <col min="9" max="9" width="21.140625" bestFit="1" customWidth="1"/>
    <col min="10" max="10" width="22" bestFit="1" customWidth="1"/>
    <col min="11" max="11" width="23.140625" bestFit="1" customWidth="1"/>
    <col min="12" max="12" width="23.85546875" bestFit="1" customWidth="1"/>
    <col min="13" max="13" width="19.7109375" bestFit="1" customWidth="1"/>
    <col min="14" max="14" width="12.28515625" bestFit="1" customWidth="1"/>
    <col min="15" max="15" width="20.85546875" bestFit="1" customWidth="1"/>
    <col min="17" max="17" width="17.7109375" bestFit="1" customWidth="1"/>
    <col min="18" max="18" width="18.42578125" bestFit="1" customWidth="1"/>
    <col min="19" max="19" width="12.28515625" bestFit="1" customWidth="1"/>
  </cols>
  <sheetData>
    <row r="4" spans="2:19" ht="21">
      <c r="B4" s="133"/>
      <c r="C4" s="184" t="s">
        <v>40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</row>
    <row r="5" spans="2:19" ht="18.75">
      <c r="B5" s="185" t="s">
        <v>7</v>
      </c>
      <c r="C5" s="185" t="s">
        <v>8</v>
      </c>
      <c r="D5" s="185" t="s">
        <v>9</v>
      </c>
      <c r="E5" s="185" t="s">
        <v>10</v>
      </c>
      <c r="F5" s="185"/>
      <c r="G5" s="185" t="s">
        <v>11</v>
      </c>
      <c r="H5" s="185" t="s">
        <v>10</v>
      </c>
      <c r="I5" s="185"/>
      <c r="J5" s="185" t="s">
        <v>12</v>
      </c>
      <c r="K5" s="185"/>
      <c r="L5" s="185" t="s">
        <v>13</v>
      </c>
      <c r="M5" s="185" t="s">
        <v>14</v>
      </c>
      <c r="N5" s="185"/>
      <c r="O5" s="185"/>
      <c r="P5" s="185"/>
      <c r="Q5" s="185"/>
      <c r="R5" s="185" t="s">
        <v>15</v>
      </c>
      <c r="S5" s="185" t="s">
        <v>16</v>
      </c>
    </row>
    <row r="6" spans="2:19">
      <c r="B6" s="133">
        <v>1</v>
      </c>
      <c r="C6" s="133" t="s">
        <v>17</v>
      </c>
      <c r="D6" s="186" t="s">
        <v>18</v>
      </c>
      <c r="E6" s="133" t="s">
        <v>41</v>
      </c>
      <c r="F6" s="133"/>
      <c r="G6" s="133" t="s">
        <v>40</v>
      </c>
      <c r="H6" s="133" t="s">
        <v>42</v>
      </c>
      <c r="I6" s="133"/>
      <c r="J6" s="133" t="s">
        <v>43</v>
      </c>
      <c r="K6" s="133"/>
      <c r="L6" s="133" t="s">
        <v>44</v>
      </c>
      <c r="M6" s="133" t="s">
        <v>45</v>
      </c>
      <c r="N6" s="133"/>
      <c r="O6" s="187"/>
      <c r="P6" s="133"/>
      <c r="Q6" s="133"/>
      <c r="R6" s="133" t="s">
        <v>46</v>
      </c>
      <c r="S6" s="133" t="s">
        <v>47</v>
      </c>
    </row>
    <row r="7" spans="2:19">
      <c r="B7" s="133">
        <v>2</v>
      </c>
      <c r="C7" s="133" t="s">
        <v>17</v>
      </c>
      <c r="D7" s="186" t="s">
        <v>18</v>
      </c>
      <c r="E7" s="133" t="s">
        <v>48</v>
      </c>
      <c r="F7" s="133"/>
      <c r="G7" s="133" t="s">
        <v>40</v>
      </c>
      <c r="H7" s="133" t="s">
        <v>49</v>
      </c>
      <c r="I7" s="133"/>
      <c r="J7" s="133" t="s">
        <v>50</v>
      </c>
      <c r="K7" s="133"/>
      <c r="L7" s="133" t="s">
        <v>51</v>
      </c>
      <c r="M7" s="133"/>
      <c r="N7" s="133"/>
      <c r="O7" s="133"/>
      <c r="P7" s="133"/>
      <c r="Q7" s="133"/>
      <c r="R7" s="133"/>
      <c r="S7" s="133"/>
    </row>
    <row r="8" spans="2:19">
      <c r="B8" s="133">
        <v>3</v>
      </c>
      <c r="C8" s="133" t="s">
        <v>17</v>
      </c>
      <c r="D8" s="186" t="s">
        <v>18</v>
      </c>
      <c r="E8" s="133" t="s">
        <v>52</v>
      </c>
      <c r="F8" s="133"/>
      <c r="G8" s="133" t="s">
        <v>40</v>
      </c>
      <c r="H8" s="133" t="s">
        <v>53</v>
      </c>
      <c r="I8" s="133"/>
      <c r="J8" s="133" t="s">
        <v>54</v>
      </c>
      <c r="K8" s="133"/>
      <c r="L8" s="133" t="s">
        <v>55</v>
      </c>
      <c r="M8" s="133"/>
      <c r="N8" s="133"/>
      <c r="O8" s="133"/>
      <c r="P8" s="133"/>
      <c r="Q8" s="133"/>
      <c r="R8" s="133"/>
      <c r="S8" s="133"/>
    </row>
    <row r="9" spans="2:19">
      <c r="B9" s="133">
        <v>4</v>
      </c>
      <c r="C9" s="133" t="s">
        <v>17</v>
      </c>
      <c r="D9" s="186" t="s">
        <v>18</v>
      </c>
      <c r="E9" s="133" t="s">
        <v>56</v>
      </c>
      <c r="F9" s="133"/>
      <c r="G9" s="133" t="s">
        <v>40</v>
      </c>
      <c r="H9" s="133" t="s">
        <v>57</v>
      </c>
      <c r="I9" s="133"/>
      <c r="J9" s="133" t="s">
        <v>58</v>
      </c>
      <c r="K9" s="133"/>
      <c r="L9" s="133" t="s">
        <v>59</v>
      </c>
      <c r="M9" s="133"/>
      <c r="N9" s="133"/>
      <c r="O9" s="133"/>
      <c r="P9" s="133"/>
      <c r="Q9" s="133"/>
      <c r="R9" s="133"/>
      <c r="S9" s="133"/>
    </row>
    <row r="10" spans="2:19"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spans="2:19">
      <c r="B11" s="133">
        <v>1</v>
      </c>
      <c r="C11" s="133" t="s">
        <v>19</v>
      </c>
      <c r="D11" s="186" t="s">
        <v>18</v>
      </c>
      <c r="E11" s="133" t="s">
        <v>60</v>
      </c>
      <c r="F11" s="133"/>
      <c r="G11" s="133" t="s">
        <v>40</v>
      </c>
      <c r="H11" s="133" t="s">
        <v>61</v>
      </c>
      <c r="I11" s="133"/>
      <c r="J11" s="133" t="s">
        <v>62</v>
      </c>
      <c r="K11" s="133"/>
      <c r="L11" s="133" t="s">
        <v>63</v>
      </c>
      <c r="M11" s="133" t="s">
        <v>64</v>
      </c>
      <c r="N11" s="133"/>
      <c r="O11" s="187"/>
      <c r="P11" s="133"/>
      <c r="Q11" s="133"/>
      <c r="R11" s="133" t="s">
        <v>65</v>
      </c>
      <c r="S11" s="133" t="s">
        <v>66</v>
      </c>
    </row>
    <row r="12" spans="2:19">
      <c r="B12" s="133">
        <v>2</v>
      </c>
      <c r="C12" s="133" t="s">
        <v>19</v>
      </c>
      <c r="D12" s="186" t="s">
        <v>18</v>
      </c>
      <c r="E12" s="133" t="s">
        <v>67</v>
      </c>
      <c r="F12" s="133"/>
      <c r="G12" s="133" t="s">
        <v>40</v>
      </c>
      <c r="H12" s="133" t="s">
        <v>68</v>
      </c>
      <c r="I12" s="133"/>
      <c r="J12" s="133" t="s">
        <v>69</v>
      </c>
      <c r="K12" s="133"/>
      <c r="L12" s="133" t="s">
        <v>70</v>
      </c>
      <c r="M12" s="133"/>
      <c r="N12" s="133"/>
      <c r="O12" s="133"/>
      <c r="P12" s="133"/>
      <c r="Q12" s="133"/>
      <c r="R12" s="133"/>
      <c r="S12" s="133"/>
    </row>
    <row r="13" spans="2:19">
      <c r="B13" s="133">
        <v>3</v>
      </c>
      <c r="C13" s="133" t="s">
        <v>19</v>
      </c>
      <c r="D13" s="186" t="s">
        <v>18</v>
      </c>
      <c r="E13" s="133" t="s">
        <v>71</v>
      </c>
      <c r="F13" s="133"/>
      <c r="G13" s="133" t="s">
        <v>40</v>
      </c>
      <c r="H13" s="133" t="s">
        <v>72</v>
      </c>
      <c r="I13" s="133"/>
      <c r="J13" s="133" t="s">
        <v>73</v>
      </c>
      <c r="K13" s="133"/>
      <c r="L13" s="133" t="s">
        <v>74</v>
      </c>
      <c r="M13" s="133"/>
      <c r="N13" s="133"/>
      <c r="O13" s="133"/>
      <c r="P13" s="133"/>
      <c r="Q13" s="133"/>
      <c r="R13" s="133"/>
      <c r="S13" s="133"/>
    </row>
    <row r="14" spans="2:19">
      <c r="B14" s="133"/>
      <c r="C14" s="133"/>
      <c r="D14" s="186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</row>
    <row r="15" spans="2:19"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</row>
    <row r="16" spans="2:19">
      <c r="B16" s="133">
        <v>1</v>
      </c>
      <c r="C16" s="133" t="s">
        <v>20</v>
      </c>
      <c r="D16" s="186" t="s">
        <v>18</v>
      </c>
      <c r="E16" s="133" t="s">
        <v>75</v>
      </c>
      <c r="F16" s="133"/>
      <c r="G16" s="133" t="s">
        <v>40</v>
      </c>
      <c r="H16" s="133" t="s">
        <v>76</v>
      </c>
      <c r="I16" s="133"/>
      <c r="J16" s="133" t="s">
        <v>77</v>
      </c>
      <c r="K16" s="133"/>
      <c r="L16" s="133" t="s">
        <v>78</v>
      </c>
      <c r="M16" s="133" t="s">
        <v>79</v>
      </c>
      <c r="N16" s="133"/>
      <c r="O16" s="187"/>
      <c r="P16" s="133"/>
      <c r="Q16" s="133"/>
      <c r="R16" s="133" t="s">
        <v>80</v>
      </c>
      <c r="S16" s="133" t="s">
        <v>81</v>
      </c>
    </row>
    <row r="17" spans="2:19">
      <c r="B17" s="133">
        <v>2</v>
      </c>
      <c r="C17" s="133" t="s">
        <v>20</v>
      </c>
      <c r="D17" s="186" t="s">
        <v>18</v>
      </c>
      <c r="E17" s="133" t="s">
        <v>82</v>
      </c>
      <c r="F17" s="133"/>
      <c r="G17" s="133" t="s">
        <v>40</v>
      </c>
      <c r="H17" s="133" t="s">
        <v>83</v>
      </c>
      <c r="I17" s="133"/>
      <c r="J17" s="133" t="s">
        <v>84</v>
      </c>
      <c r="K17" s="133"/>
      <c r="L17" s="133" t="s">
        <v>85</v>
      </c>
      <c r="M17" s="133"/>
      <c r="N17" s="133"/>
      <c r="O17" s="133"/>
      <c r="P17" s="133"/>
      <c r="Q17" s="133"/>
      <c r="R17" s="133"/>
      <c r="S17" s="133"/>
    </row>
    <row r="18" spans="2:19">
      <c r="B18" s="133">
        <v>3</v>
      </c>
      <c r="C18" s="133" t="s">
        <v>20</v>
      </c>
      <c r="D18" s="186" t="s">
        <v>18</v>
      </c>
      <c r="E18" s="133" t="s">
        <v>86</v>
      </c>
      <c r="F18" s="133"/>
      <c r="G18" s="133" t="s">
        <v>40</v>
      </c>
      <c r="H18" s="133" t="s">
        <v>87</v>
      </c>
      <c r="I18" s="133"/>
      <c r="J18" s="133" t="s">
        <v>88</v>
      </c>
      <c r="K18" s="133"/>
      <c r="L18" s="133" t="s">
        <v>89</v>
      </c>
      <c r="M18" s="133"/>
      <c r="N18" s="133"/>
      <c r="O18" s="133"/>
      <c r="P18" s="133"/>
      <c r="Q18" s="133"/>
      <c r="R18" s="133"/>
      <c r="S18" s="133"/>
    </row>
    <row r="19" spans="2:19">
      <c r="B19" s="133">
        <v>4</v>
      </c>
      <c r="C19" s="133" t="s">
        <v>20</v>
      </c>
      <c r="D19" s="186" t="s">
        <v>18</v>
      </c>
      <c r="E19" s="133" t="s">
        <v>90</v>
      </c>
      <c r="F19" s="133"/>
      <c r="G19" s="133" t="s">
        <v>40</v>
      </c>
      <c r="H19" s="133" t="s">
        <v>91</v>
      </c>
      <c r="I19" s="133"/>
      <c r="J19" s="133" t="s">
        <v>92</v>
      </c>
      <c r="K19" s="133"/>
      <c r="L19" s="133" t="s">
        <v>93</v>
      </c>
      <c r="M19" s="133"/>
      <c r="N19" s="133"/>
      <c r="O19" s="133"/>
      <c r="P19" s="133"/>
      <c r="Q19" s="133"/>
      <c r="R19" s="133"/>
      <c r="S19" s="133"/>
    </row>
    <row r="20" spans="2:19"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</row>
    <row r="21" spans="2:19"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</row>
    <row r="22" spans="2:19"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</row>
    <row r="23" spans="2:19">
      <c r="B23" s="133">
        <v>1</v>
      </c>
      <c r="C23" s="133" t="s">
        <v>21</v>
      </c>
      <c r="D23" s="186" t="s">
        <v>18</v>
      </c>
      <c r="E23" s="133" t="s">
        <v>94</v>
      </c>
      <c r="F23" s="133"/>
      <c r="G23" s="133" t="s">
        <v>40</v>
      </c>
      <c r="H23" s="133" t="s">
        <v>95</v>
      </c>
      <c r="I23" s="133"/>
      <c r="J23" s="133" t="s">
        <v>96</v>
      </c>
      <c r="K23" s="133"/>
      <c r="L23" s="133" t="s">
        <v>97</v>
      </c>
      <c r="M23" s="133" t="s">
        <v>98</v>
      </c>
      <c r="N23" s="133"/>
      <c r="O23" s="187"/>
      <c r="P23" s="133"/>
      <c r="Q23" s="133"/>
      <c r="R23" s="133" t="s">
        <v>99</v>
      </c>
      <c r="S23" s="133" t="s">
        <v>100</v>
      </c>
    </row>
    <row r="24" spans="2:19">
      <c r="B24" s="133">
        <v>2</v>
      </c>
      <c r="C24" s="133" t="s">
        <v>21</v>
      </c>
      <c r="D24" s="186" t="s">
        <v>18</v>
      </c>
      <c r="E24" s="133" t="s">
        <v>101</v>
      </c>
      <c r="F24" s="133"/>
      <c r="G24" s="133" t="s">
        <v>40</v>
      </c>
      <c r="H24" s="133" t="s">
        <v>102</v>
      </c>
      <c r="I24" s="133"/>
      <c r="J24" s="133" t="s">
        <v>103</v>
      </c>
      <c r="K24" s="133"/>
      <c r="L24" s="133" t="s">
        <v>104</v>
      </c>
      <c r="M24" s="133"/>
      <c r="N24" s="133"/>
      <c r="O24" s="133"/>
      <c r="P24" s="133"/>
      <c r="Q24" s="133"/>
      <c r="R24" s="133"/>
      <c r="S24" s="133"/>
    </row>
    <row r="25" spans="2:19">
      <c r="B25" s="133">
        <v>3</v>
      </c>
      <c r="C25" s="133" t="s">
        <v>21</v>
      </c>
      <c r="D25" s="186" t="s">
        <v>18</v>
      </c>
      <c r="E25" s="133" t="s">
        <v>105</v>
      </c>
      <c r="F25" s="133"/>
      <c r="G25" s="133" t="s">
        <v>40</v>
      </c>
      <c r="H25" s="133" t="s">
        <v>106</v>
      </c>
      <c r="I25" s="133"/>
      <c r="J25" s="133" t="s">
        <v>107</v>
      </c>
      <c r="K25" s="133"/>
      <c r="L25" s="133" t="s">
        <v>108</v>
      </c>
      <c r="M25" s="133"/>
      <c r="N25" s="133"/>
      <c r="O25" s="133"/>
      <c r="P25" s="133"/>
      <c r="Q25" s="133"/>
      <c r="R25" s="133"/>
      <c r="S25" s="133"/>
    </row>
    <row r="26" spans="2:19">
      <c r="B26" s="133">
        <v>4</v>
      </c>
      <c r="C26" s="133" t="s">
        <v>21</v>
      </c>
      <c r="D26" s="186" t="s">
        <v>18</v>
      </c>
      <c r="E26" s="133" t="s">
        <v>109</v>
      </c>
      <c r="F26" s="133"/>
      <c r="G26" s="133" t="s">
        <v>40</v>
      </c>
      <c r="H26" s="133" t="s">
        <v>110</v>
      </c>
      <c r="I26" s="133"/>
      <c r="J26" s="133" t="s">
        <v>111</v>
      </c>
      <c r="K26" s="133"/>
      <c r="L26" s="133" t="s">
        <v>112</v>
      </c>
      <c r="M26" s="133"/>
      <c r="N26" s="133"/>
      <c r="O26" s="133"/>
      <c r="P26" s="133"/>
      <c r="Q26" s="133"/>
      <c r="R26" s="133"/>
      <c r="S26" s="133"/>
    </row>
    <row r="27" spans="2:19"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</row>
    <row r="28" spans="2:19"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</row>
    <row r="29" spans="2:19">
      <c r="B29" s="133">
        <v>1</v>
      </c>
      <c r="C29" s="133" t="s">
        <v>22</v>
      </c>
      <c r="D29" s="186" t="s">
        <v>18</v>
      </c>
      <c r="E29" s="133" t="s">
        <v>113</v>
      </c>
      <c r="F29" s="133"/>
      <c r="G29" s="133" t="s">
        <v>40</v>
      </c>
      <c r="H29" s="133" t="s">
        <v>114</v>
      </c>
      <c r="I29" s="133"/>
      <c r="J29" s="133" t="s">
        <v>115</v>
      </c>
      <c r="K29" s="133"/>
      <c r="L29" s="133" t="s">
        <v>116</v>
      </c>
      <c r="M29" s="133" t="s">
        <v>117</v>
      </c>
      <c r="N29" s="133"/>
      <c r="O29" s="187"/>
      <c r="P29" s="133"/>
      <c r="Q29" s="133"/>
      <c r="R29" s="133" t="s">
        <v>118</v>
      </c>
      <c r="S29" s="133" t="s">
        <v>119</v>
      </c>
    </row>
    <row r="30" spans="2:19">
      <c r="B30" s="133">
        <v>2</v>
      </c>
      <c r="C30" s="133" t="s">
        <v>22</v>
      </c>
      <c r="D30" s="186" t="s">
        <v>18</v>
      </c>
      <c r="E30" s="133" t="s">
        <v>120</v>
      </c>
      <c r="F30" s="133"/>
      <c r="G30" s="133" t="s">
        <v>40</v>
      </c>
      <c r="H30" s="133" t="s">
        <v>121</v>
      </c>
      <c r="I30" s="133"/>
      <c r="J30" s="133" t="s">
        <v>122</v>
      </c>
      <c r="K30" s="133"/>
      <c r="L30" s="133" t="s">
        <v>123</v>
      </c>
      <c r="M30" s="133"/>
      <c r="N30" s="133"/>
      <c r="O30" s="133"/>
      <c r="P30" s="133"/>
      <c r="Q30" s="133"/>
      <c r="R30" s="133"/>
      <c r="S30" s="133"/>
    </row>
    <row r="31" spans="2:19">
      <c r="B31" s="133">
        <v>3</v>
      </c>
      <c r="C31" s="133" t="s">
        <v>22</v>
      </c>
      <c r="D31" s="186" t="s">
        <v>18</v>
      </c>
      <c r="E31" s="133" t="s">
        <v>124</v>
      </c>
      <c r="F31" s="133"/>
      <c r="G31" s="133" t="s">
        <v>40</v>
      </c>
      <c r="H31" s="133" t="s">
        <v>125</v>
      </c>
      <c r="I31" s="133"/>
      <c r="J31" s="133" t="s">
        <v>126</v>
      </c>
      <c r="K31" s="133"/>
      <c r="L31" s="133" t="s">
        <v>127</v>
      </c>
      <c r="M31" s="133"/>
      <c r="N31" s="133"/>
      <c r="O31" s="133"/>
      <c r="P31" s="133"/>
      <c r="Q31" s="133"/>
      <c r="R31" s="133"/>
      <c r="S31" s="133"/>
    </row>
    <row r="32" spans="2:19">
      <c r="B32" s="133">
        <v>4</v>
      </c>
      <c r="C32" s="133" t="s">
        <v>22</v>
      </c>
      <c r="D32" s="186" t="s">
        <v>18</v>
      </c>
      <c r="E32" s="133" t="s">
        <v>128</v>
      </c>
      <c r="F32" s="133"/>
      <c r="G32" s="133" t="s">
        <v>40</v>
      </c>
      <c r="H32" s="133" t="s">
        <v>129</v>
      </c>
      <c r="I32" s="133"/>
      <c r="J32" s="133" t="s">
        <v>130</v>
      </c>
      <c r="K32" s="133"/>
      <c r="L32" s="133" t="s">
        <v>131</v>
      </c>
      <c r="M32" s="133"/>
      <c r="N32" s="133"/>
      <c r="O32" s="133"/>
      <c r="P32" s="133"/>
      <c r="Q32" s="133"/>
      <c r="R32" s="133"/>
      <c r="S32" s="133"/>
    </row>
    <row r="33" spans="2:19"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</row>
    <row r="34" spans="2:19"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</row>
    <row r="35" spans="2:19">
      <c r="B35" s="133">
        <v>1</v>
      </c>
      <c r="C35" s="133" t="s">
        <v>23</v>
      </c>
      <c r="D35" s="186" t="s">
        <v>18</v>
      </c>
      <c r="E35" s="133" t="s">
        <v>132</v>
      </c>
      <c r="F35" s="133"/>
      <c r="G35" s="133" t="s">
        <v>40</v>
      </c>
      <c r="H35" s="133" t="s">
        <v>133</v>
      </c>
      <c r="I35" s="133"/>
      <c r="J35" s="133" t="s">
        <v>134</v>
      </c>
      <c r="K35" s="133"/>
      <c r="L35" s="133" t="s">
        <v>135</v>
      </c>
      <c r="M35" s="133" t="s">
        <v>136</v>
      </c>
      <c r="N35" s="133"/>
      <c r="O35" s="187"/>
      <c r="P35" s="133"/>
      <c r="Q35" s="133"/>
      <c r="R35" s="133" t="s">
        <v>137</v>
      </c>
      <c r="S35" s="133" t="s">
        <v>138</v>
      </c>
    </row>
    <row r="36" spans="2:19">
      <c r="B36" s="133">
        <v>2</v>
      </c>
      <c r="C36" s="133" t="s">
        <v>23</v>
      </c>
      <c r="D36" s="186" t="s">
        <v>18</v>
      </c>
      <c r="E36" s="133" t="s">
        <v>139</v>
      </c>
      <c r="F36" s="133"/>
      <c r="G36" s="133" t="s">
        <v>40</v>
      </c>
      <c r="H36" s="133" t="s">
        <v>140</v>
      </c>
      <c r="I36" s="133"/>
      <c r="J36" s="133" t="s">
        <v>141</v>
      </c>
      <c r="K36" s="133"/>
      <c r="L36" s="133" t="s">
        <v>142</v>
      </c>
      <c r="M36" s="133"/>
      <c r="N36" s="133"/>
      <c r="O36" s="133"/>
      <c r="P36" s="133"/>
      <c r="Q36" s="133"/>
      <c r="R36" s="133"/>
      <c r="S36" s="133"/>
    </row>
    <row r="37" spans="2:19">
      <c r="B37" s="133">
        <v>3</v>
      </c>
      <c r="C37" s="133" t="s">
        <v>23</v>
      </c>
      <c r="D37" s="186" t="s">
        <v>18</v>
      </c>
      <c r="E37" s="133" t="s">
        <v>143</v>
      </c>
      <c r="F37" s="133"/>
      <c r="G37" s="133" t="s">
        <v>40</v>
      </c>
      <c r="H37" s="133" t="s">
        <v>144</v>
      </c>
      <c r="I37" s="133"/>
      <c r="J37" s="133" t="s">
        <v>145</v>
      </c>
      <c r="K37" s="133"/>
      <c r="L37" s="133" t="s">
        <v>146</v>
      </c>
      <c r="M37" s="133"/>
      <c r="N37" s="133"/>
      <c r="O37" s="133"/>
      <c r="P37" s="133"/>
      <c r="Q37" s="133"/>
      <c r="R37" s="133"/>
      <c r="S37" s="133"/>
    </row>
    <row r="38" spans="2:19">
      <c r="B38" s="133">
        <v>4</v>
      </c>
      <c r="C38" s="133" t="s">
        <v>23</v>
      </c>
      <c r="D38" s="186" t="s">
        <v>18</v>
      </c>
      <c r="E38" s="133" t="s">
        <v>147</v>
      </c>
      <c r="F38" s="133"/>
      <c r="G38" s="133" t="s">
        <v>40</v>
      </c>
      <c r="H38" s="133" t="s">
        <v>148</v>
      </c>
      <c r="I38" s="133"/>
      <c r="J38" s="133" t="s">
        <v>149</v>
      </c>
      <c r="K38" s="133"/>
      <c r="L38" s="133" t="s">
        <v>150</v>
      </c>
      <c r="M38" s="133"/>
      <c r="N38" s="133"/>
      <c r="O38" s="133"/>
      <c r="P38" s="133"/>
      <c r="Q38" s="133"/>
      <c r="R38" s="133"/>
      <c r="S38" s="133"/>
    </row>
    <row r="39" spans="2:19"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</row>
    <row r="40" spans="2:19"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</row>
    <row r="41" spans="2:19"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</row>
    <row r="42" spans="2:19">
      <c r="B42" s="133">
        <v>1</v>
      </c>
      <c r="C42" s="133" t="s">
        <v>24</v>
      </c>
      <c r="D42" s="186" t="s">
        <v>18</v>
      </c>
      <c r="E42" s="133" t="s">
        <v>151</v>
      </c>
      <c r="F42" s="133"/>
      <c r="G42" s="133" t="s">
        <v>40</v>
      </c>
      <c r="H42" s="133">
        <v>40</v>
      </c>
      <c r="I42" s="133"/>
      <c r="J42" s="133" t="s">
        <v>152</v>
      </c>
      <c r="K42" s="133"/>
      <c r="L42" s="133" t="s">
        <v>153</v>
      </c>
      <c r="M42" s="133" t="s">
        <v>154</v>
      </c>
      <c r="N42" s="133"/>
      <c r="O42" s="187"/>
      <c r="P42" s="133"/>
      <c r="Q42" s="133"/>
      <c r="R42" s="133" t="s">
        <v>155</v>
      </c>
      <c r="S42" s="133" t="s">
        <v>156</v>
      </c>
    </row>
    <row r="43" spans="2:19">
      <c r="B43" s="133">
        <v>2</v>
      </c>
      <c r="C43" s="133" t="s">
        <v>24</v>
      </c>
      <c r="D43" s="186" t="s">
        <v>18</v>
      </c>
      <c r="E43" s="133" t="s">
        <v>157</v>
      </c>
      <c r="F43" s="133"/>
      <c r="G43" s="133" t="s">
        <v>40</v>
      </c>
      <c r="H43" s="133">
        <v>40</v>
      </c>
      <c r="I43" s="133"/>
      <c r="J43" s="133" t="s">
        <v>158</v>
      </c>
      <c r="K43" s="133"/>
      <c r="L43" s="133" t="s">
        <v>159</v>
      </c>
      <c r="M43" s="133"/>
      <c r="N43" s="133"/>
      <c r="O43" s="133"/>
      <c r="P43" s="133"/>
      <c r="Q43" s="133"/>
      <c r="R43" s="133"/>
      <c r="S43" s="133"/>
    </row>
    <row r="44" spans="2:19">
      <c r="B44" s="133">
        <v>3</v>
      </c>
      <c r="C44" s="133" t="s">
        <v>24</v>
      </c>
      <c r="D44" s="186" t="s">
        <v>18</v>
      </c>
      <c r="E44" s="133" t="s">
        <v>160</v>
      </c>
      <c r="F44" s="133"/>
      <c r="G44" s="133" t="s">
        <v>40</v>
      </c>
      <c r="H44" s="133">
        <v>40</v>
      </c>
      <c r="I44" s="133"/>
      <c r="J44" s="133" t="s">
        <v>161</v>
      </c>
      <c r="K44" s="133"/>
      <c r="L44" s="133" t="s">
        <v>162</v>
      </c>
      <c r="M44" s="133"/>
      <c r="N44" s="133"/>
      <c r="O44" s="133"/>
      <c r="P44" s="133"/>
      <c r="Q44" s="133"/>
      <c r="R44" s="133"/>
      <c r="S44" s="133"/>
    </row>
    <row r="45" spans="2:19">
      <c r="B45" s="133">
        <v>4</v>
      </c>
      <c r="C45" s="133" t="s">
        <v>24</v>
      </c>
      <c r="D45" s="186" t="s">
        <v>18</v>
      </c>
      <c r="E45" s="133" t="s">
        <v>163</v>
      </c>
      <c r="F45" s="133"/>
      <c r="G45" s="133" t="s">
        <v>40</v>
      </c>
      <c r="H45" s="133">
        <v>40</v>
      </c>
      <c r="I45" s="133"/>
      <c r="J45" s="133" t="s">
        <v>164</v>
      </c>
      <c r="K45" s="133"/>
      <c r="L45" s="133" t="s">
        <v>165</v>
      </c>
      <c r="M45" s="133"/>
      <c r="N45" s="133"/>
      <c r="O45" s="133"/>
      <c r="P45" s="133"/>
      <c r="Q45" s="133"/>
      <c r="R45" s="133"/>
      <c r="S45" s="133"/>
    </row>
    <row r="46" spans="2:19"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</row>
    <row r="47" spans="2:19"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</row>
    <row r="48" spans="2:19">
      <c r="B48" s="133">
        <v>1</v>
      </c>
      <c r="C48" s="133" t="s">
        <v>25</v>
      </c>
      <c r="D48" s="186" t="s">
        <v>18</v>
      </c>
      <c r="E48" s="133" t="s">
        <v>166</v>
      </c>
      <c r="F48" s="133"/>
      <c r="G48" s="133" t="s">
        <v>40</v>
      </c>
      <c r="H48" s="133" t="s">
        <v>167</v>
      </c>
      <c r="I48" s="133"/>
      <c r="J48" s="133" t="s">
        <v>168</v>
      </c>
      <c r="K48" s="133"/>
      <c r="L48" s="133" t="s">
        <v>169</v>
      </c>
      <c r="M48" s="133" t="s">
        <v>170</v>
      </c>
      <c r="N48" s="133"/>
      <c r="O48" s="187"/>
      <c r="P48" s="133"/>
      <c r="Q48" s="133"/>
      <c r="R48" s="133" t="s">
        <v>171</v>
      </c>
      <c r="S48" s="133" t="s">
        <v>172</v>
      </c>
    </row>
    <row r="49" spans="2:19">
      <c r="B49" s="133">
        <v>2</v>
      </c>
      <c r="C49" s="133" t="s">
        <v>25</v>
      </c>
      <c r="D49" s="186" t="s">
        <v>18</v>
      </c>
      <c r="E49" s="133" t="s">
        <v>173</v>
      </c>
      <c r="F49" s="133"/>
      <c r="G49" s="133" t="s">
        <v>40</v>
      </c>
      <c r="H49" s="133" t="s">
        <v>174</v>
      </c>
      <c r="I49" s="133"/>
      <c r="J49" s="133" t="s">
        <v>175</v>
      </c>
      <c r="K49" s="133"/>
      <c r="L49" s="133" t="s">
        <v>176</v>
      </c>
      <c r="M49" s="133"/>
      <c r="N49" s="133"/>
      <c r="O49" s="133"/>
      <c r="P49" s="133"/>
      <c r="Q49" s="133"/>
      <c r="R49" s="133"/>
      <c r="S49" s="133"/>
    </row>
    <row r="50" spans="2:19">
      <c r="B50" s="133">
        <v>3</v>
      </c>
      <c r="C50" s="133" t="s">
        <v>25</v>
      </c>
      <c r="D50" s="186" t="s">
        <v>18</v>
      </c>
      <c r="E50" s="133" t="s">
        <v>177</v>
      </c>
      <c r="F50" s="133"/>
      <c r="G50" s="133" t="s">
        <v>40</v>
      </c>
      <c r="H50" s="133" t="s">
        <v>178</v>
      </c>
      <c r="I50" s="133"/>
      <c r="J50" s="133" t="s">
        <v>179</v>
      </c>
      <c r="K50" s="133"/>
      <c r="L50" s="133" t="s">
        <v>180</v>
      </c>
      <c r="M50" s="133"/>
      <c r="N50" s="133"/>
      <c r="O50" s="133"/>
      <c r="P50" s="133"/>
      <c r="Q50" s="133"/>
      <c r="R50" s="133"/>
      <c r="S50" s="133"/>
    </row>
    <row r="51" spans="2:19">
      <c r="B51" s="133">
        <v>4</v>
      </c>
      <c r="C51" s="133" t="s">
        <v>25</v>
      </c>
      <c r="D51" s="186" t="s">
        <v>18</v>
      </c>
      <c r="E51" s="133" t="s">
        <v>181</v>
      </c>
      <c r="F51" s="133"/>
      <c r="G51" s="133" t="s">
        <v>40</v>
      </c>
      <c r="H51" s="133" t="s">
        <v>182</v>
      </c>
      <c r="I51" s="133"/>
      <c r="J51" s="133" t="s">
        <v>183</v>
      </c>
      <c r="K51" s="133"/>
      <c r="L51" s="133" t="s">
        <v>184</v>
      </c>
      <c r="M51" s="133"/>
      <c r="N51" s="133"/>
      <c r="O51" s="133"/>
      <c r="P51" s="133"/>
      <c r="Q51" s="133"/>
      <c r="R51" s="133"/>
      <c r="S51" s="133"/>
    </row>
    <row r="52" spans="2:19"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</row>
    <row r="53" spans="2:19"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</row>
    <row r="54" spans="2:19">
      <c r="B54" s="133">
        <v>1</v>
      </c>
      <c r="C54" s="133" t="s">
        <v>26</v>
      </c>
      <c r="D54" s="186" t="s">
        <v>18</v>
      </c>
      <c r="E54" s="133" t="s">
        <v>185</v>
      </c>
      <c r="F54" s="133"/>
      <c r="G54" s="133" t="s">
        <v>40</v>
      </c>
      <c r="H54" s="133" t="s">
        <v>186</v>
      </c>
      <c r="I54" s="133"/>
      <c r="J54" s="133" t="s">
        <v>187</v>
      </c>
      <c r="K54" s="133"/>
      <c r="L54" s="133" t="s">
        <v>188</v>
      </c>
      <c r="M54" s="133" t="s">
        <v>189</v>
      </c>
      <c r="N54" s="133"/>
      <c r="O54" s="187"/>
      <c r="P54" s="133"/>
      <c r="Q54" s="133"/>
      <c r="R54" s="133" t="s">
        <v>190</v>
      </c>
      <c r="S54" s="133" t="s">
        <v>191</v>
      </c>
    </row>
    <row r="55" spans="2:19">
      <c r="B55" s="133">
        <v>2</v>
      </c>
      <c r="C55" s="133" t="s">
        <v>26</v>
      </c>
      <c r="D55" s="186" t="s">
        <v>18</v>
      </c>
      <c r="E55" s="133" t="s">
        <v>192</v>
      </c>
      <c r="F55" s="133"/>
      <c r="G55" s="133" t="s">
        <v>40</v>
      </c>
      <c r="H55" s="133" t="s">
        <v>193</v>
      </c>
      <c r="I55" s="133"/>
      <c r="J55" s="133" t="s">
        <v>194</v>
      </c>
      <c r="K55" s="133"/>
      <c r="L55" s="133" t="s">
        <v>195</v>
      </c>
      <c r="M55" s="133"/>
      <c r="N55" s="133"/>
      <c r="O55" s="133"/>
      <c r="P55" s="133"/>
      <c r="Q55" s="133"/>
      <c r="R55" s="133"/>
      <c r="S55" s="133"/>
    </row>
    <row r="56" spans="2:19">
      <c r="B56" s="133">
        <v>3</v>
      </c>
      <c r="C56" s="133" t="s">
        <v>26</v>
      </c>
      <c r="D56" s="186" t="s">
        <v>18</v>
      </c>
      <c r="E56" s="133" t="s">
        <v>196</v>
      </c>
      <c r="F56" s="133"/>
      <c r="G56" s="133" t="s">
        <v>40</v>
      </c>
      <c r="H56" s="133" t="s">
        <v>197</v>
      </c>
      <c r="I56" s="133"/>
      <c r="J56" s="133" t="s">
        <v>198</v>
      </c>
      <c r="K56" s="133"/>
      <c r="L56" s="133" t="s">
        <v>199</v>
      </c>
      <c r="M56" s="133"/>
      <c r="N56" s="133"/>
      <c r="O56" s="133"/>
      <c r="P56" s="133"/>
      <c r="Q56" s="133"/>
      <c r="R56" s="133"/>
      <c r="S56" s="133"/>
    </row>
    <row r="57" spans="2:19">
      <c r="B57" s="133"/>
      <c r="C57" s="133"/>
      <c r="D57" s="186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</row>
    <row r="58" spans="2:19"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</row>
    <row r="59" spans="2:19"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</row>
    <row r="60" spans="2:19"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</row>
    <row r="61" spans="2:19">
      <c r="B61" s="133">
        <v>1</v>
      </c>
      <c r="C61" s="133" t="s">
        <v>27</v>
      </c>
      <c r="D61" s="186" t="s">
        <v>18</v>
      </c>
      <c r="E61" s="133" t="s">
        <v>200</v>
      </c>
      <c r="F61" s="133"/>
      <c r="G61" s="133" t="s">
        <v>40</v>
      </c>
      <c r="H61" s="133" t="s">
        <v>201</v>
      </c>
      <c r="I61" s="133"/>
      <c r="J61" s="133" t="s">
        <v>202</v>
      </c>
      <c r="K61" s="133"/>
      <c r="L61" s="133" t="s">
        <v>203</v>
      </c>
      <c r="M61" s="133" t="s">
        <v>204</v>
      </c>
      <c r="N61" s="133"/>
      <c r="O61" s="187"/>
      <c r="P61" s="133"/>
      <c r="Q61" s="133"/>
      <c r="R61" s="133" t="s">
        <v>205</v>
      </c>
      <c r="S61" s="133" t="s">
        <v>206</v>
      </c>
    </row>
    <row r="62" spans="2:19">
      <c r="B62" s="133">
        <v>2</v>
      </c>
      <c r="C62" s="133" t="s">
        <v>27</v>
      </c>
      <c r="D62" s="186" t="s">
        <v>18</v>
      </c>
      <c r="E62" s="133" t="s">
        <v>207</v>
      </c>
      <c r="F62" s="133"/>
      <c r="G62" s="133" t="s">
        <v>40</v>
      </c>
      <c r="H62" s="133" t="s">
        <v>208</v>
      </c>
      <c r="I62" s="133"/>
      <c r="J62" s="133" t="s">
        <v>209</v>
      </c>
      <c r="K62" s="133"/>
      <c r="L62" s="133" t="s">
        <v>210</v>
      </c>
      <c r="M62" s="133"/>
      <c r="N62" s="133"/>
      <c r="O62" s="133"/>
      <c r="P62" s="133"/>
      <c r="Q62" s="133"/>
      <c r="R62" s="133"/>
      <c r="S62" s="133"/>
    </row>
    <row r="63" spans="2:19">
      <c r="B63" s="133">
        <v>3</v>
      </c>
      <c r="C63" s="133" t="s">
        <v>27</v>
      </c>
      <c r="D63" s="186" t="s">
        <v>18</v>
      </c>
      <c r="E63" s="133" t="s">
        <v>211</v>
      </c>
      <c r="F63" s="133"/>
      <c r="G63" s="133" t="s">
        <v>40</v>
      </c>
      <c r="H63" s="133" t="s">
        <v>212</v>
      </c>
      <c r="I63" s="133"/>
      <c r="J63" s="133" t="s">
        <v>213</v>
      </c>
      <c r="K63" s="133"/>
      <c r="L63" s="133" t="s">
        <v>214</v>
      </c>
      <c r="M63" s="133"/>
      <c r="N63" s="133"/>
      <c r="O63" s="133"/>
      <c r="P63" s="133"/>
      <c r="Q63" s="133"/>
      <c r="R63" s="133"/>
      <c r="S63" s="133"/>
    </row>
    <row r="64" spans="2:19">
      <c r="B64" s="133">
        <v>4</v>
      </c>
      <c r="C64" s="133" t="s">
        <v>27</v>
      </c>
      <c r="D64" s="186" t="s">
        <v>18</v>
      </c>
      <c r="E64" s="133" t="s">
        <v>215</v>
      </c>
      <c r="F64" s="133"/>
      <c r="G64" s="133" t="s">
        <v>40</v>
      </c>
      <c r="H64" s="133" t="s">
        <v>216</v>
      </c>
      <c r="I64" s="133"/>
      <c r="J64" s="133" t="s">
        <v>217</v>
      </c>
      <c r="K64" s="133"/>
      <c r="L64" s="133" t="s">
        <v>218</v>
      </c>
      <c r="M64" s="133"/>
      <c r="N64" s="133"/>
      <c r="O64" s="133"/>
      <c r="P64" s="133"/>
      <c r="Q64" s="133"/>
      <c r="R64" s="133"/>
      <c r="S64" s="133"/>
    </row>
    <row r="65" spans="2:19"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</row>
    <row r="66" spans="2:19"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</row>
    <row r="67" spans="2:19">
      <c r="B67" s="133">
        <v>1</v>
      </c>
      <c r="C67" s="133" t="s">
        <v>28</v>
      </c>
      <c r="D67" s="186" t="s">
        <v>18</v>
      </c>
      <c r="E67" s="133" t="s">
        <v>219</v>
      </c>
      <c r="F67" s="133"/>
      <c r="G67" s="133" t="s">
        <v>40</v>
      </c>
      <c r="H67" s="133" t="s">
        <v>220</v>
      </c>
      <c r="I67" s="133"/>
      <c r="J67" s="133" t="s">
        <v>221</v>
      </c>
      <c r="K67" s="133"/>
      <c r="L67" s="133" t="s">
        <v>222</v>
      </c>
      <c r="M67" s="133" t="s">
        <v>223</v>
      </c>
      <c r="N67" s="133"/>
      <c r="O67" s="187"/>
      <c r="P67" s="133"/>
      <c r="Q67" s="133"/>
      <c r="R67" s="133" t="s">
        <v>224</v>
      </c>
      <c r="S67" s="133" t="s">
        <v>225</v>
      </c>
    </row>
    <row r="68" spans="2:19">
      <c r="B68" s="133">
        <v>2</v>
      </c>
      <c r="C68" s="133" t="s">
        <v>28</v>
      </c>
      <c r="D68" s="186" t="s">
        <v>18</v>
      </c>
      <c r="E68" s="133" t="s">
        <v>226</v>
      </c>
      <c r="F68" s="133"/>
      <c r="G68" s="133" t="s">
        <v>40</v>
      </c>
      <c r="H68" s="133" t="s">
        <v>227</v>
      </c>
      <c r="I68" s="133"/>
      <c r="J68" s="133" t="s">
        <v>228</v>
      </c>
      <c r="K68" s="133"/>
      <c r="L68" s="133" t="s">
        <v>229</v>
      </c>
      <c r="M68" s="133"/>
      <c r="N68" s="133"/>
      <c r="O68" s="133"/>
      <c r="P68" s="133"/>
      <c r="Q68" s="133"/>
      <c r="R68" s="133"/>
      <c r="S68" s="133"/>
    </row>
    <row r="69" spans="2:19">
      <c r="B69" s="133">
        <v>3</v>
      </c>
      <c r="C69" s="133" t="s">
        <v>28</v>
      </c>
      <c r="D69" s="186" t="s">
        <v>18</v>
      </c>
      <c r="E69" s="133" t="s">
        <v>230</v>
      </c>
      <c r="F69" s="133"/>
      <c r="G69" s="133" t="s">
        <v>40</v>
      </c>
      <c r="H69" s="133" t="s">
        <v>231</v>
      </c>
      <c r="I69" s="133"/>
      <c r="J69" s="133" t="s">
        <v>232</v>
      </c>
      <c r="K69" s="133"/>
      <c r="L69" s="133" t="s">
        <v>233</v>
      </c>
      <c r="M69" s="133"/>
      <c r="N69" s="133"/>
      <c r="O69" s="133"/>
      <c r="P69" s="133"/>
      <c r="Q69" s="133"/>
      <c r="R69" s="133"/>
      <c r="S69" s="133"/>
    </row>
    <row r="70" spans="2:19">
      <c r="B70" s="133">
        <v>4</v>
      </c>
      <c r="C70" s="133" t="s">
        <v>28</v>
      </c>
      <c r="D70" s="186" t="s">
        <v>18</v>
      </c>
      <c r="E70" s="133" t="s">
        <v>234</v>
      </c>
      <c r="F70" s="133"/>
      <c r="G70" s="133" t="s">
        <v>40</v>
      </c>
      <c r="H70" s="133" t="s">
        <v>235</v>
      </c>
      <c r="I70" s="133"/>
      <c r="J70" s="133" t="s">
        <v>236</v>
      </c>
      <c r="K70" s="133"/>
      <c r="L70" s="133" t="s">
        <v>237</v>
      </c>
      <c r="M70" s="133"/>
      <c r="N70" s="133"/>
      <c r="O70" s="133"/>
      <c r="P70" s="133"/>
      <c r="Q70" s="133"/>
      <c r="R70" s="133"/>
      <c r="S70" s="133"/>
    </row>
    <row r="71" spans="2:19"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</row>
    <row r="72" spans="2:19"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</row>
    <row r="73" spans="2:19">
      <c r="B73" s="133">
        <v>1</v>
      </c>
      <c r="C73" s="133" t="s">
        <v>29</v>
      </c>
      <c r="D73" s="186" t="s">
        <v>18</v>
      </c>
      <c r="E73" s="133" t="s">
        <v>238</v>
      </c>
      <c r="F73" s="133"/>
      <c r="G73" s="133" t="s">
        <v>40</v>
      </c>
      <c r="H73" s="133" t="s">
        <v>239</v>
      </c>
      <c r="I73" s="133"/>
      <c r="J73" s="133" t="s">
        <v>240</v>
      </c>
      <c r="K73" s="133"/>
      <c r="L73" s="133" t="s">
        <v>241</v>
      </c>
      <c r="M73" s="133" t="s">
        <v>242</v>
      </c>
      <c r="N73" s="133"/>
      <c r="O73" s="187"/>
      <c r="P73" s="133"/>
      <c r="Q73" s="133"/>
      <c r="R73" s="133" t="s">
        <v>243</v>
      </c>
      <c r="S73" s="133" t="s">
        <v>244</v>
      </c>
    </row>
    <row r="74" spans="2:19">
      <c r="B74" s="133">
        <v>2</v>
      </c>
      <c r="C74" s="133" t="s">
        <v>29</v>
      </c>
      <c r="D74" s="186" t="s">
        <v>18</v>
      </c>
      <c r="E74" s="133" t="s">
        <v>245</v>
      </c>
      <c r="F74" s="133"/>
      <c r="G74" s="133" t="s">
        <v>40</v>
      </c>
      <c r="H74" s="133" t="s">
        <v>246</v>
      </c>
      <c r="I74" s="133"/>
      <c r="J74" s="133" t="s">
        <v>247</v>
      </c>
      <c r="K74" s="133"/>
      <c r="L74" s="133" t="s">
        <v>248</v>
      </c>
      <c r="M74" s="133"/>
      <c r="N74" s="133"/>
      <c r="O74" s="133"/>
      <c r="P74" s="133"/>
      <c r="Q74" s="133"/>
      <c r="R74" s="133"/>
      <c r="S74" s="133"/>
    </row>
    <row r="75" spans="2:19">
      <c r="B75" s="133">
        <v>3</v>
      </c>
      <c r="C75" s="133" t="s">
        <v>29</v>
      </c>
      <c r="D75" s="186" t="s">
        <v>18</v>
      </c>
      <c r="E75" s="133" t="s">
        <v>249</v>
      </c>
      <c r="F75" s="133"/>
      <c r="G75" s="133" t="s">
        <v>40</v>
      </c>
      <c r="H75" s="133" t="s">
        <v>250</v>
      </c>
      <c r="I75" s="133"/>
      <c r="J75" s="133" t="s">
        <v>251</v>
      </c>
      <c r="K75" s="133"/>
      <c r="L75" s="133" t="s">
        <v>252</v>
      </c>
      <c r="M75" s="133"/>
      <c r="N75" s="133"/>
      <c r="O75" s="133"/>
      <c r="P75" s="133"/>
      <c r="Q75" s="133"/>
      <c r="R75" s="133"/>
      <c r="S75" s="133"/>
    </row>
    <row r="76" spans="2:19">
      <c r="B76" s="133">
        <v>4</v>
      </c>
      <c r="C76" s="133" t="s">
        <v>29</v>
      </c>
      <c r="D76" s="186" t="s">
        <v>18</v>
      </c>
      <c r="E76" s="133" t="s">
        <v>253</v>
      </c>
      <c r="F76" s="133"/>
      <c r="G76" s="133" t="s">
        <v>40</v>
      </c>
      <c r="H76" s="133" t="s">
        <v>254</v>
      </c>
      <c r="I76" s="133"/>
      <c r="J76" s="133" t="s">
        <v>255</v>
      </c>
      <c r="K76" s="133"/>
      <c r="L76" s="133" t="s">
        <v>256</v>
      </c>
      <c r="M76" s="133"/>
      <c r="N76" s="133"/>
      <c r="O76" s="133"/>
      <c r="P76" s="133"/>
      <c r="Q76" s="133"/>
      <c r="R76" s="133"/>
      <c r="S76" s="133"/>
    </row>
    <row r="77" spans="2:19"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</row>
    <row r="78" spans="2:19"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</row>
    <row r="79" spans="2:19">
      <c r="B79" s="133">
        <v>1</v>
      </c>
      <c r="C79" s="133" t="s">
        <v>30</v>
      </c>
      <c r="D79" s="186" t="s">
        <v>18</v>
      </c>
      <c r="E79" s="133" t="s">
        <v>257</v>
      </c>
      <c r="F79" s="133"/>
      <c r="G79" s="133" t="s">
        <v>40</v>
      </c>
      <c r="H79" s="133">
        <v>40</v>
      </c>
      <c r="I79" s="133"/>
      <c r="J79" s="133" t="s">
        <v>258</v>
      </c>
      <c r="K79" s="133"/>
      <c r="L79" s="133" t="s">
        <v>259</v>
      </c>
      <c r="M79" s="133" t="s">
        <v>260</v>
      </c>
      <c r="N79" s="133"/>
      <c r="O79" s="187"/>
      <c r="P79" s="133"/>
      <c r="Q79" s="133"/>
      <c r="R79" s="133" t="s">
        <v>261</v>
      </c>
      <c r="S79" s="133" t="s">
        <v>262</v>
      </c>
    </row>
    <row r="80" spans="2:19">
      <c r="B80" s="133">
        <v>2</v>
      </c>
      <c r="C80" s="133" t="s">
        <v>30</v>
      </c>
      <c r="D80" s="186" t="s">
        <v>18</v>
      </c>
      <c r="E80" s="133" t="s">
        <v>263</v>
      </c>
      <c r="F80" s="133"/>
      <c r="G80" s="133" t="s">
        <v>40</v>
      </c>
      <c r="H80" s="133">
        <v>40</v>
      </c>
      <c r="I80" s="133"/>
      <c r="J80" s="133" t="s">
        <v>264</v>
      </c>
      <c r="K80" s="133"/>
      <c r="L80" s="133" t="s">
        <v>265</v>
      </c>
      <c r="M80" s="133"/>
      <c r="N80" s="133"/>
      <c r="O80" s="133"/>
      <c r="P80" s="133"/>
      <c r="Q80" s="133"/>
      <c r="R80" s="133"/>
      <c r="S80" s="133"/>
    </row>
    <row r="81" spans="2:19">
      <c r="B81" s="133">
        <v>3</v>
      </c>
      <c r="C81" s="133" t="s">
        <v>30</v>
      </c>
      <c r="D81" s="186" t="s">
        <v>18</v>
      </c>
      <c r="E81" s="133" t="s">
        <v>266</v>
      </c>
      <c r="F81" s="133"/>
      <c r="G81" s="133" t="s">
        <v>40</v>
      </c>
      <c r="H81" s="133">
        <v>40</v>
      </c>
      <c r="I81" s="133"/>
      <c r="J81" s="133" t="s">
        <v>267</v>
      </c>
      <c r="K81" s="133"/>
      <c r="L81" s="133" t="s">
        <v>268</v>
      </c>
      <c r="M81" s="133"/>
      <c r="N81" s="133"/>
      <c r="O81" s="133"/>
      <c r="P81" s="133"/>
      <c r="Q81" s="133"/>
      <c r="R81" s="133"/>
      <c r="S81" s="133"/>
    </row>
    <row r="82" spans="2:19">
      <c r="B82" s="133">
        <v>4</v>
      </c>
      <c r="C82" s="133" t="s">
        <v>30</v>
      </c>
      <c r="D82" s="186" t="s">
        <v>18</v>
      </c>
      <c r="E82" s="133" t="s">
        <v>269</v>
      </c>
      <c r="F82" s="133"/>
      <c r="G82" s="133" t="s">
        <v>40</v>
      </c>
      <c r="H82" s="133">
        <v>40</v>
      </c>
      <c r="I82" s="133"/>
      <c r="J82" s="133" t="s">
        <v>270</v>
      </c>
      <c r="K82" s="133"/>
      <c r="L82" s="133" t="s">
        <v>271</v>
      </c>
      <c r="M82" s="133"/>
      <c r="N82" s="133"/>
      <c r="O82" s="133"/>
      <c r="P82" s="133"/>
      <c r="Q82" s="133"/>
      <c r="R82" s="133"/>
      <c r="S82" s="133"/>
    </row>
    <row r="83" spans="2:19"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</row>
    <row r="84" spans="2:19"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</row>
    <row r="85" spans="2:19">
      <c r="B85" s="133">
        <v>1</v>
      </c>
      <c r="C85" s="133" t="s">
        <v>31</v>
      </c>
      <c r="D85" s="186" t="s">
        <v>18</v>
      </c>
      <c r="E85" s="133" t="s">
        <v>272</v>
      </c>
      <c r="F85" s="133"/>
      <c r="G85" s="133" t="s">
        <v>40</v>
      </c>
      <c r="H85" s="133" t="s">
        <v>273</v>
      </c>
      <c r="I85" s="133"/>
      <c r="J85" s="133" t="s">
        <v>274</v>
      </c>
      <c r="K85" s="133"/>
      <c r="L85" s="133" t="s">
        <v>275</v>
      </c>
      <c r="M85" s="133" t="s">
        <v>276</v>
      </c>
      <c r="N85" s="133"/>
      <c r="O85" s="187"/>
      <c r="P85" s="133"/>
      <c r="Q85" s="133"/>
      <c r="R85" s="133" t="s">
        <v>277</v>
      </c>
      <c r="S85" s="133" t="s">
        <v>278</v>
      </c>
    </row>
    <row r="86" spans="2:19">
      <c r="B86" s="133">
        <v>2</v>
      </c>
      <c r="C86" s="133" t="s">
        <v>31</v>
      </c>
      <c r="D86" s="186" t="s">
        <v>18</v>
      </c>
      <c r="E86" s="133" t="s">
        <v>279</v>
      </c>
      <c r="F86" s="133"/>
      <c r="G86" s="133" t="s">
        <v>40</v>
      </c>
      <c r="H86" s="133" t="s">
        <v>280</v>
      </c>
      <c r="I86" s="133"/>
      <c r="J86" s="133" t="s">
        <v>281</v>
      </c>
      <c r="K86" s="133"/>
      <c r="L86" s="133" t="s">
        <v>282</v>
      </c>
      <c r="M86" s="133"/>
      <c r="N86" s="133"/>
      <c r="O86" s="133"/>
      <c r="P86" s="133"/>
      <c r="Q86" s="133"/>
      <c r="R86" s="133"/>
      <c r="S86" s="133"/>
    </row>
    <row r="87" spans="2:19">
      <c r="B87" s="133">
        <v>3</v>
      </c>
      <c r="C87" s="133" t="s">
        <v>31</v>
      </c>
      <c r="D87" s="186" t="s">
        <v>18</v>
      </c>
      <c r="E87" s="133" t="s">
        <v>283</v>
      </c>
      <c r="F87" s="133"/>
      <c r="G87" s="133" t="s">
        <v>40</v>
      </c>
      <c r="H87" s="133" t="s">
        <v>284</v>
      </c>
      <c r="I87" s="133"/>
      <c r="J87" s="133" t="s">
        <v>285</v>
      </c>
      <c r="K87" s="133"/>
      <c r="L87" s="133" t="s">
        <v>286</v>
      </c>
      <c r="M87" s="133"/>
      <c r="N87" s="133"/>
      <c r="O87" s="133"/>
      <c r="P87" s="133"/>
      <c r="Q87" s="133"/>
      <c r="R87" s="133"/>
      <c r="S87" s="133"/>
    </row>
    <row r="88" spans="2:19">
      <c r="B88" s="133">
        <v>4</v>
      </c>
      <c r="C88" s="133" t="s">
        <v>31</v>
      </c>
      <c r="D88" s="186" t="s">
        <v>18</v>
      </c>
      <c r="E88" s="133" t="s">
        <v>287</v>
      </c>
      <c r="F88" s="133"/>
      <c r="G88" s="133" t="s">
        <v>40</v>
      </c>
      <c r="H88" s="133" t="s">
        <v>288</v>
      </c>
      <c r="I88" s="133"/>
      <c r="J88" s="133" t="s">
        <v>289</v>
      </c>
      <c r="K88" s="133"/>
      <c r="L88" s="133" t="s">
        <v>290</v>
      </c>
      <c r="M88" s="133"/>
      <c r="N88" s="133"/>
      <c r="O88" s="133"/>
      <c r="P88" s="133"/>
      <c r="Q88" s="133"/>
      <c r="R88" s="133"/>
      <c r="S88" s="133"/>
    </row>
    <row r="89" spans="2:19"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</row>
    <row r="90" spans="2:19"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</row>
    <row r="91" spans="2:19">
      <c r="B91" s="133">
        <v>1</v>
      </c>
      <c r="C91" s="133" t="s">
        <v>32</v>
      </c>
      <c r="D91" s="186" t="s">
        <v>18</v>
      </c>
      <c r="E91" s="133" t="s">
        <v>291</v>
      </c>
      <c r="F91" s="133"/>
      <c r="G91" s="133" t="s">
        <v>40</v>
      </c>
      <c r="H91" s="133">
        <v>40</v>
      </c>
      <c r="I91" s="133"/>
      <c r="J91" s="133" t="s">
        <v>292</v>
      </c>
      <c r="K91" s="133"/>
      <c r="L91" s="133" t="s">
        <v>293</v>
      </c>
      <c r="M91" s="133" t="s">
        <v>294</v>
      </c>
      <c r="N91" s="133"/>
      <c r="O91" s="187"/>
      <c r="P91" s="133"/>
      <c r="Q91" s="133"/>
      <c r="R91" s="133" t="s">
        <v>295</v>
      </c>
      <c r="S91" s="133" t="s">
        <v>296</v>
      </c>
    </row>
    <row r="92" spans="2:19">
      <c r="B92" s="133">
        <v>2</v>
      </c>
      <c r="C92" s="133" t="s">
        <v>32</v>
      </c>
      <c r="D92" s="186" t="s">
        <v>18</v>
      </c>
      <c r="E92" s="133" t="s">
        <v>297</v>
      </c>
      <c r="F92" s="133"/>
      <c r="G92" s="133" t="s">
        <v>40</v>
      </c>
      <c r="H92" s="133">
        <v>40</v>
      </c>
      <c r="I92" s="133"/>
      <c r="J92" s="133" t="s">
        <v>298</v>
      </c>
      <c r="K92" s="133"/>
      <c r="L92" s="133" t="s">
        <v>299</v>
      </c>
      <c r="M92" s="133"/>
      <c r="N92" s="133"/>
      <c r="O92" s="133"/>
      <c r="P92" s="133"/>
      <c r="Q92" s="133"/>
      <c r="R92" s="133"/>
      <c r="S92" s="133"/>
    </row>
    <row r="93" spans="2:19">
      <c r="B93" s="133">
        <v>3</v>
      </c>
      <c r="C93" s="133" t="s">
        <v>32</v>
      </c>
      <c r="D93" s="186" t="s">
        <v>18</v>
      </c>
      <c r="E93" s="133" t="s">
        <v>300</v>
      </c>
      <c r="F93" s="133"/>
      <c r="G93" s="133" t="s">
        <v>40</v>
      </c>
      <c r="H93" s="133">
        <v>40</v>
      </c>
      <c r="I93" s="133"/>
      <c r="J93" s="133" t="s">
        <v>301</v>
      </c>
      <c r="K93" s="133"/>
      <c r="L93" s="133" t="s">
        <v>302</v>
      </c>
      <c r="M93" s="133"/>
      <c r="N93" s="133"/>
      <c r="O93" s="133"/>
      <c r="P93" s="133"/>
      <c r="Q93" s="133"/>
      <c r="R93" s="133"/>
      <c r="S93" s="133"/>
    </row>
    <row r="94" spans="2:19">
      <c r="B94" s="133">
        <v>4</v>
      </c>
      <c r="C94" s="133" t="s">
        <v>32</v>
      </c>
      <c r="D94" s="186" t="s">
        <v>18</v>
      </c>
      <c r="E94" s="133" t="s">
        <v>303</v>
      </c>
      <c r="F94" s="133"/>
      <c r="G94" s="133" t="s">
        <v>40</v>
      </c>
      <c r="H94" s="133">
        <v>40</v>
      </c>
      <c r="I94" s="133"/>
      <c r="J94" s="133" t="s">
        <v>304</v>
      </c>
      <c r="K94" s="133"/>
      <c r="L94" s="133" t="s">
        <v>305</v>
      </c>
      <c r="M94" s="133"/>
      <c r="N94" s="133"/>
      <c r="O94" s="133"/>
      <c r="P94" s="133"/>
      <c r="Q94" s="133"/>
      <c r="R94" s="133"/>
      <c r="S94" s="133"/>
    </row>
    <row r="95" spans="2:19">
      <c r="B95" s="133"/>
      <c r="C95" s="133"/>
      <c r="D95" s="186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</row>
    <row r="96" spans="2:19"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</row>
    <row r="97" spans="2:19"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</row>
    <row r="98" spans="2:19">
      <c r="B98" s="133">
        <v>1</v>
      </c>
      <c r="C98" s="133" t="s">
        <v>33</v>
      </c>
      <c r="D98" s="186" t="s">
        <v>18</v>
      </c>
      <c r="E98" s="133" t="s">
        <v>306</v>
      </c>
      <c r="F98" s="133"/>
      <c r="G98" s="133" t="s">
        <v>40</v>
      </c>
      <c r="H98" s="133" t="s">
        <v>307</v>
      </c>
      <c r="I98" s="133"/>
      <c r="J98" s="133" t="s">
        <v>308</v>
      </c>
      <c r="K98" s="133"/>
      <c r="L98" s="133" t="s">
        <v>309</v>
      </c>
      <c r="M98" s="133" t="s">
        <v>310</v>
      </c>
      <c r="N98" s="133"/>
      <c r="O98" s="187"/>
      <c r="P98" s="133"/>
      <c r="Q98" s="133"/>
      <c r="R98" s="133" t="s">
        <v>311</v>
      </c>
      <c r="S98" s="133" t="s">
        <v>312</v>
      </c>
    </row>
    <row r="99" spans="2:19">
      <c r="B99" s="133">
        <v>2</v>
      </c>
      <c r="C99" s="133" t="s">
        <v>33</v>
      </c>
      <c r="D99" s="186" t="s">
        <v>18</v>
      </c>
      <c r="E99" s="133" t="s">
        <v>313</v>
      </c>
      <c r="F99" s="133"/>
      <c r="G99" s="133" t="s">
        <v>40</v>
      </c>
      <c r="H99" s="133" t="s">
        <v>314</v>
      </c>
      <c r="I99" s="133"/>
      <c r="J99" s="133" t="s">
        <v>315</v>
      </c>
      <c r="K99" s="133"/>
      <c r="L99" s="133" t="s">
        <v>316</v>
      </c>
      <c r="M99" s="133"/>
      <c r="N99" s="133"/>
      <c r="O99" s="133"/>
      <c r="P99" s="133"/>
      <c r="Q99" s="133"/>
      <c r="R99" s="133"/>
      <c r="S99" s="133"/>
    </row>
    <row r="100" spans="2:19">
      <c r="B100" s="133">
        <v>3</v>
      </c>
      <c r="C100" s="133" t="s">
        <v>33</v>
      </c>
      <c r="D100" s="186" t="s">
        <v>18</v>
      </c>
      <c r="E100" s="133" t="s">
        <v>317</v>
      </c>
      <c r="F100" s="133"/>
      <c r="G100" s="133" t="s">
        <v>40</v>
      </c>
      <c r="H100" s="133" t="s">
        <v>318</v>
      </c>
      <c r="I100" s="133"/>
      <c r="J100" s="133" t="s">
        <v>319</v>
      </c>
      <c r="K100" s="133"/>
      <c r="L100" s="133" t="s">
        <v>320</v>
      </c>
      <c r="M100" s="133"/>
      <c r="N100" s="133"/>
      <c r="O100" s="133"/>
      <c r="P100" s="133"/>
      <c r="Q100" s="133"/>
      <c r="R100" s="133"/>
      <c r="S100" s="133"/>
    </row>
    <row r="101" spans="2:19">
      <c r="B101" s="133">
        <v>4</v>
      </c>
      <c r="C101" s="133" t="s">
        <v>33</v>
      </c>
      <c r="D101" s="186" t="s">
        <v>18</v>
      </c>
      <c r="E101" s="133" t="s">
        <v>321</v>
      </c>
      <c r="F101" s="133"/>
      <c r="G101" s="133" t="s">
        <v>40</v>
      </c>
      <c r="H101" s="133" t="s">
        <v>322</v>
      </c>
      <c r="I101" s="133"/>
      <c r="J101" s="133" t="s">
        <v>323</v>
      </c>
      <c r="K101" s="133"/>
      <c r="L101" s="133" t="s">
        <v>324</v>
      </c>
      <c r="M101" s="133"/>
      <c r="N101" s="133"/>
      <c r="O101" s="133"/>
      <c r="P101" s="133"/>
      <c r="Q101" s="133"/>
      <c r="R101" s="133"/>
      <c r="S101" s="133"/>
    </row>
    <row r="102" spans="2:19"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</row>
    <row r="103" spans="2:19"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</row>
    <row r="104" spans="2:19"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</row>
    <row r="105" spans="2:19"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</row>
    <row r="106" spans="2:19"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</row>
    <row r="107" spans="2:19">
      <c r="B107" s="138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</row>
    <row r="108" spans="2:19">
      <c r="B108" s="138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Ramakrishnan Rajarajan</dc:creator>
  <cp:keywords/>
  <dc:description/>
  <cp:lastModifiedBy/>
  <cp:revision/>
  <dcterms:created xsi:type="dcterms:W3CDTF">2015-06-05T18:19:34Z</dcterms:created>
  <dcterms:modified xsi:type="dcterms:W3CDTF">2025-09-01T12:33:35Z</dcterms:modified>
  <cp:category/>
  <cp:contentStatus/>
</cp:coreProperties>
</file>